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說明" sheetId="1" r:id="rId3"/>
    <sheet state="visible" name="技能模擬器" sheetId="2" r:id="rId4"/>
    <sheet state="visible" name="保存讀取技能樹" sheetId="3" r:id="rId5"/>
    <sheet state="visible" name="特殊技能效益" sheetId="4" r:id="rId6"/>
    <sheet state="hidden" name="2.8 LS" sheetId="5" r:id="rId7"/>
    <sheet state="visible" name="截圖用頁面" sheetId="6" r:id="rId8"/>
    <sheet state="visible" name="截圖用頁面(精簡版)" sheetId="7" r:id="rId9"/>
    <sheet state="hidden" name="skill data" sheetId="8" r:id="rId10"/>
    <sheet state="hidden" name="coding(此頁勿動)" sheetId="9" r:id="rId11"/>
    <sheet state="hidden" name="mana" sheetId="10" r:id="rId12"/>
    <sheet state="hidden" name="simulationData" sheetId="11" r:id="rId13"/>
    <sheet state="hidden" name="skill desc" sheetId="12" r:id="rId14"/>
  </sheets>
  <definedNames>
    <definedName name="skillG31">'技能模擬器'!$Y$39</definedName>
    <definedName name="upgradeBtn12">'技能模擬器'!$D$32</definedName>
    <definedName name="upgradeBtn5">'技能模擬器'!$D$25</definedName>
    <definedName name="skillR32">'技能模擬器'!$N$14</definedName>
    <definedName name="upgradeBtn3">'技能模擬器'!$D$23</definedName>
    <definedName name="upgradeBtn8">'技能模擬器'!$D$28</definedName>
    <definedName name="skillG33">'技能模擬器'!$AI$39</definedName>
    <definedName name="reset4">'技能模擬器'!$W$31</definedName>
    <definedName name="skillY22">'技能模擬器'!$N$33</definedName>
    <definedName name="skillB21">'技能模擬器'!$Y$8</definedName>
    <definedName name="skillG32">'技能模擬器'!$AD$39</definedName>
    <definedName name="upgradeBtn9">'技能模擬器'!$D$29</definedName>
    <definedName name="buildSlot">'保存讀取技能樹'!$A$3</definedName>
    <definedName name="emptyBuild">'coding(此頁勿動)'!$W$2:$W$45</definedName>
    <definedName name="skillY41">'技能模擬器'!$I$45</definedName>
    <definedName name="skillY43">'技能模擬器'!$S$45</definedName>
    <definedName name="rankList">'coding(此頁勿動)'!$H$2:$H$16</definedName>
    <definedName name="skillR11">'技能模擬器'!$N$2</definedName>
    <definedName name="skillList">'coding(此頁勿動)'!$C$2:$C$41</definedName>
    <definedName name="build2">'coding(此頁勿動)'!$O$2:$O$45</definedName>
    <definedName name="skillG22">'技能模擬器'!$AD$33</definedName>
    <definedName name="skillY33">'技能模擬器'!$S$39</definedName>
    <definedName name="buildAction">'保存讀取技能樹'!$C$3</definedName>
    <definedName name="skillB43">'技能模擬器'!$AI$20</definedName>
    <definedName name="reset3">'技能模擬器'!$W$6</definedName>
    <definedName name="build8">'coding(此頁勿動)'!$U$2:$U$45</definedName>
    <definedName name="skillY31">'技能模擬器'!$I$39</definedName>
    <definedName name="skillR33">'技能模擬器'!$S$14</definedName>
    <definedName name="skillB42">'技能模擬器'!$AD$20</definedName>
    <definedName name="skillB32">'技能模擬器'!$AD$14</definedName>
    <definedName name="skillG11">'技能模擬器'!$AD$27</definedName>
    <definedName name="upgradeBtn13">'技能模擬器'!$D$33</definedName>
    <definedName name="skillB23">'技能模擬器'!$AI$8</definedName>
    <definedName name="upgradeBtn10">'技能模擬器'!$D$30</definedName>
    <definedName name="build1">'coding(此頁勿動)'!$N$2:$N$45</definedName>
    <definedName name="skillY11">'技能模擬器'!$N$27</definedName>
    <definedName name="skillB41">'技能模擬器'!$Y$20</definedName>
    <definedName name="upgradeBtn1">'技能模擬器'!$D$21</definedName>
    <definedName name="read">'說明'!$N$13:$O$13</definedName>
    <definedName name="upgradeBtn2">'技能模擬器'!$D$22</definedName>
    <definedName name="skillR23">'技能模擬器'!$S$8</definedName>
    <definedName name="build4">'coding(此頁勿動)'!$Q$2:$Q$45</definedName>
    <definedName name="build5">'coding(此頁勿動)'!$R$2:$R$45</definedName>
    <definedName name="build6">'coding(此頁勿動)'!$S$2:$S$45</definedName>
    <definedName name="skillR21">'技能模擬器'!$I$8</definedName>
    <definedName name="upgradeBtn14">'技能模擬器'!$D$34</definedName>
    <definedName name="upgradeBtn15">'技能模擬器'!$D$35</definedName>
    <definedName name="skillY32">'技能模擬器'!$N$39</definedName>
    <definedName name="skillR41">'技能模擬器'!$I$20</definedName>
    <definedName name="skillY21">'技能模擬器'!$I$33</definedName>
    <definedName name="skillB33">'技能模擬器'!$AI$14</definedName>
    <definedName name="reset1">'技能模擬器'!$G$6</definedName>
    <definedName name="build3">'coding(此頁勿動)'!$P$2:$P$45</definedName>
    <definedName name="currentBuild">'coding(此頁勿動)'!$L$2:$L$45</definedName>
    <definedName name="upgradeBtn7">'技能模擬器'!$D$27</definedName>
    <definedName name="skillB22">'技能模擬器'!$AD$8</definedName>
    <definedName name="skillB31">'技能模擬器'!$Y$14</definedName>
    <definedName name="upgradeBtn11">'技能模擬器'!$D$31</definedName>
    <definedName name="reset5">'技能模擬器'!$E$3</definedName>
    <definedName name="buildExecute">'保存讀取技能樹'!$D$3</definedName>
    <definedName name="build7">'coding(此頁勿動)'!$T$2:$T$45</definedName>
    <definedName name="skillG23">'技能模擬器'!$AI$33</definedName>
    <definedName name="build0">'coding(此頁勿動)'!$M$2:$M$45</definedName>
    <definedName name="upgradeBtn6">'技能模擬器'!$D$26</definedName>
    <definedName name="skillR43">'技能模擬器'!$S$20</definedName>
    <definedName name="reset2">'技能模擬器'!$G$31</definedName>
    <definedName name="skillR31">'技能模擬器'!$I$14</definedName>
    <definedName name="skillY23">'技能模擬器'!$S$33</definedName>
    <definedName name="skillB11">'技能模擬器'!$AD$2</definedName>
    <definedName name="build9">'coding(此頁勿動)'!$V$2:$V$45</definedName>
    <definedName name="loadAutoSave">'保存讀取技能樹'!$F$3</definedName>
    <definedName name="skillG21">'技能模擬器'!$Y$33</definedName>
    <definedName name="upgradeBtn4">'技能模擬器'!$D$24</definedName>
    <definedName name="skillR22">'技能模擬器'!$N$8</definedName>
  </definedNames>
  <calcPr/>
</workbook>
</file>

<file path=xl/sharedStrings.xml><?xml version="1.0" encoding="utf-8"?>
<sst xmlns="http://schemas.openxmlformats.org/spreadsheetml/2006/main" count="927" uniqueCount="351">
  <si>
    <t>TT2 v3.1.0技能模擬器+ By 喵咪</t>
  </si>
  <si>
    <t xml:space="preserve">欄位　</t>
  </si>
  <si>
    <t>存檔名稱</t>
  </si>
  <si>
    <t xml:space="preserve">動作　</t>
  </si>
  <si>
    <t>執行</t>
  </si>
  <si>
    <t>載入系統存檔</t>
  </si>
  <si>
    <t>最後更新日</t>
  </si>
  <si>
    <t>使用流派</t>
  </si>
  <si>
    <t>寵物流</t>
  </si>
  <si>
    <t>保存</t>
  </si>
  <si>
    <t>全部重置</t>
  </si>
  <si>
    <t>欄位</t>
  </si>
  <si>
    <t>騎士技能樹</t>
  </si>
  <si>
    <t>系統保存</t>
  </si>
  <si>
    <t>名稱</t>
  </si>
  <si>
    <t>使用點數</t>
  </si>
  <si>
    <t>流派</t>
  </si>
  <si>
    <t>合計點數</t>
  </si>
  <si>
    <t>騎士勇氣</t>
  </si>
  <si>
    <t>技能點數</t>
  </si>
  <si>
    <t>等級</t>
  </si>
  <si>
    <t>1.將個人基本數據及流派填入模擬器左側的對應格子內,即可開始模擬技能
2.升級效益代表將該技能提升1級時,每點技能點可以帶來多少的傷害增幅(黃金相關技能會先轉換為對應傷害係數後計算)
3.若升級效益標示為"特殊技能",請至"特殊技能效益"分頁中查看效益</t>
  </si>
  <si>
    <r>
      <t>如果喜歡這個模擬器且有餘力的話，歡迎進入以下連結贊助喵咪，我會</t>
    </r>
    <r>
      <rPr>
        <color rgb="FFFF0000"/>
      </rPr>
      <t>非常非常開心</t>
    </r>
    <r>
      <t>的呦！</t>
    </r>
  </si>
  <si>
    <t>總傷害加成</t>
  </si>
  <si>
    <t>巫師技能樹</t>
  </si>
  <si>
    <t>界限突破</t>
  </si>
  <si>
    <t>請點選左上角檔案-&gt;建立副本來使用,不要要求存取權</t>
  </si>
  <si>
    <t>手機板：右上角選單-&gt;共用與匯出-&gt;建立副本</t>
  </si>
  <si>
    <t>黃金來源</t>
  </si>
  <si>
    <t>頭目</t>
  </si>
  <si>
    <t>我已讀完說明</t>
  </si>
  <si>
    <t>特別注意:所有新功能皆須在google雲端才能正常使用，
若下載後使用則只能使用原版功能</t>
  </si>
  <si>
    <t>黃金係數</t>
  </si>
  <si>
    <t>含雷擊加成</t>
  </si>
  <si>
    <t>雷擊加成為最高極限加成
實際效果可能較低</t>
  </si>
  <si>
    <t>黃金轉換傷害的係數,可自行調整
(合理值約為0.7~0.8之間)</t>
  </si>
  <si>
    <t>重置騎士</t>
  </si>
  <si>
    <t>界線突破</t>
  </si>
  <si>
    <t>下個等級</t>
  </si>
  <si>
    <t>魔力抽取</t>
  </si>
  <si>
    <t>魔力技能效益計算機(界限突破 vs 魔力抽取)</t>
  </si>
  <si>
    <t>升級效益</t>
  </si>
  <si>
    <t>技能點</t>
  </si>
  <si>
    <t>需求點數</t>
  </si>
  <si>
    <t>最大魔力</t>
  </si>
  <si>
    <t>每點效益</t>
  </si>
  <si>
    <t>增減</t>
  </si>
  <si>
    <t>魔力回復</t>
  </si>
  <si>
    <t>吸魔量</t>
  </si>
  <si>
    <t>重置巫師</t>
  </si>
  <si>
    <t>特殊技能</t>
  </si>
  <si>
    <t>此計算機可以幫助你分配想要用來提升魔力與回魔技能的點數</t>
  </si>
  <si>
    <t>-</t>
  </si>
  <si>
    <t>當前洞察戰術等級</t>
  </si>
  <si>
    <t>目前魔力</t>
  </si>
  <si>
    <t>當前劈斬等級</t>
  </si>
  <si>
    <t>騎士兵團</t>
  </si>
  <si>
    <t>原始魔力(自動計算)</t>
  </si>
  <si>
    <t>寵物進化</t>
  </si>
  <si>
    <t>米達斯之心</t>
  </si>
  <si>
    <t>目前魔力回復</t>
  </si>
  <si>
    <t>原始魔力回復(自動計算)</t>
  </si>
  <si>
    <t>終極米達斯</t>
  </si>
  <si>
    <t>天使光輝</t>
  </si>
  <si>
    <t>目前界限突破等級</t>
  </si>
  <si>
    <t>最大魔力權重</t>
  </si>
  <si>
    <t>幻影復仇</t>
  </si>
  <si>
    <t>請填入你目前"遊戲中"正在使用的
相關技能等級</t>
  </si>
  <si>
    <t>預計分配點數</t>
  </si>
  <si>
    <t>魔力回復權重</t>
  </si>
  <si>
    <t>影分身等級</t>
  </si>
  <si>
    <t>權重設定越高代表對應因素越重要,若想排除計算特定因素,請將那項因素的權重設為0</t>
  </si>
  <si>
    <t>野蠻狂怒等級</t>
  </si>
  <si>
    <t>每秒點擊次數</t>
  </si>
  <si>
    <t>爆擊率</t>
  </si>
  <si>
    <t>排名</t>
  </si>
  <si>
    <t>總魔力</t>
  </si>
  <si>
    <t>平均回魔量</t>
  </si>
  <si>
    <t>裝備爆擊率</t>
  </si>
  <si>
    <t>死亡之斧等級</t>
  </si>
  <si>
    <t>大師之劍等級</t>
  </si>
  <si>
    <t>劈斬</t>
  </si>
  <si>
    <t>召喚煉獄</t>
  </si>
  <si>
    <t>閃電爆破</t>
  </si>
  <si>
    <t>妖精魅力</t>
  </si>
  <si>
    <t>永恆黑暗</t>
  </si>
  <si>
    <t>幸運足等級</t>
  </si>
  <si>
    <t>閃電雷擊</t>
  </si>
  <si>
    <t>每秒次數</t>
  </si>
  <si>
    <t>裝備全機率倍率</t>
  </si>
  <si>
    <t>黑暗守衛等級</t>
  </si>
  <si>
    <t>頭目戰時間</t>
  </si>
  <si>
    <t>請填入統計面板所顯示的爆擊率及神器資料,以增加計算準確性</t>
  </si>
  <si>
    <t>前置條件限制</t>
  </si>
  <si>
    <t>死靈套裝</t>
  </si>
  <si>
    <t>否</t>
  </si>
  <si>
    <t>損血量</t>
  </si>
  <si>
    <t>傷害衰減率</t>
  </si>
  <si>
    <t>最大增傷</t>
  </si>
  <si>
    <t>觸發次數</t>
  </si>
  <si>
    <t>實際增傷</t>
  </si>
  <si>
    <t>開啟</t>
  </si>
  <si>
    <t>技能升級效益排名</t>
  </si>
  <si>
    <t>技能名稱</t>
  </si>
  <si>
    <t>效益</t>
  </si>
  <si>
    <t>升級</t>
  </si>
  <si>
    <t>野蠻狂怒</t>
  </si>
  <si>
    <t>閃電瞬移</t>
  </si>
  <si>
    <t>魔力瑪尼</t>
  </si>
  <si>
    <t>次元轉移</t>
  </si>
  <si>
    <t>精靈機率加成</t>
  </si>
  <si>
    <t>出現機率</t>
  </si>
  <si>
    <t>分析結果</t>
  </si>
  <si>
    <t>多重機率</t>
  </si>
  <si>
    <t>平均間隔</t>
  </si>
  <si>
    <t>1隻</t>
  </si>
  <si>
    <t>2隻</t>
  </si>
  <si>
    <t>3隻</t>
  </si>
  <si>
    <t>4隻</t>
  </si>
  <si>
    <t>5隻</t>
  </si>
  <si>
    <t>6隻</t>
  </si>
  <si>
    <t>7隻</t>
  </si>
  <si>
    <t>8隻</t>
  </si>
  <si>
    <t>期望值</t>
  </si>
  <si>
    <t>每小時數量</t>
  </si>
  <si>
    <t>相對倍率</t>
  </si>
  <si>
    <t>軍閥技能樹</t>
  </si>
  <si>
    <t>指揮官大師</t>
  </si>
  <si>
    <t>流氓技能樹</t>
  </si>
  <si>
    <t>竊盜大師</t>
  </si>
  <si>
    <t>重置軍閥</t>
  </si>
  <si>
    <t>技能效益</t>
  </si>
  <si>
    <t>重置流氓</t>
  </si>
  <si>
    <t>戰利品</t>
  </si>
  <si>
    <t>英雄神力</t>
  </si>
  <si>
    <t>空中突擊</t>
  </si>
  <si>
    <t>暗殺</t>
  </si>
  <si>
    <t>沉默行軍</t>
  </si>
  <si>
    <t>伏擊</t>
  </si>
  <si>
    <t>效益計算選項</t>
  </si>
  <si>
    <t>若不希望效益排名計算特定技能的效益，請將該技能選項改為"否"</t>
  </si>
  <si>
    <t>傷害</t>
  </si>
  <si>
    <t>是</t>
  </si>
  <si>
    <t>衰減率</t>
  </si>
  <si>
    <t>洞察戰術</t>
  </si>
  <si>
    <t>灼熱之光</t>
  </si>
  <si>
    <t>聯合進擊</t>
  </si>
  <si>
    <t>總加成</t>
  </si>
  <si>
    <t>暮色面紗</t>
  </si>
  <si>
    <t>幽靈船</t>
  </si>
  <si>
    <t>闇影殺手</t>
  </si>
  <si>
    <t>星體覺醒</t>
  </si>
  <si>
    <t>禁錮射擊</t>
  </si>
  <si>
    <t>騎士總點數</t>
  </si>
  <si>
    <t>模擬器版本</t>
  </si>
  <si>
    <t>v3.1.0</t>
  </si>
  <si>
    <t>主要點數</t>
  </si>
  <si>
    <t>輔助點數</t>
  </si>
  <si>
    <t>雷擊加成</t>
  </si>
  <si>
    <t>合計加成</t>
  </si>
  <si>
    <t>軍閥總點數</t>
  </si>
  <si>
    <t>巫師總點數</t>
  </si>
  <si>
    <t>流氓總點數</t>
  </si>
  <si>
    <t>&amp;</t>
  </si>
  <si>
    <t>效果1</t>
  </si>
  <si>
    <t>效果2</t>
  </si>
  <si>
    <t>合計效果</t>
  </si>
  <si>
    <t>係數</t>
  </si>
  <si>
    <t>特殊加成</t>
  </si>
  <si>
    <t>最終加成</t>
  </si>
  <si>
    <t>前置解鎖</t>
  </si>
  <si>
    <t>rank</t>
  </si>
  <si>
    <t>存檔</t>
  </si>
  <si>
    <t>目前</t>
  </si>
  <si>
    <t>系統存檔</t>
  </si>
  <si>
    <t>空檔(刪除用)</t>
  </si>
  <si>
    <t>R11</t>
  </si>
  <si>
    <t>R21</t>
  </si>
  <si>
    <t>R22</t>
  </si>
  <si>
    <t>R23</t>
  </si>
  <si>
    <t>R31</t>
  </si>
  <si>
    <t>R32</t>
  </si>
  <si>
    <t>R33</t>
  </si>
  <si>
    <t>R41</t>
  </si>
  <si>
    <t>R43</t>
  </si>
  <si>
    <t>Y11</t>
  </si>
  <si>
    <t>Y21</t>
  </si>
  <si>
    <t>Y22</t>
  </si>
  <si>
    <t>Y23</t>
  </si>
  <si>
    <t>Y31</t>
  </si>
  <si>
    <t>Y32</t>
  </si>
  <si>
    <t>加成</t>
  </si>
  <si>
    <t>Y33</t>
  </si>
  <si>
    <t>洞察</t>
  </si>
  <si>
    <t>Y41</t>
  </si>
  <si>
    <t>基礎</t>
  </si>
  <si>
    <t>Y43</t>
  </si>
  <si>
    <t>全傷</t>
  </si>
  <si>
    <t>B11</t>
  </si>
  <si>
    <t>B21</t>
  </si>
  <si>
    <t>英雄</t>
  </si>
  <si>
    <t>基本爆率</t>
  </si>
  <si>
    <t>B22</t>
  </si>
  <si>
    <t>英雄傷</t>
  </si>
  <si>
    <t>B23</t>
  </si>
  <si>
    <t>B31</t>
  </si>
  <si>
    <t>B32</t>
  </si>
  <si>
    <t>B33</t>
  </si>
  <si>
    <t>神器爆率</t>
  </si>
  <si>
    <t>點傷</t>
  </si>
  <si>
    <t>B41</t>
  </si>
  <si>
    <t>B42</t>
  </si>
  <si>
    <t>B43</t>
  </si>
  <si>
    <t>G11</t>
  </si>
  <si>
    <t>裝備</t>
  </si>
  <si>
    <t>G21</t>
  </si>
  <si>
    <t>G22</t>
  </si>
  <si>
    <t>英雄爆率</t>
  </si>
  <si>
    <t>G23</t>
  </si>
  <si>
    <t>飛船流</t>
  </si>
  <si>
    <t>影子傷</t>
  </si>
  <si>
    <t>G31</t>
  </si>
  <si>
    <t>G32</t>
  </si>
  <si>
    <t>G33</t>
  </si>
  <si>
    <t>洞察爆率</t>
  </si>
  <si>
    <t>影分身</t>
  </si>
  <si>
    <t>全金</t>
  </si>
  <si>
    <t>合計</t>
  </si>
  <si>
    <t>劈斬爆率</t>
  </si>
  <si>
    <t>天堂流</t>
  </si>
  <si>
    <t>王金</t>
  </si>
  <si>
    <t>裝備爆率</t>
  </si>
  <si>
    <t>寶箱金</t>
  </si>
  <si>
    <t>next</t>
  </si>
  <si>
    <t>妖精金</t>
  </si>
  <si>
    <t>全機率</t>
  </si>
  <si>
    <t>米心</t>
  </si>
  <si>
    <t>米手1</t>
  </si>
  <si>
    <t>米手2</t>
  </si>
  <si>
    <t>竊盜1</t>
  </si>
  <si>
    <t>竊盜2</t>
  </si>
  <si>
    <t>妖精</t>
  </si>
  <si>
    <t>寶箱</t>
  </si>
  <si>
    <t>離線</t>
  </si>
  <si>
    <t>黑暗降臨</t>
  </si>
  <si>
    <t>轉換比</t>
  </si>
  <si>
    <t>影子觸發</t>
  </si>
  <si>
    <t>野蠻</t>
  </si>
  <si>
    <t>點擊</t>
  </si>
  <si>
    <t>界限等級</t>
  </si>
  <si>
    <t>剩餘點數</t>
  </si>
  <si>
    <t>吸魔等級</t>
  </si>
  <si>
    <t>回魔</t>
  </si>
  <si>
    <t>總分</t>
  </si>
  <si>
    <t>K</t>
  </si>
  <si>
    <t>未選擇</t>
  </si>
  <si>
    <t>影分身流</t>
  </si>
  <si>
    <t>M</t>
  </si>
  <si>
    <t>B</t>
  </si>
  <si>
    <t>嘗試次數</t>
  </si>
  <si>
    <t>T</t>
  </si>
  <si>
    <t>騎士</t>
  </si>
  <si>
    <t>軍閥</t>
  </si>
  <si>
    <t>巫師</t>
  </si>
  <si>
    <t>流氓</t>
  </si>
  <si>
    <t>knight</t>
  </si>
  <si>
    <t>warlord</t>
  </si>
  <si>
    <t>Sorcerer</t>
  </si>
  <si>
    <t>rogue</t>
  </si>
  <si>
    <t>增加</t>
  </si>
  <si>
    <t>倍點擊傷害</t>
  </si>
  <si>
    <t>提升相當於</t>
  </si>
  <si>
    <t>英雄傷害的點擊傷害</t>
  </si>
  <si>
    <t>倍寵物傷害</t>
  </si>
  <si>
    <t>寵物發動攻擊所需點擊數</t>
  </si>
  <si>
    <t>倍頭目黃金</t>
  </si>
  <si>
    <t>米達斯之心冷卻時間</t>
  </si>
  <si>
    <t>秒</t>
  </si>
  <si>
    <t>倍最大爆擊傷害</t>
  </si>
  <si>
    <t>%</t>
  </si>
  <si>
    <t>倍火焰之劍效果</t>
  </si>
  <si>
    <t>火焰之劍持續時間增加</t>
  </si>
  <si>
    <t>閃電爆破造成</t>
  </si>
  <si>
    <t>閃電爆破最大濺射數量增加</t>
  </si>
  <si>
    <t>主動點擊時增加</t>
  </si>
  <si>
    <t>主動點擊時每秒額外點擊</t>
  </si>
  <si>
    <t>次</t>
  </si>
  <si>
    <t>充能時寵物傷害提高</t>
  </si>
  <si>
    <t>倍</t>
  </si>
  <si>
    <t>寵物技能冷卻時間</t>
  </si>
  <si>
    <t>倍所有英雄傷害</t>
  </si>
  <si>
    <t>倍寶箱黃金</t>
  </si>
  <si>
    <t>寶箱怪出現機率增加</t>
  </si>
  <si>
    <t>前置條件 :</t>
  </si>
  <si>
    <t xml:space="preserve">需求騎士技能點 : </t>
  </si>
  <si>
    <t xml:space="preserve">需求巫師技能點 : </t>
  </si>
  <si>
    <t>倍戰嚎效果</t>
  </si>
  <si>
    <t>在戰嚎持續時間內激勵</t>
  </si>
  <si>
    <t>名英雄</t>
  </si>
  <si>
    <t>倍公會飛船傷害</t>
  </si>
  <si>
    <t>飛船最大濺射數量增加</t>
  </si>
  <si>
    <t> 倍率型英雄技能效果</t>
  </si>
  <si>
    <t> 相加型英雄技能效果</t>
  </si>
  <si>
    <t>受激勵英雄每次攻擊增加</t>
  </si>
  <si>
    <t>泰坦受到傷害</t>
  </si>
  <si>
    <t>戰嚎持續時間增加</t>
  </si>
  <si>
    <t>召喚公會夥伴時增加</t>
  </si>
  <si>
    <t>召喚夥伴冷卻時間</t>
  </si>
  <si>
    <t>每次點擊晶球增加</t>
  </si>
  <si>
    <t>倍所有英雄傷害(共5次)</t>
  </si>
  <si>
    <t>星體覺醒冷卻時間</t>
  </si>
  <si>
    <t>怪物麻痺時增加</t>
  </si>
  <si>
    <t>倍受到傷害</t>
  </si>
  <si>
    <t>麻痺持續時間</t>
  </si>
  <si>
    <t>每分鐘魔力回復量</t>
  </si>
  <si>
    <t>倍米達斯之手效果</t>
  </si>
  <si>
    <t>倍妖精黃金</t>
  </si>
  <si>
    <t>倍天堂聖擊傷害</t>
  </si>
  <si>
    <t>天堂聖擊跳躍濺射數增加</t>
  </si>
  <si>
    <t>倍影分身傷害</t>
  </si>
  <si>
    <t>影分身每秒攻擊次數增加</t>
  </si>
  <si>
    <t>多重妖精機率增加</t>
  </si>
  <si>
    <t>妖精出現時間間隔</t>
  </si>
  <si>
    <t>觸發魔力抽取時回復</t>
  </si>
  <si>
    <t xml:space="preserve">需求軍閥技能點 : </t>
  </si>
  <si>
    <t xml:space="preserve">需求流氓技能點 : </t>
  </si>
  <si>
    <t>影分身持續時間增加</t>
  </si>
  <si>
    <t>影分身最大濺射數量增加</t>
  </si>
  <si>
    <t>擊殺魔力瑪尼魔力回復量+</t>
  </si>
  <si>
    <t>魔力瑪尼出現機率+</t>
  </si>
  <si>
    <t>每次觸發造成</t>
  </si>
  <si>
    <t>怪物當前生命的傷害</t>
  </si>
  <si>
    <t>閃電雷擊傷害衰減率</t>
  </si>
  <si>
    <t>倍所有主動技能效果</t>
  </si>
  <si>
    <t>影分身發動時增加</t>
  </si>
  <si>
    <t>倍所有主動技能持續時間</t>
  </si>
  <si>
    <t>倍所有黃金</t>
  </si>
  <si>
    <t>倍離線黃金</t>
  </si>
  <si>
    <t>倍致命打擊效果</t>
  </si>
  <si>
    <t>致命打擊持續時間增加</t>
  </si>
  <si>
    <t>倍離線傷害</t>
  </si>
  <si>
    <t>離線時怪物重生間隔</t>
  </si>
  <si>
    <t>多重泰坦機率</t>
  </si>
  <si>
    <t>最大多重泰坦數量增加</t>
  </si>
  <si>
    <t>離線時增加</t>
  </si>
  <si>
    <t>% 寵物傷害</t>
  </si>
  <si>
    <t>倍寵物致命打擊傷害</t>
  </si>
  <si>
    <t>% 公會飛船傷害</t>
  </si>
  <si>
    <t>倍公會致命打擊傷害</t>
  </si>
  <si>
    <t>% 影分身傷害</t>
  </si>
  <si>
    <t>倍影分身致命打擊傷害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</si>
</sst>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/d"/>
    <numFmt numFmtId="165" formatCode="0.00_);[Red]\(0.00\)"/>
    <numFmt numFmtId="166" formatCode="0.0"/>
    <numFmt numFmtId="167" formatCode="0.0%"/>
    <numFmt numFmtId="168" formatCode="0.000"/>
    <numFmt numFmtId="169" formatCode="0.000000"/>
  </numFmts>
  <fonts count="17">
    <font>
      <sz val="12.0"/>
      <color rgb="FF000000"/>
      <name val="PMingLiu"/>
    </font>
    <font>
      <name val="Microsoft JhengHei"/>
    </font>
    <font>
      <sz val="14.0"/>
      <name val="Microsoft JhengHei"/>
    </font>
    <font>
      <sz val="12.0"/>
      <color rgb="FF000000"/>
      <name val="Microsoft JhengHei"/>
    </font>
    <font/>
    <font>
      <sz val="20.0"/>
      <color rgb="FF000000"/>
      <name val="Microsoft JhengHei"/>
    </font>
    <font>
      <u/>
      <sz val="14.0"/>
      <color rgb="FF0000FF"/>
      <name val="Microsoft JhengHei"/>
    </font>
    <font>
      <sz val="18.0"/>
      <color rgb="FFFF0000"/>
      <name val="Microsoft JhengHei"/>
    </font>
    <font>
      <sz val="16.0"/>
      <name val="Microsoft JhengHei"/>
    </font>
    <font>
      <u/>
      <sz val="14.0"/>
      <color rgb="FF0000FF"/>
      <name val="Microsoft JhengHei"/>
    </font>
    <font>
      <color rgb="FFFFFFFF"/>
      <name val="Microsoft JhengHei"/>
    </font>
    <font>
      <sz val="12.0"/>
      <name val="Microsoft JhengHei"/>
    </font>
    <font>
      <sz val="12.0"/>
      <color rgb="FF000000"/>
      <name val="Microsoft jhenhei"/>
    </font>
    <font>
      <sz val="12.0"/>
      <color rgb="FFFF0000"/>
      <name val="Microsoft JhengHei"/>
    </font>
    <font>
      <color rgb="FFFF0000"/>
      <name val="Microsoft JhengHei"/>
    </font>
    <font>
      <sz val="11.0"/>
      <name val="Microsoft JhengHei"/>
    </font>
    <font>
      <sz val="12.0"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CCCC"/>
        <bgColor rgb="FFFFCCCC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FD9FF"/>
        <bgColor rgb="FFFFD9FF"/>
      </patternFill>
    </fill>
    <fill>
      <patternFill patternType="solid">
        <fgColor rgb="FFFFFFCC"/>
        <bgColor rgb="FFFFFFCC"/>
      </patternFill>
    </fill>
    <fill>
      <patternFill patternType="solid">
        <fgColor rgb="FFE2EFD9"/>
        <bgColor rgb="FFE2EFD9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D0CECE"/>
        <bgColor rgb="FFD0CECE"/>
      </patternFill>
    </fill>
    <fill>
      <patternFill patternType="solid">
        <fgColor rgb="FFF4CCCC"/>
        <bgColor rgb="FFF4CCCC"/>
      </patternFill>
    </fill>
  </fills>
  <borders count="5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2" fillId="0" fontId="4" numFmtId="0" xfId="0" applyAlignment="1" applyBorder="1" applyFont="1">
      <alignment vertical="center"/>
    </xf>
    <xf borderId="3" fillId="3" fontId="1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0" fontId="4" numFmtId="0" xfId="0" applyAlignment="1" applyBorder="1" applyFont="1">
      <alignment vertical="center"/>
    </xf>
    <xf borderId="3" fillId="4" fontId="3" numFmtId="0" xfId="0" applyAlignment="1" applyBorder="1" applyFill="1" applyFont="1">
      <alignment horizontal="center" vertical="center"/>
    </xf>
    <xf borderId="3" fillId="5" fontId="1" numFmtId="0" xfId="0" applyAlignment="1" applyBorder="1" applyFill="1" applyFont="1">
      <alignment horizontal="center" readingOrder="0" vertical="center"/>
    </xf>
    <xf borderId="3" fillId="6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" fillId="7" fontId="1" numFmtId="0" xfId="0" applyAlignment="1" applyBorder="1" applyFill="1" applyFont="1">
      <alignment horizontal="center" readingOrder="0" vertical="center"/>
    </xf>
    <xf borderId="7" fillId="3" fontId="5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3" fillId="9" fontId="1" numFmtId="0" xfId="0" applyAlignment="1" applyBorder="1" applyFill="1" applyFont="1">
      <alignment horizontal="center" readingOrder="0"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3" fillId="7" fontId="1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3" fillId="8" fontId="1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3" fillId="10" fontId="3" numFmtId="0" xfId="0" applyAlignment="1" applyBorder="1" applyFill="1" applyFont="1">
      <alignment horizontal="center" shrinkToFit="0" vertical="center" wrapText="1"/>
    </xf>
    <xf borderId="5" fillId="10" fontId="3" numFmtId="0" xfId="0" applyAlignment="1" applyBorder="1" applyFont="1">
      <alignment horizontal="center" shrinkToFit="0" vertical="center" wrapText="1"/>
    </xf>
    <xf borderId="3" fillId="9" fontId="1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shrinkToFit="0" vertical="center" wrapText="1"/>
    </xf>
    <xf borderId="5" fillId="8" fontId="1" numFmtId="164" xfId="0" applyAlignment="1" applyBorder="1" applyFont="1" applyNumberFormat="1">
      <alignment horizontal="center" readingOrder="0" vertical="center"/>
    </xf>
    <xf borderId="15" fillId="10" fontId="3" numFmtId="0" xfId="0" applyAlignment="1" applyBorder="1" applyFont="1">
      <alignment horizontal="center" shrinkToFit="0" vertical="center" wrapText="1"/>
    </xf>
    <xf borderId="1" fillId="8" fontId="3" numFmtId="0" xfId="0" applyAlignment="1" applyBorder="1" applyFont="1">
      <alignment horizontal="left" shrinkToFit="0" vertical="center" wrapText="1"/>
    </xf>
    <xf borderId="15" fillId="5" fontId="1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" fillId="11" fontId="2" numFmtId="0" xfId="0" applyAlignment="1" applyBorder="1" applyFill="1" applyFont="1">
      <alignment readingOrder="0" vertical="center"/>
    </xf>
    <xf borderId="18" fillId="12" fontId="3" numFmtId="0" xfId="0" applyAlignment="1" applyBorder="1" applyFill="1" applyFont="1">
      <alignment horizontal="center" shrinkToFit="0" vertical="center" wrapText="1"/>
    </xf>
    <xf borderId="6" fillId="10" fontId="3" numFmtId="0" xfId="0" applyAlignment="1" applyBorder="1" applyFont="1">
      <alignment horizontal="center" shrinkToFit="0" vertical="center" wrapText="1"/>
    </xf>
    <xf borderId="1" fillId="13" fontId="6" numFmtId="0" xfId="0" applyAlignment="1" applyBorder="1" applyFill="1" applyFont="1">
      <alignment horizontal="center" vertical="center"/>
    </xf>
    <xf borderId="7" fillId="11" fontId="5" numFmtId="0" xfId="0" applyAlignment="1" applyBorder="1" applyFont="1">
      <alignment horizontal="center" shrinkToFit="0" vertical="center" wrapText="1"/>
    </xf>
    <xf borderId="14" fillId="11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3" fillId="11" fontId="3" numFmtId="0" xfId="0" applyAlignment="1" applyBorder="1" applyFont="1">
      <alignment horizontal="center" readingOrder="0" vertical="center"/>
    </xf>
    <xf borderId="1" fillId="14" fontId="9" numFmtId="0" xfId="0" applyAlignment="1" applyBorder="1" applyFill="1" applyFont="1">
      <alignment horizontal="center" readingOrder="0" vertical="center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5" fillId="14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readingOrder="0" vertical="center"/>
    </xf>
    <xf borderId="5" fillId="9" fontId="3" numFmtId="0" xfId="0" applyAlignment="1" applyBorder="1" applyFont="1">
      <alignment horizontal="center" shrinkToFit="0" vertical="center" wrapText="1"/>
    </xf>
    <xf borderId="22" fillId="3" fontId="3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vertical="center"/>
    </xf>
    <xf borderId="3" fillId="9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0"/>
    </xf>
    <xf borderId="3" fillId="11" fontId="3" numFmtId="0" xfId="0" applyAlignment="1" applyBorder="1" applyFont="1">
      <alignment horizontal="center" vertical="center"/>
    </xf>
    <xf borderId="22" fillId="11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3" fillId="6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11" fontId="3" numFmtId="0" xfId="0" applyAlignment="1" applyBorder="1" applyFont="1">
      <alignment horizontal="center" vertical="center"/>
    </xf>
    <xf borderId="26" fillId="0" fontId="4" numFmtId="0" xfId="0" applyAlignment="1" applyBorder="1" applyFont="1">
      <alignment vertical="center"/>
    </xf>
    <xf borderId="27" fillId="9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5" fillId="6" fontId="1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vertical="center"/>
    </xf>
    <xf borderId="3" fillId="12" fontId="3" numFmtId="0" xfId="0" applyAlignment="1" applyBorder="1" applyFont="1">
      <alignment horizontal="center" shrinkToFit="0" vertical="center" wrapText="1"/>
    </xf>
    <xf borderId="3" fillId="8" fontId="3" numFmtId="0" xfId="0" applyAlignment="1" applyBorder="1" applyFont="1">
      <alignment horizontal="center" vertical="center"/>
    </xf>
    <xf borderId="3" fillId="9" fontId="3" numFmtId="0" xfId="0" applyAlignment="1" applyBorder="1" applyFont="1">
      <alignment horizontal="center" vertical="center"/>
    </xf>
    <xf borderId="28" fillId="12" fontId="3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horizontal="center" vertical="center"/>
    </xf>
    <xf borderId="26" fillId="9" fontId="3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readingOrder="0" vertical="center"/>
    </xf>
    <xf borderId="29" fillId="3" fontId="3" numFmtId="0" xfId="0" applyAlignment="1" applyBorder="1" applyFont="1">
      <alignment horizontal="center" shrinkToFit="0" vertical="center" wrapText="1"/>
    </xf>
    <xf borderId="30" fillId="10" fontId="3" numFmtId="0" xfId="0" applyAlignment="1" applyBorder="1" applyFont="1">
      <alignment horizontal="center" shrinkToFit="0" vertical="center" wrapText="1"/>
    </xf>
    <xf borderId="31" fillId="3" fontId="3" numFmtId="0" xfId="0" applyAlignment="1" applyBorder="1" applyFont="1">
      <alignment horizontal="center" shrinkToFit="0" vertical="center" wrapText="1"/>
    </xf>
    <xf borderId="32" fillId="10" fontId="3" numFmtId="0" xfId="0" applyAlignment="1" applyBorder="1" applyFont="1">
      <alignment horizontal="center" shrinkToFit="0" vertical="center" wrapText="1"/>
    </xf>
    <xf borderId="33" fillId="11" fontId="3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5" fillId="9" fontId="1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34" fillId="9" fontId="3" numFmtId="0" xfId="0" applyAlignment="1" applyBorder="1" applyFont="1">
      <alignment horizontal="center" shrinkToFit="0" vertical="center" wrapText="1"/>
    </xf>
    <xf borderId="3" fillId="10" fontId="1" numFmtId="0" xfId="0" applyAlignment="1" applyBorder="1" applyFont="1">
      <alignment horizontal="center" readingOrder="0" vertical="center"/>
    </xf>
    <xf borderId="35" fillId="10" fontId="3" numFmtId="0" xfId="0" applyAlignment="1" applyBorder="1" applyFont="1">
      <alignment horizontal="center" shrinkToFit="0" vertical="center" wrapText="1"/>
    </xf>
    <xf borderId="35" fillId="12" fontId="3" numFmtId="0" xfId="0" applyAlignment="1" applyBorder="1" applyFont="1">
      <alignment horizontal="center" shrinkToFit="0" vertical="center" wrapText="1"/>
    </xf>
    <xf borderId="36" fillId="9" fontId="3" numFmtId="0" xfId="0" applyAlignment="1" applyBorder="1" applyFont="1">
      <alignment horizontal="center" shrinkToFit="0" vertical="center" wrapText="1"/>
    </xf>
    <xf borderId="37" fillId="9" fontId="3" numFmtId="0" xfId="0" applyAlignment="1" applyBorder="1" applyFont="1">
      <alignment horizontal="center" shrinkToFit="0" vertical="center" wrapText="1"/>
    </xf>
    <xf borderId="38" fillId="10" fontId="3" numFmtId="0" xfId="0" applyAlignment="1" applyBorder="1" applyFont="1">
      <alignment horizontal="center" shrinkToFit="0" vertical="center" wrapText="1"/>
    </xf>
    <xf borderId="39" fillId="12" fontId="3" numFmtId="0" xfId="0" applyAlignment="1" applyBorder="1" applyFont="1">
      <alignment horizontal="center" shrinkToFit="0" vertical="center" wrapText="1"/>
    </xf>
    <xf borderId="3" fillId="11" fontId="3" numFmtId="0" xfId="0" applyAlignment="1" applyBorder="1" applyFont="1">
      <alignment horizontal="center" readingOrder="0" shrinkToFit="0" vertical="center" wrapText="1"/>
    </xf>
    <xf borderId="3" fillId="11" fontId="1" numFmtId="0" xfId="0" applyAlignment="1" applyBorder="1" applyFont="1">
      <alignment horizontal="center" readingOrder="0" vertical="center"/>
    </xf>
    <xf borderId="40" fillId="3" fontId="3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vertical="center"/>
    </xf>
    <xf borderId="3" fillId="5" fontId="3" numFmtId="0" xfId="0" applyAlignment="1" applyBorder="1" applyFont="1">
      <alignment horizontal="center" readingOrder="0" shrinkToFit="0" vertical="center" wrapText="1"/>
    </xf>
    <xf borderId="5" fillId="11" fontId="1" numFmtId="0" xfId="0" applyAlignment="1" applyBorder="1" applyFont="1">
      <alignment horizontal="center" readingOrder="0" vertical="center"/>
    </xf>
    <xf borderId="41" fillId="9" fontId="3" numFmtId="0" xfId="0" applyAlignment="1" applyBorder="1" applyFont="1">
      <alignment horizontal="center" shrinkToFit="0" vertical="center" wrapText="1"/>
    </xf>
    <xf borderId="3" fillId="8" fontId="3" numFmtId="0" xfId="0" applyAlignment="1" applyBorder="1" applyFont="1">
      <alignment horizontal="center" readingOrder="0" vertical="center"/>
    </xf>
    <xf borderId="42" fillId="12" fontId="3" numFmtId="0" xfId="0" applyAlignment="1" applyBorder="1" applyFont="1">
      <alignment horizontal="center" shrinkToFit="0" vertical="center" wrapText="1"/>
    </xf>
    <xf borderId="3" fillId="9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3" fillId="9" fontId="1" numFmtId="4" xfId="0" applyAlignment="1" applyBorder="1" applyFont="1" applyNumberFormat="1">
      <alignment horizontal="center" readingOrder="0" vertical="center"/>
    </xf>
    <xf borderId="3" fillId="2" fontId="1" numFmtId="49" xfId="0" applyAlignment="1" applyBorder="1" applyFont="1" applyNumberForma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15" fontId="1" numFmtId="0" xfId="0" applyAlignment="1" applyBorder="1" applyFill="1" applyFont="1">
      <alignment horizontal="center" readingOrder="0" vertical="center"/>
    </xf>
    <xf borderId="43" fillId="3" fontId="3" numFmtId="0" xfId="0" applyAlignment="1" applyBorder="1" applyFont="1">
      <alignment horizontal="center" shrinkToFit="0" vertical="center" wrapText="1"/>
    </xf>
    <xf borderId="44" fillId="12" fontId="3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3" fillId="3" fontId="3" numFmtId="0" xfId="0" applyAlignment="1" applyBorder="1" applyFont="1">
      <alignment horizontal="right" vertical="center"/>
    </xf>
    <xf borderId="3" fillId="0" fontId="3" numFmtId="0" xfId="0" applyAlignment="1" applyBorder="1" applyFont="1">
      <alignment readingOrder="0" shrinkToFit="0" vertical="center" wrapText="1"/>
    </xf>
    <xf borderId="3" fillId="12" fontId="3" numFmtId="0" xfId="0" applyAlignment="1" applyBorder="1" applyFont="1">
      <alignment horizontal="center" readingOrder="0" shrinkToFit="0" vertical="center" wrapText="1"/>
    </xf>
    <xf borderId="5" fillId="5" fontId="3" numFmtId="10" xfId="0" applyAlignment="1" applyBorder="1" applyFont="1" applyNumberFormat="1">
      <alignment horizontal="center" readingOrder="0" vertical="center"/>
    </xf>
    <xf borderId="3" fillId="13" fontId="3" numFmtId="0" xfId="0" applyAlignment="1" applyBorder="1" applyFont="1">
      <alignment horizontal="center" vertical="center"/>
    </xf>
    <xf borderId="3" fillId="13" fontId="1" numFmtId="0" xfId="0" applyAlignment="1" applyBorder="1" applyFont="1">
      <alignment horizontal="center" readingOrder="0" vertical="center"/>
    </xf>
    <xf borderId="7" fillId="7" fontId="5" numFmtId="0" xfId="0" applyAlignment="1" applyBorder="1" applyFont="1">
      <alignment horizontal="center" shrinkToFit="0" vertical="center" wrapText="1"/>
    </xf>
    <xf borderId="14" fillId="7" fontId="3" numFmtId="0" xfId="0" applyAlignment="1" applyBorder="1" applyFont="1">
      <alignment horizontal="center" shrinkToFit="0" vertical="center" wrapText="1"/>
    </xf>
    <xf borderId="3" fillId="9" fontId="3" numFmtId="9" xfId="0" applyAlignment="1" applyBorder="1" applyFont="1" applyNumberFormat="1">
      <alignment horizontal="center" vertical="center"/>
    </xf>
    <xf borderId="7" fillId="8" fontId="5" numFmtId="0" xfId="0" applyAlignment="1" applyBorder="1" applyFont="1">
      <alignment horizontal="center" shrinkToFit="0" vertical="center" wrapText="1"/>
    </xf>
    <xf borderId="3" fillId="13" fontId="3" numFmtId="10" xfId="0" applyAlignment="1" applyBorder="1" applyFont="1" applyNumberFormat="1">
      <alignment horizontal="center" vertical="center"/>
    </xf>
    <xf borderId="14" fillId="8" fontId="3" numFmtId="0" xfId="0" applyAlignment="1" applyBorder="1" applyFont="1">
      <alignment horizontal="center" shrinkToFit="0" vertical="center" wrapText="1"/>
    </xf>
    <xf borderId="3" fillId="13" fontId="1" numFmtId="0" xfId="0" applyAlignment="1" applyBorder="1" applyFont="1">
      <alignment horizontal="center" vertical="center"/>
    </xf>
    <xf borderId="45" fillId="12" fontId="3" numFmtId="0" xfId="0" applyAlignment="1" applyBorder="1" applyFont="1">
      <alignment horizontal="center" shrinkToFit="0" vertical="center" wrapText="1"/>
    </xf>
    <xf borderId="3" fillId="6" fontId="3" numFmtId="165" xfId="0" applyAlignment="1" applyBorder="1" applyFont="1" applyNumberFormat="1">
      <alignment horizontal="center" vertical="center"/>
    </xf>
    <xf borderId="3" fillId="6" fontId="3" numFmtId="166" xfId="0" applyAlignment="1" applyBorder="1" applyFont="1" applyNumberFormat="1">
      <alignment horizontal="center" vertical="center"/>
    </xf>
    <xf borderId="13" fillId="7" fontId="3" numFmtId="0" xfId="0" applyAlignment="1" applyBorder="1" applyFont="1">
      <alignment horizontal="center" vertical="center"/>
    </xf>
    <xf borderId="3" fillId="6" fontId="3" numFmtId="9" xfId="0" applyAlignment="1" applyBorder="1" applyFont="1" applyNumberFormat="1">
      <alignment horizontal="center" vertical="center"/>
    </xf>
    <xf borderId="22" fillId="7" fontId="3" numFmtId="0" xfId="0" applyAlignment="1" applyBorder="1" applyFont="1">
      <alignment horizontal="center" shrinkToFit="0" vertical="center" wrapText="1"/>
    </xf>
    <xf borderId="22" fillId="8" fontId="3" numFmtId="0" xfId="0" applyAlignment="1" applyBorder="1" applyFont="1">
      <alignment horizontal="center" shrinkToFit="0" vertical="center" wrapText="1"/>
    </xf>
    <xf borderId="3" fillId="6" fontId="3" numFmtId="10" xfId="0" applyAlignment="1" applyBorder="1" applyFont="1" applyNumberFormat="1">
      <alignment horizontal="center" vertical="center"/>
    </xf>
    <xf borderId="12" fillId="7" fontId="3" numFmtId="0" xfId="0" applyAlignment="1" applyBorder="1" applyFont="1">
      <alignment horizontal="center" shrinkToFit="0" vertical="center" wrapText="1"/>
    </xf>
    <xf borderId="2" fillId="7" fontId="3" numFmtId="0" xfId="0" applyAlignment="1" applyBorder="1" applyFont="1">
      <alignment horizontal="center" shrinkToFit="0" vertical="center" wrapText="1"/>
    </xf>
    <xf borderId="0" fillId="0" fontId="1" numFmtId="167" xfId="0" applyAlignment="1" applyFont="1" applyNumberFormat="1">
      <alignment horizontal="center" vertical="center"/>
    </xf>
    <xf borderId="3" fillId="3" fontId="1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readingOrder="0" vertical="center"/>
    </xf>
    <xf borderId="12" fillId="7" fontId="3" numFmtId="0" xfId="0" applyAlignment="1" applyBorder="1" applyFont="1">
      <alignment horizontal="center" readingOrder="0" shrinkToFit="0" vertical="center" wrapText="1"/>
    </xf>
    <xf borderId="46" fillId="10" fontId="3" numFmtId="0" xfId="0" applyAlignment="1" applyBorder="1" applyFont="1">
      <alignment horizontal="center" shrinkToFit="0" vertical="center" wrapText="1"/>
    </xf>
    <xf borderId="0" fillId="0" fontId="1" numFmtId="168" xfId="0" applyAlignment="1" applyFont="1" applyNumberFormat="1">
      <alignment horizontal="center" vertical="center"/>
    </xf>
    <xf borderId="14" fillId="8" fontId="3" numFmtId="0" xfId="0" applyAlignment="1" applyBorder="1" applyFont="1">
      <alignment horizontal="center" readingOrder="0" shrinkToFit="0" vertical="center" wrapText="1"/>
    </xf>
    <xf borderId="0" fillId="0" fontId="1" numFmtId="11" xfId="0" applyAlignment="1" applyFont="1" applyNumberFormat="1">
      <alignment horizontal="center" vertical="center"/>
    </xf>
    <xf borderId="47" fillId="10" fontId="3" numFmtId="0" xfId="0" applyAlignment="1" applyBorder="1" applyFont="1">
      <alignment horizontal="center" shrinkToFit="0" vertical="center" wrapText="1"/>
    </xf>
    <xf borderId="3" fillId="7" fontId="3" numFmtId="0" xfId="0" applyAlignment="1" applyBorder="1" applyFont="1">
      <alignment horizontal="center" vertical="center"/>
    </xf>
    <xf borderId="3" fillId="11" fontId="1" numFmtId="0" xfId="0" applyAlignment="1" applyBorder="1" applyFont="1">
      <alignment horizontal="center" vertical="center"/>
    </xf>
    <xf borderId="3" fillId="8" fontId="1" numFmtId="0" xfId="0" applyAlignment="1" applyBorder="1" applyFont="1">
      <alignment horizontal="center" readingOrder="0" vertical="center"/>
    </xf>
    <xf borderId="3" fillId="10" fontId="1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3" fillId="10" fontId="3" numFmtId="0" xfId="0" applyAlignment="1" applyBorder="1" applyFont="1">
      <alignment horizontal="center" vertical="center"/>
    </xf>
    <xf borderId="3" fillId="0" fontId="11" numFmtId="0" xfId="0" applyAlignment="1" applyBorder="1" applyFont="1">
      <alignment vertical="center"/>
    </xf>
    <xf borderId="3" fillId="2" fontId="11" numFmtId="0" xfId="0" applyAlignment="1" applyBorder="1" applyFont="1">
      <alignment horizontal="center" vertical="center"/>
    </xf>
    <xf borderId="3" fillId="10" fontId="3" numFmtId="0" xfId="0" applyAlignment="1" applyBorder="1" applyFont="1">
      <alignment horizontal="center" readingOrder="0" vertical="center"/>
    </xf>
    <xf borderId="3" fillId="7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3" fillId="13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3" fillId="7" fontId="1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9" fillId="7" fontId="12" numFmtId="0" xfId="0" applyAlignment="1" applyBorder="1" applyFont="1">
      <alignment horizontal="center" vertical="center"/>
    </xf>
    <xf borderId="5" fillId="7" fontId="12" numFmtId="0" xfId="0" applyAlignment="1" applyBorder="1" applyFont="1">
      <alignment horizontal="center" vertical="center"/>
    </xf>
    <xf borderId="6" fillId="7" fontId="12" numFmtId="0" xfId="0" applyAlignment="1" applyBorder="1" applyFont="1">
      <alignment horizontal="center" vertical="center"/>
    </xf>
    <xf borderId="3" fillId="11" fontId="12" numFmtId="0" xfId="0" applyAlignment="1" applyBorder="1" applyFont="1">
      <alignment horizontal="center" vertical="center"/>
    </xf>
    <xf borderId="48" fillId="8" fontId="12" numFmtId="0" xfId="0" applyAlignment="1" applyBorder="1" applyFont="1">
      <alignment horizontal="center" vertical="center"/>
    </xf>
    <xf borderId="3" fillId="8" fontId="12" numFmtId="0" xfId="0" applyAlignment="1" applyBorder="1" applyFont="1">
      <alignment horizontal="center" vertical="center"/>
    </xf>
    <xf borderId="39" fillId="8" fontId="12" numFmtId="0" xfId="0" applyAlignment="1" applyBorder="1" applyFont="1">
      <alignment horizontal="center" vertical="center"/>
    </xf>
    <xf borderId="5" fillId="11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bottom" wrapText="1"/>
    </xf>
    <xf borderId="3" fillId="16" fontId="3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10" xfId="0" applyAlignment="1" applyFont="1" applyNumberFormat="1">
      <alignment vertical="center"/>
    </xf>
    <xf borderId="0" fillId="0" fontId="1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righ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0" fillId="0" fontId="3" numFmtId="10" xfId="0" applyAlignment="1" applyFont="1" applyNumberFormat="1">
      <alignment horizontal="center" vertical="center"/>
    </xf>
    <xf borderId="0" fillId="0" fontId="3" numFmtId="4" xfId="0" applyAlignment="1" applyFont="1" applyNumberFormat="1">
      <alignment horizontal="center" vertical="center"/>
    </xf>
    <xf borderId="49" fillId="3" fontId="3" numFmtId="0" xfId="0" applyAlignment="1" applyBorder="1" applyFont="1">
      <alignment horizontal="center" vertical="center"/>
    </xf>
    <xf borderId="50" fillId="2" fontId="3" numFmtId="0" xfId="0" applyAlignment="1" applyBorder="1" applyFont="1">
      <alignment horizontal="center" vertical="center"/>
    </xf>
    <xf borderId="0" fillId="0" fontId="3" numFmtId="168" xfId="0" applyAlignment="1" applyFont="1" applyNumberFormat="1">
      <alignment horizontal="center" vertical="center"/>
    </xf>
    <xf borderId="0" fillId="0" fontId="3" numFmtId="169" xfId="0" applyAlignment="1" applyFont="1" applyNumberFormat="1">
      <alignment horizontal="center" vertical="center"/>
    </xf>
    <xf borderId="0" fillId="0" fontId="13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3" numFmtId="49" xfId="0" applyAlignment="1" applyFont="1" applyNumberFormat="1">
      <alignment horizontal="right" vertical="center"/>
    </xf>
    <xf borderId="0" fillId="0" fontId="11" numFmtId="0" xfId="0" applyAlignment="1" applyFont="1">
      <alignment horizontal="center" readingOrder="0" vertical="center"/>
    </xf>
    <xf borderId="0" fillId="0" fontId="3" numFmtId="11" xfId="0" applyAlignment="1" applyFont="1" applyNumberFormat="1">
      <alignment vertical="center"/>
    </xf>
    <xf borderId="0" fillId="0" fontId="3" numFmtId="4" xfId="0" applyAlignment="1" applyFont="1" applyNumberFormat="1">
      <alignment horizontal="right" vertical="center"/>
    </xf>
    <xf borderId="0" fillId="0" fontId="11" numFmtId="0" xfId="0" applyAlignment="1" applyFont="1">
      <alignment horizontal="right" vertical="center"/>
    </xf>
    <xf borderId="0" fillId="5" fontId="3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vertical="center"/>
    </xf>
    <xf borderId="3" fillId="2" fontId="3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vertical="center"/>
    </xf>
    <xf borderId="3" fillId="2" fontId="3" numFmtId="11" xfId="0" applyAlignment="1" applyBorder="1" applyFont="1" applyNumberFormat="1">
      <alignment horizontal="center" readingOrder="0" vertical="center"/>
    </xf>
    <xf borderId="3" fillId="8" fontId="3" numFmtId="0" xfId="0" applyAlignment="1" applyBorder="1" applyFont="1">
      <alignment horizontal="center" readingOrder="0" vertical="center"/>
    </xf>
    <xf borderId="50" fillId="8" fontId="3" numFmtId="0" xfId="0" applyAlignment="1" applyBorder="1" applyFont="1">
      <alignment horizontal="center" vertical="center"/>
    </xf>
    <xf borderId="13" fillId="8" fontId="3" numFmtId="0" xfId="0" applyAlignment="1" applyBorder="1" applyFont="1">
      <alignment horizontal="center" vertical="center"/>
    </xf>
    <xf borderId="51" fillId="8" fontId="3" numFmtId="0" xfId="0" applyAlignment="1" applyBorder="1" applyFont="1">
      <alignment horizontal="center" readingOrder="0" vertical="center"/>
    </xf>
    <xf borderId="51" fillId="8" fontId="3" numFmtId="0" xfId="0" applyAlignment="1" applyBorder="1" applyFont="1">
      <alignment horizontal="center" vertical="center"/>
    </xf>
    <xf borderId="3" fillId="8" fontId="3" numFmtId="11" xfId="0" applyAlignment="1" applyBorder="1" applyFont="1" applyNumberFormat="1">
      <alignment horizontal="center" readingOrder="0" vertical="center"/>
    </xf>
    <xf borderId="3" fillId="7" fontId="3" numFmtId="0" xfId="0" applyAlignment="1" applyBorder="1" applyFont="1">
      <alignment horizontal="center" readingOrder="0" vertical="center"/>
    </xf>
    <xf borderId="3" fillId="7" fontId="3" numFmtId="11" xfId="0" applyAlignment="1" applyBorder="1" applyFont="1" applyNumberFormat="1">
      <alignment horizontal="center" readingOrder="0" vertical="center"/>
    </xf>
    <xf borderId="49" fillId="7" fontId="3" numFmtId="0" xfId="0" applyAlignment="1" applyBorder="1" applyFont="1">
      <alignment horizontal="center" readingOrder="0" vertical="center"/>
    </xf>
    <xf borderId="49" fillId="7" fontId="3" numFmtId="0" xfId="0" applyAlignment="1" applyBorder="1" applyFont="1">
      <alignment horizontal="center" vertical="center"/>
    </xf>
    <xf borderId="39" fillId="7" fontId="3" numFmtId="0" xfId="0" applyAlignment="1" applyBorder="1" applyFont="1">
      <alignment horizontal="center" readingOrder="0" vertical="center"/>
    </xf>
    <xf borderId="39" fillId="7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50" fillId="3" fontId="3" numFmtId="0" xfId="0" applyAlignment="1" applyBorder="1" applyFont="1">
      <alignment horizontal="center" vertical="center"/>
    </xf>
    <xf borderId="52" fillId="3" fontId="3" numFmtId="0" xfId="0" applyAlignment="1" applyBorder="1" applyFont="1">
      <alignment horizontal="center" vertical="center"/>
    </xf>
    <xf borderId="3" fillId="3" fontId="3" numFmtId="11" xfId="0" applyAlignment="1" applyBorder="1" applyFont="1" applyNumberFormat="1">
      <alignment horizontal="center" readingOrder="0" vertical="center"/>
    </xf>
    <xf borderId="39" fillId="3" fontId="3" numFmtId="0" xfId="0" applyAlignment="1" applyBorder="1" applyFont="1">
      <alignment horizontal="center" vertical="center"/>
    </xf>
    <xf borderId="39" fillId="3" fontId="3" numFmtId="11" xfId="0" applyAlignment="1" applyBorder="1" applyFont="1" applyNumberFormat="1">
      <alignment horizontal="center" readingOrder="0" vertical="center"/>
    </xf>
    <xf borderId="39" fillId="3" fontId="3" numFmtId="0" xfId="0" applyAlignment="1" applyBorder="1" applyFont="1">
      <alignment horizontal="center" readingOrder="0" vertical="center"/>
    </xf>
    <xf borderId="39" fillId="3" fontId="3" numFmtId="0" xfId="0" applyAlignment="1" applyBorder="1" applyFont="1">
      <alignment horizontal="center" readingOrder="0" vertical="center"/>
    </xf>
    <xf borderId="3" fillId="17" fontId="3" numFmtId="0" xfId="0" applyAlignment="1" applyBorder="1" applyFill="1" applyFont="1">
      <alignment horizontal="center" vertical="center"/>
    </xf>
    <xf borderId="3" fillId="17" fontId="3" numFmtId="11" xfId="0" applyAlignment="1" applyBorder="1" applyFont="1" applyNumberFormat="1">
      <alignment horizontal="center" readingOrder="0" vertical="center"/>
    </xf>
    <xf borderId="3" fillId="17" fontId="3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 vertical="center"/>
    </xf>
    <xf borderId="5" fillId="17" fontId="3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" fillId="17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readingOrder="0" vertical="center"/>
    </xf>
    <xf quotePrefix="1" borderId="0" fillId="0" fontId="12" numFmtId="0" xfId="0" applyAlignment="1" applyFont="1">
      <alignment vertical="center"/>
    </xf>
    <xf borderId="0" fillId="0" fontId="12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9" width="8.44"/>
    <col customWidth="1" min="10" max="26" width="6.78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6.5" customHeight="1">
      <c r="A2" s="1"/>
      <c r="B2" s="3" t="s">
        <v>0</v>
      </c>
      <c r="C2" s="5"/>
      <c r="D2" s="5"/>
      <c r="E2" s="5"/>
      <c r="F2" s="5"/>
      <c r="G2" s="5"/>
      <c r="H2" s="5"/>
      <c r="I2" s="7"/>
      <c r="J2" s="1"/>
      <c r="K2" s="9" t="s">
        <v>6</v>
      </c>
      <c r="L2" s="11"/>
      <c r="M2" s="20"/>
      <c r="N2" s="1"/>
      <c r="O2" s="1"/>
      <c r="P2" s="1"/>
      <c r="Q2" s="1"/>
      <c r="R2" s="1"/>
    </row>
    <row r="3" ht="16.5" customHeight="1">
      <c r="A3" s="1"/>
      <c r="B3" s="24"/>
      <c r="C3" s="26"/>
      <c r="D3" s="26"/>
      <c r="E3" s="26"/>
      <c r="F3" s="26"/>
      <c r="G3" s="26"/>
      <c r="H3" s="26"/>
      <c r="I3" s="28"/>
      <c r="J3" s="1"/>
      <c r="K3" s="33">
        <v>43610.0</v>
      </c>
      <c r="L3" s="11"/>
      <c r="M3" s="20"/>
      <c r="N3" s="1"/>
      <c r="O3" s="1"/>
      <c r="P3" s="1"/>
      <c r="Q3" s="1"/>
      <c r="R3" s="1"/>
    </row>
    <row r="4" ht="16.5" customHeight="1">
      <c r="A4" s="1"/>
      <c r="B4" s="35" t="s">
        <v>21</v>
      </c>
      <c r="C4" s="5"/>
      <c r="D4" s="5"/>
      <c r="E4" s="5"/>
      <c r="F4" s="5"/>
      <c r="G4" s="5"/>
      <c r="H4" s="5"/>
      <c r="I4" s="7"/>
      <c r="J4" s="1"/>
      <c r="K4" s="2"/>
      <c r="L4" s="2"/>
      <c r="M4" s="1"/>
      <c r="N4" s="1"/>
      <c r="O4" s="1"/>
      <c r="P4" s="1"/>
      <c r="Q4" s="1"/>
      <c r="R4" s="1"/>
    </row>
    <row r="5" ht="16.5" customHeight="1">
      <c r="A5" s="1"/>
      <c r="B5" s="37"/>
      <c r="I5" s="38"/>
      <c r="J5" s="1"/>
      <c r="K5" s="2"/>
      <c r="L5" s="2"/>
      <c r="M5" s="1"/>
      <c r="N5" s="1"/>
      <c r="O5" s="1"/>
      <c r="P5" s="1"/>
      <c r="Q5" s="1"/>
      <c r="R5" s="1"/>
    </row>
    <row r="6" ht="16.5" customHeight="1">
      <c r="A6" s="1"/>
      <c r="B6" s="37"/>
      <c r="I6" s="38"/>
      <c r="J6" s="1"/>
      <c r="K6" s="39" t="s">
        <v>22</v>
      </c>
      <c r="L6" s="5"/>
      <c r="M6" s="5"/>
      <c r="N6" s="5"/>
      <c r="O6" s="5"/>
      <c r="P6" s="5"/>
      <c r="Q6" s="5"/>
      <c r="R6" s="5"/>
      <c r="S6" s="5"/>
      <c r="T6" s="5"/>
      <c r="U6" s="5"/>
      <c r="V6" s="7"/>
    </row>
    <row r="7" ht="16.5" customHeight="1">
      <c r="A7" s="1"/>
      <c r="B7" s="37"/>
      <c r="I7" s="38"/>
      <c r="J7" s="1"/>
      <c r="K7" s="24"/>
      <c r="L7" s="26"/>
      <c r="M7" s="26"/>
      <c r="N7" s="26"/>
      <c r="O7" s="26"/>
      <c r="P7" s="26"/>
      <c r="Q7" s="26"/>
      <c r="R7" s="26"/>
      <c r="S7" s="26"/>
      <c r="T7" s="26"/>
      <c r="U7" s="26"/>
      <c r="V7" s="28"/>
    </row>
    <row r="8" ht="16.5" customHeight="1">
      <c r="A8" s="1"/>
      <c r="B8" s="37"/>
      <c r="I8" s="38"/>
      <c r="J8" s="1"/>
      <c r="K8" s="42" t="str">
        <f>HYPERLINK("https://www.gamingforgood.net/s/littlecat117/widget","傳送門")</f>
        <v>傳送門</v>
      </c>
      <c r="L8" s="7"/>
      <c r="M8" s="42" t="str">
        <f>HYPERLINK("https://docs.google.com/document/d/1_arvJsirEkYWZXHuVaAyV2TRzswpe-0pthIJQWaWlDI/edit?usp=sharing","贊助教學")</f>
        <v>贊助教學</v>
      </c>
      <c r="N8" s="7"/>
      <c r="O8" s="1"/>
      <c r="P8" s="1"/>
      <c r="Q8" s="1"/>
      <c r="R8" s="1"/>
    </row>
    <row r="9" ht="16.5" customHeight="1">
      <c r="A9" s="1"/>
      <c r="B9" s="24"/>
      <c r="C9" s="26"/>
      <c r="D9" s="26"/>
      <c r="E9" s="26"/>
      <c r="F9" s="26"/>
      <c r="G9" s="26"/>
      <c r="H9" s="26"/>
      <c r="I9" s="28"/>
      <c r="J9" s="1"/>
      <c r="K9" s="24"/>
      <c r="L9" s="28"/>
      <c r="M9" s="24"/>
      <c r="N9" s="28"/>
      <c r="O9" s="1"/>
      <c r="P9" s="1"/>
      <c r="Q9" s="1"/>
      <c r="R9" s="1"/>
    </row>
    <row r="10" ht="16.5" customHeight="1">
      <c r="A10" s="1"/>
      <c r="B10" s="45" t="s">
        <v>26</v>
      </c>
      <c r="C10" s="5"/>
      <c r="D10" s="5"/>
      <c r="E10" s="5"/>
      <c r="F10" s="5"/>
      <c r="G10" s="5"/>
      <c r="H10" s="5"/>
      <c r="I10" s="7"/>
      <c r="J10" s="1"/>
      <c r="K10" s="1"/>
      <c r="L10" s="1"/>
      <c r="M10" s="1"/>
      <c r="N10" s="1"/>
      <c r="O10" s="1"/>
      <c r="P10" s="1"/>
      <c r="Q10" s="1"/>
      <c r="R10" s="1"/>
    </row>
    <row r="11" ht="16.5" customHeight="1">
      <c r="A11" s="1"/>
      <c r="B11" s="24"/>
      <c r="C11" s="26"/>
      <c r="D11" s="26"/>
      <c r="E11" s="26"/>
      <c r="F11" s="26"/>
      <c r="G11" s="26"/>
      <c r="H11" s="26"/>
      <c r="I11" s="28"/>
      <c r="J11" s="1"/>
      <c r="K11" s="1"/>
      <c r="L11" s="1"/>
      <c r="M11" s="1"/>
      <c r="N11" s="1"/>
      <c r="O11" s="1"/>
      <c r="P11" s="1"/>
      <c r="Q11" s="1"/>
      <c r="R11" s="1"/>
    </row>
    <row r="12" ht="16.5" customHeight="1">
      <c r="A12" s="1"/>
      <c r="B12" s="46" t="s">
        <v>27</v>
      </c>
      <c r="C12" s="5"/>
      <c r="D12" s="5"/>
      <c r="E12" s="5"/>
      <c r="F12" s="5"/>
      <c r="G12" s="5"/>
      <c r="H12" s="5"/>
      <c r="I12" s="7"/>
      <c r="J12" s="1"/>
      <c r="K12" s="48" t="str">
        <f>HYPERLINK("https://drive.google.com/open?id=1vlg5_B51uUQrScp6gjvY6oV25qvev4tvW9uE8NnGWBM","模擬器新功能解說")</f>
        <v>模擬器新功能解說</v>
      </c>
      <c r="L12" s="5"/>
      <c r="M12" s="7"/>
      <c r="N12" s="51" t="s">
        <v>30</v>
      </c>
      <c r="O12" s="11"/>
      <c r="R12" s="1"/>
    </row>
    <row r="13" ht="16.5" customHeight="1">
      <c r="A13" s="1"/>
      <c r="B13" s="24"/>
      <c r="C13" s="26"/>
      <c r="D13" s="26"/>
      <c r="E13" s="26"/>
      <c r="F13" s="26"/>
      <c r="G13" s="26"/>
      <c r="H13" s="26"/>
      <c r="I13" s="28"/>
      <c r="J13" s="1"/>
      <c r="K13" s="24"/>
      <c r="L13" s="26"/>
      <c r="M13" s="28"/>
      <c r="N13" s="53" t="b">
        <v>0</v>
      </c>
      <c r="O13" s="11"/>
      <c r="R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55" t="s">
        <v>31</v>
      </c>
      <c r="L14" s="5"/>
      <c r="M14" s="5"/>
      <c r="N14" s="5"/>
      <c r="O14" s="5"/>
      <c r="P14" s="5"/>
      <c r="Q14" s="5"/>
      <c r="R14" s="7"/>
    </row>
    <row r="15" ht="16.5" customHeight="1">
      <c r="A15" s="1"/>
      <c r="B15" s="1"/>
      <c r="C15" s="1"/>
      <c r="D15" s="1"/>
      <c r="E15" s="1"/>
      <c r="F15" s="1"/>
      <c r="G15" s="1"/>
      <c r="H15" s="20"/>
      <c r="I15" s="1"/>
      <c r="J15" s="1"/>
      <c r="K15" s="37"/>
      <c r="R15" s="38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4"/>
      <c r="L16" s="26"/>
      <c r="M16" s="26"/>
      <c r="N16" s="26"/>
      <c r="O16" s="26"/>
      <c r="P16" s="26"/>
      <c r="Q16" s="26"/>
      <c r="R16" s="28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0"/>
      <c r="N19" s="1"/>
      <c r="O19" s="1"/>
      <c r="P19" s="1"/>
      <c r="Q19" s="1"/>
      <c r="R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20"/>
      <c r="L20" s="1"/>
      <c r="M20" s="1"/>
      <c r="N20" s="1"/>
      <c r="O20" s="1"/>
      <c r="P20" s="1"/>
      <c r="Q20" s="1"/>
      <c r="R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3">
    <mergeCell ref="K12:M13"/>
    <mergeCell ref="N12:O12"/>
    <mergeCell ref="N13:O13"/>
    <mergeCell ref="K14:R16"/>
    <mergeCell ref="K8:L9"/>
    <mergeCell ref="M8:N9"/>
    <mergeCell ref="B2:I3"/>
    <mergeCell ref="B4:I9"/>
    <mergeCell ref="K2:L2"/>
    <mergeCell ref="K3:L3"/>
    <mergeCell ref="K6:V7"/>
    <mergeCell ref="B10:I11"/>
    <mergeCell ref="B12:I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8.22"/>
    <col customWidth="1" min="3" max="3" width="10.0"/>
    <col customWidth="1" min="4" max="4" width="4.56"/>
    <col customWidth="1" min="5" max="5" width="9.44"/>
    <col customWidth="1" min="6" max="6" width="4.89"/>
    <col customWidth="1" min="7" max="7" width="11.22"/>
    <col customWidth="1" min="8" max="11" width="8.44"/>
    <col customWidth="1" min="12" max="12" width="11.22"/>
    <col customWidth="1" min="13" max="16" width="8.44"/>
    <col customWidth="1" min="17" max="17" width="11.22"/>
    <col customWidth="1" min="18" max="21" width="8.44"/>
    <col customWidth="1" min="22" max="22" width="7.11"/>
    <col customWidth="1" min="23" max="23" width="11.22"/>
    <col customWidth="1" min="24" max="27" width="8.44"/>
    <col customWidth="1" min="28" max="28" width="11.22"/>
    <col customWidth="1" min="29" max="32" width="8.44"/>
    <col customWidth="1" min="33" max="33" width="11.22"/>
    <col customWidth="1" min="34" max="37" width="8.44"/>
    <col customWidth="1" min="38" max="47" width="6.78"/>
  </cols>
  <sheetData>
    <row r="1" ht="16.5" customHeight="1">
      <c r="A1" s="1"/>
      <c r="B1" s="4"/>
      <c r="C1" s="4"/>
      <c r="D1" s="4"/>
      <c r="E1" s="4"/>
      <c r="F1" s="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6.5" customHeight="1">
      <c r="A2" s="1"/>
      <c r="B2" s="12" t="s">
        <v>7</v>
      </c>
      <c r="C2" s="14" t="s">
        <v>8</v>
      </c>
      <c r="D2" s="1"/>
      <c r="E2" s="16" t="s">
        <v>10</v>
      </c>
      <c r="F2" s="1"/>
      <c r="G2" s="18" t="s">
        <v>12</v>
      </c>
      <c r="H2" s="22"/>
      <c r="I2" s="23"/>
      <c r="J2" s="29" t="s">
        <v>15</v>
      </c>
      <c r="K2" s="30" t="s">
        <v>17</v>
      </c>
      <c r="L2" s="32" t="s">
        <v>18</v>
      </c>
      <c r="M2" s="34" t="s">
        <v>20</v>
      </c>
      <c r="N2" s="36"/>
      <c r="O2" s="34" t="s">
        <v>15</v>
      </c>
      <c r="P2" s="40">
        <f>IF('skill data'!Q122&gt;0,VLOOKUP('skill data'!Q122,simulationData!$AN$1:$AO$25,2,FALSE),0)</f>
        <v>0</v>
      </c>
      <c r="Q2" s="41" t="s">
        <v>23</v>
      </c>
      <c r="R2" s="8"/>
      <c r="S2" s="8"/>
      <c r="T2" s="8"/>
      <c r="U2" s="8"/>
      <c r="V2" s="10"/>
      <c r="W2" s="43" t="s">
        <v>24</v>
      </c>
      <c r="X2" s="22"/>
      <c r="Y2" s="23"/>
      <c r="Z2" s="29" t="s">
        <v>15</v>
      </c>
      <c r="AA2" s="30" t="s">
        <v>17</v>
      </c>
      <c r="AB2" s="44" t="s">
        <v>25</v>
      </c>
      <c r="AC2" s="34" t="s">
        <v>20</v>
      </c>
      <c r="AD2" s="36"/>
      <c r="AE2" s="34" t="s">
        <v>15</v>
      </c>
      <c r="AF2" s="40">
        <f>IF('skill data'!AG122&gt;0,VLOOKUP('skill data'!AG122,simulationData!$AN$1:$AO$25,2,FALSE),0)</f>
        <v>0</v>
      </c>
      <c r="AG2" s="41" t="s">
        <v>23</v>
      </c>
      <c r="AH2" s="8"/>
      <c r="AI2" s="8"/>
      <c r="AJ2" s="8"/>
      <c r="AK2" s="8"/>
      <c r="AL2" s="1"/>
      <c r="AM2" s="1"/>
      <c r="AN2" s="1"/>
      <c r="AO2" s="4"/>
      <c r="AP2" s="1"/>
      <c r="AQ2" s="1"/>
      <c r="AR2" s="1"/>
      <c r="AS2" s="1"/>
      <c r="AT2" s="1"/>
      <c r="AU2" s="1"/>
    </row>
    <row r="3" ht="16.5" customHeight="1">
      <c r="A3" s="1"/>
      <c r="B3" s="47" t="s">
        <v>28</v>
      </c>
      <c r="C3" s="14" t="s">
        <v>29</v>
      </c>
      <c r="D3" s="4"/>
      <c r="E3" s="16" t="b">
        <v>0</v>
      </c>
      <c r="F3" s="1"/>
      <c r="G3" s="49"/>
      <c r="H3" s="50"/>
      <c r="I3" s="52"/>
      <c r="J3" s="54">
        <f>P2+P8+P14+K8+K14+K20+U8+U14+U20</f>
        <v>0</v>
      </c>
      <c r="K3" s="56">
        <f>J3+J28+Z3+Z28</f>
        <v>0</v>
      </c>
      <c r="L3" s="57" t="str">
        <f>IF('skill data'!Q122&gt;0,'skill desc'!AD21,"無效果")</f>
        <v>無效果</v>
      </c>
      <c r="M3" s="5"/>
      <c r="N3" s="5"/>
      <c r="O3" s="5"/>
      <c r="P3" s="58"/>
      <c r="Q3" s="59" t="str">
        <f>'skill data'!Q37&amp;"e"&amp;'skill data'!R37</f>
        <v>1e0</v>
      </c>
      <c r="R3" s="60"/>
      <c r="S3" s="60"/>
      <c r="T3" s="60"/>
      <c r="U3" s="60"/>
      <c r="V3" s="60"/>
      <c r="W3" s="49"/>
      <c r="X3" s="50"/>
      <c r="Y3" s="52"/>
      <c r="Z3" s="61">
        <f>AA8+AA14+AA20+AF2+AF8+AF14+AF20+AK8+AK14+AK20</f>
        <v>0</v>
      </c>
      <c r="AA3" s="56">
        <f>K3</f>
        <v>0</v>
      </c>
      <c r="AB3" s="62" t="str">
        <f>IF('skill data'!AG122&gt;0,'skill desc'!AD69,"無效果")</f>
        <v>無效果</v>
      </c>
      <c r="AC3" s="5"/>
      <c r="AD3" s="5"/>
      <c r="AE3" s="5"/>
      <c r="AF3" s="58"/>
      <c r="AG3" s="59" t="str">
        <f>Q3</f>
        <v>1e0</v>
      </c>
      <c r="AH3" s="60"/>
      <c r="AI3" s="60"/>
      <c r="AJ3" s="60"/>
      <c r="AK3" s="60"/>
      <c r="AL3" s="1"/>
      <c r="AM3" s="4"/>
      <c r="AN3" s="4"/>
      <c r="AO3" s="4"/>
      <c r="AP3" s="1"/>
      <c r="AQ3" s="1"/>
      <c r="AR3" s="1"/>
      <c r="AS3" s="1"/>
      <c r="AT3" s="1"/>
      <c r="AU3" s="1"/>
    </row>
    <row r="4" ht="16.5" customHeight="1">
      <c r="A4" s="1"/>
      <c r="B4" s="61" t="s">
        <v>32</v>
      </c>
      <c r="C4" s="63">
        <v>0.75</v>
      </c>
      <c r="D4" s="10"/>
      <c r="E4" s="1"/>
      <c r="F4" s="1"/>
      <c r="G4" s="8"/>
      <c r="H4" s="8"/>
      <c r="I4" s="8"/>
      <c r="J4" s="8"/>
      <c r="K4" s="8"/>
      <c r="L4" s="64"/>
      <c r="M4" s="26"/>
      <c r="N4" s="26"/>
      <c r="O4" s="26"/>
      <c r="P4" s="65"/>
      <c r="Q4" s="66" t="s">
        <v>33</v>
      </c>
      <c r="R4" s="67" t="s">
        <v>34</v>
      </c>
      <c r="S4" s="5"/>
      <c r="T4" s="7"/>
      <c r="U4" s="60"/>
      <c r="V4" s="60"/>
      <c r="W4" s="8"/>
      <c r="X4" s="8"/>
      <c r="Y4" s="8"/>
      <c r="Z4" s="8"/>
      <c r="AA4" s="8"/>
      <c r="AB4" s="64"/>
      <c r="AC4" s="26"/>
      <c r="AD4" s="26"/>
      <c r="AE4" s="26"/>
      <c r="AF4" s="65"/>
      <c r="AG4" s="66" t="s">
        <v>33</v>
      </c>
      <c r="AH4" s="67" t="s">
        <v>34</v>
      </c>
      <c r="AI4" s="5"/>
      <c r="AJ4" s="7"/>
      <c r="AK4" s="60"/>
      <c r="AL4" s="1"/>
      <c r="AM4" s="4"/>
      <c r="AN4" s="4"/>
      <c r="AO4" s="4"/>
      <c r="AP4" s="4"/>
      <c r="AQ4" s="4"/>
      <c r="AR4" s="4"/>
      <c r="AS4" s="4"/>
      <c r="AT4" s="4"/>
      <c r="AU4" s="4"/>
    </row>
    <row r="5" ht="16.5" customHeight="1">
      <c r="A5" s="1"/>
      <c r="B5" s="68" t="s">
        <v>35</v>
      </c>
      <c r="C5" s="7"/>
      <c r="D5" s="10"/>
      <c r="E5" s="1"/>
      <c r="F5" s="1"/>
      <c r="G5" s="69" t="s">
        <v>36</v>
      </c>
      <c r="H5" s="8"/>
      <c r="I5" s="8"/>
      <c r="J5" s="8"/>
      <c r="K5" s="8"/>
      <c r="L5" s="72" t="s">
        <v>38</v>
      </c>
      <c r="M5" s="73" t="s">
        <v>41</v>
      </c>
      <c r="N5" s="76" t="str">
        <f>IF('skill data'!Q122&lt;25,ROUND((('skill data'!M41/'skill data'!M2)^(1/P5)-1)*100,2)&amp;"%","-")</f>
        <v>20%</v>
      </c>
      <c r="O5" s="73" t="s">
        <v>43</v>
      </c>
      <c r="P5" s="79">
        <f>IF('skill data'!Q122&lt;25,VLOOKUP('skill data'!Q122+1,simulationData!$AN$1:$AO$25,2,FALSE)-P2,"-")</f>
        <v>1</v>
      </c>
      <c r="Q5" s="81" t="str">
        <f>'截圖用頁面'!J7</f>
        <v>1e0</v>
      </c>
      <c r="R5" s="24"/>
      <c r="S5" s="26"/>
      <c r="T5" s="28"/>
      <c r="U5" s="60"/>
      <c r="V5" s="60"/>
      <c r="W5" s="69" t="s">
        <v>49</v>
      </c>
      <c r="X5" s="8"/>
      <c r="Y5" s="8"/>
      <c r="Z5" s="8"/>
      <c r="AA5" s="8"/>
      <c r="AB5" s="72" t="s">
        <v>38</v>
      </c>
      <c r="AC5" s="73" t="s">
        <v>41</v>
      </c>
      <c r="AD5" s="76" t="s">
        <v>50</v>
      </c>
      <c r="AE5" s="73" t="s">
        <v>43</v>
      </c>
      <c r="AF5" s="79">
        <f>IF('skill data'!AG122&lt;25,VLOOKUP('skill data'!AG122+1,simulationData!$AN$1:$AO$25,2,FALSE)-AF2,"-")</f>
        <v>1</v>
      </c>
      <c r="AG5" s="56" t="str">
        <f>Q5</f>
        <v>1e0</v>
      </c>
      <c r="AH5" s="24"/>
      <c r="AI5" s="26"/>
      <c r="AJ5" s="28"/>
      <c r="AK5" s="60"/>
      <c r="AL5" s="1"/>
      <c r="AM5" s="10"/>
      <c r="AN5" s="10"/>
      <c r="AO5" s="10"/>
      <c r="AP5" s="10"/>
      <c r="AQ5" s="10"/>
      <c r="AR5" s="10"/>
      <c r="AS5" s="10"/>
      <c r="AT5" s="10"/>
      <c r="AU5" s="10"/>
    </row>
    <row r="6" ht="16.5" customHeight="1">
      <c r="A6" s="1"/>
      <c r="B6" s="24"/>
      <c r="C6" s="28"/>
      <c r="D6" s="10"/>
      <c r="E6" s="1"/>
      <c r="F6" s="1"/>
      <c r="G6" s="69" t="b">
        <v>0</v>
      </c>
      <c r="H6" s="8"/>
      <c r="I6" s="8"/>
      <c r="J6" s="8"/>
      <c r="K6" s="8"/>
      <c r="L6" s="57" t="str">
        <f>IF('skill data'!Q122&lt;25,'skill desc'!AD24,"最高等級")</f>
        <v>增加 1.2 倍點擊傷害</v>
      </c>
      <c r="M6" s="5"/>
      <c r="N6" s="5"/>
      <c r="O6" s="5"/>
      <c r="P6" s="58"/>
      <c r="Q6" s="8"/>
      <c r="R6" s="8"/>
      <c r="S6" s="8"/>
      <c r="T6" s="8"/>
      <c r="U6" s="8"/>
      <c r="V6" s="10"/>
      <c r="W6" s="8" t="b">
        <v>0</v>
      </c>
      <c r="X6" s="8"/>
      <c r="Y6" s="8"/>
      <c r="Z6" s="8"/>
      <c r="AA6" s="8"/>
      <c r="AB6" s="62" t="str">
        <f>IF('skill data'!AG122&lt;25,'skill desc'!AD72,"最高等級")</f>
        <v>增加 5 最大魔力
增加 0.1 每分鐘魔力回復量</v>
      </c>
      <c r="AC6" s="5"/>
      <c r="AD6" s="5"/>
      <c r="AE6" s="5"/>
      <c r="AF6" s="58"/>
      <c r="AG6" s="8"/>
      <c r="AH6" s="8"/>
      <c r="AI6" s="8"/>
      <c r="AJ6" s="8"/>
      <c r="AK6" s="8"/>
      <c r="AL6" s="1"/>
      <c r="AM6" s="10"/>
      <c r="AN6" s="10"/>
      <c r="AO6" s="10"/>
      <c r="AP6" s="10"/>
      <c r="AQ6" s="10"/>
      <c r="AR6" s="10"/>
      <c r="AS6" s="10"/>
      <c r="AT6" s="10"/>
      <c r="AU6" s="10"/>
    </row>
    <row r="7" ht="16.5" customHeight="1">
      <c r="A7" s="1"/>
      <c r="B7" s="47" t="s">
        <v>53</v>
      </c>
      <c r="C7" s="63"/>
      <c r="D7" s="10"/>
      <c r="E7" s="1"/>
      <c r="F7" s="1"/>
      <c r="G7" s="8"/>
      <c r="H7" s="8"/>
      <c r="I7" s="8"/>
      <c r="J7" s="8"/>
      <c r="K7" s="8"/>
      <c r="L7" s="49"/>
      <c r="M7" s="50"/>
      <c r="N7" s="50"/>
      <c r="O7" s="50"/>
      <c r="P7" s="52"/>
      <c r="Q7" s="8"/>
      <c r="R7" s="8"/>
      <c r="S7" s="8"/>
      <c r="T7" s="8"/>
      <c r="U7" s="8"/>
      <c r="V7" s="10"/>
      <c r="W7" s="8"/>
      <c r="X7" s="8"/>
      <c r="Y7" s="8"/>
      <c r="Z7" s="8"/>
      <c r="AA7" s="8"/>
      <c r="AB7" s="49"/>
      <c r="AC7" s="50"/>
      <c r="AD7" s="50"/>
      <c r="AE7" s="50"/>
      <c r="AF7" s="52"/>
      <c r="AG7" s="8"/>
      <c r="AH7" s="8"/>
      <c r="AI7" s="8"/>
      <c r="AJ7" s="8"/>
      <c r="AK7" s="8"/>
      <c r="AL7" s="1"/>
      <c r="AM7" s="10"/>
      <c r="AN7" s="10"/>
      <c r="AO7" s="10"/>
      <c r="AP7" s="10"/>
      <c r="AQ7" s="10"/>
      <c r="AR7" s="10"/>
      <c r="AS7" s="10"/>
      <c r="AT7" s="10"/>
      <c r="AU7" s="10"/>
    </row>
    <row r="8" ht="16.5" customHeight="1">
      <c r="A8" s="1"/>
      <c r="B8" s="47" t="s">
        <v>55</v>
      </c>
      <c r="C8" s="63"/>
      <c r="D8" s="10"/>
      <c r="E8" s="1"/>
      <c r="F8" s="1"/>
      <c r="G8" s="32" t="s">
        <v>56</v>
      </c>
      <c r="H8" s="34" t="s">
        <v>20</v>
      </c>
      <c r="I8" s="36"/>
      <c r="J8" s="34" t="s">
        <v>15</v>
      </c>
      <c r="K8" s="40">
        <f>IF('skill data'!L128&gt;0,VLOOKUP('skill data'!L128,simulationData!$AN$26:$AO$50,2,FALSE),0)</f>
        <v>0</v>
      </c>
      <c r="L8" s="83" t="s">
        <v>58</v>
      </c>
      <c r="M8" s="84" t="s">
        <v>20</v>
      </c>
      <c r="N8" s="36"/>
      <c r="O8" s="84" t="s">
        <v>15</v>
      </c>
      <c r="P8" s="40">
        <f>IF('skill data'!Q128&gt;0,VLOOKUP('skill data'!Q128,simulationData!$AN$26:$AO$50,2,FALSE),0)</f>
        <v>0</v>
      </c>
      <c r="Q8" s="85" t="s">
        <v>59</v>
      </c>
      <c r="R8" s="86" t="s">
        <v>20</v>
      </c>
      <c r="S8" s="36"/>
      <c r="T8" s="86" t="s">
        <v>15</v>
      </c>
      <c r="U8" s="40">
        <f>IF('skill data'!V128&gt;0,VLOOKUP('skill data'!V128,simulationData!$AN$26:$AO$50,2,FALSE),0)</f>
        <v>0</v>
      </c>
      <c r="V8" s="10"/>
      <c r="W8" s="44" t="s">
        <v>62</v>
      </c>
      <c r="X8" s="86" t="s">
        <v>20</v>
      </c>
      <c r="Y8" s="36"/>
      <c r="Z8" s="86" t="s">
        <v>15</v>
      </c>
      <c r="AA8" s="40">
        <f>IF('skill data'!AB128&gt;0,VLOOKUP('skill data'!AB128,simulationData!$AN$26:$AO$50,2,FALSE),0)</f>
        <v>0</v>
      </c>
      <c r="AB8" s="87" t="s">
        <v>63</v>
      </c>
      <c r="AC8" s="84" t="s">
        <v>20</v>
      </c>
      <c r="AD8" s="36"/>
      <c r="AE8" s="84" t="s">
        <v>15</v>
      </c>
      <c r="AF8" s="40">
        <f>IF('skill data'!AG128&gt;0,VLOOKUP('skill data'!AG128,simulationData!$AN$26:$AO$50,2,FALSE),0)</f>
        <v>0</v>
      </c>
      <c r="AG8" s="44" t="s">
        <v>66</v>
      </c>
      <c r="AH8" s="86" t="s">
        <v>20</v>
      </c>
      <c r="AI8" s="36"/>
      <c r="AJ8" s="86" t="s">
        <v>15</v>
      </c>
      <c r="AK8" s="40">
        <f>IF('skill data'!AL128&gt;0,VLOOKUP('skill data'!AL128,simulationData!$AN$26:$AO$50,2,FALSE),0)</f>
        <v>0</v>
      </c>
      <c r="AL8" s="1"/>
      <c r="AM8" s="10"/>
      <c r="AN8" s="10"/>
      <c r="AO8" s="10"/>
      <c r="AP8" s="10"/>
      <c r="AQ8" s="10"/>
      <c r="AR8" s="10"/>
      <c r="AS8" s="4"/>
      <c r="AT8" s="4"/>
      <c r="AU8" s="4"/>
    </row>
    <row r="9" ht="16.5" customHeight="1">
      <c r="A9" s="1"/>
      <c r="B9" s="89" t="s">
        <v>67</v>
      </c>
      <c r="C9" s="7"/>
      <c r="D9" s="10"/>
      <c r="E9" s="1"/>
      <c r="F9" s="1"/>
      <c r="G9" s="57" t="str">
        <f>IF('skill data'!K128=0,IF('skill data'!L128&gt;0,'skill desc'!Y27,"無效果"),'skill desc'!AN30)</f>
        <v>前置條件 : 騎士勇氣
需求騎士技能點 :  0 / 3</v>
      </c>
      <c r="H9" s="5"/>
      <c r="I9" s="5"/>
      <c r="J9" s="5"/>
      <c r="K9" s="58"/>
      <c r="L9" s="91" t="str">
        <f>IF('skill data'!P128=0,IF('skill data'!Q128&gt;0,'skill desc'!AD27,"無效果"),'skill desc'!AS30)</f>
        <v>前置條件 : 騎士勇氣
需求騎士技能點 :  0 / 3</v>
      </c>
      <c r="M9" s="5"/>
      <c r="N9" s="5"/>
      <c r="O9" s="5"/>
      <c r="P9" s="58"/>
      <c r="Q9" s="57" t="str">
        <f>IF('skill data'!U128=0,IF('skill data'!V128&gt;0,'skill desc'!AI27,"無效果"),'skill desc'!AX30)</f>
        <v>前置條件 : 騎士勇氣
需求騎士技能點 :  0 / 3</v>
      </c>
      <c r="R9" s="5"/>
      <c r="S9" s="5"/>
      <c r="T9" s="5"/>
      <c r="U9" s="58"/>
      <c r="V9" s="10"/>
      <c r="W9" s="62" t="str">
        <f>IF('skill data'!AA128=0,IF('skill data'!AB128&gt;0,'skill desc'!Y75,"無效果"),'skill desc'!BD30)</f>
        <v>前置條件 : 界限突破
需求巫師技能點 :  0 / 3</v>
      </c>
      <c r="X9" s="5"/>
      <c r="Y9" s="5"/>
      <c r="Z9" s="5"/>
      <c r="AA9" s="58"/>
      <c r="AB9" s="62" t="str">
        <f>IF('skill data'!AF128=0,IF('skill data'!AG128&gt;0,'skill desc'!AD75,"無效果"),'skill desc'!BI30)</f>
        <v>前置條件 : 界限突破
需求巫師技能點 :  0 / 3</v>
      </c>
      <c r="AC9" s="5"/>
      <c r="AD9" s="5"/>
      <c r="AE9" s="5"/>
      <c r="AF9" s="58"/>
      <c r="AG9" s="62" t="str">
        <f>IF('skill data'!AK128=0,IF('skill data'!AL128&gt;0,'skill desc'!AI75,"無效果"),'skill desc'!BN30)</f>
        <v>前置條件 : 界限突破
需求巫師技能點 :  0 / 3</v>
      </c>
      <c r="AH9" s="5"/>
      <c r="AI9" s="5"/>
      <c r="AJ9" s="5"/>
      <c r="AK9" s="58"/>
      <c r="AL9" s="1"/>
      <c r="AM9" s="10"/>
      <c r="AN9" s="10"/>
      <c r="AO9" s="10"/>
      <c r="AP9" s="10"/>
      <c r="AQ9" s="10"/>
      <c r="AR9" s="10"/>
      <c r="AS9" s="10"/>
      <c r="AT9" s="10"/>
      <c r="AU9" s="10"/>
    </row>
    <row r="10" ht="16.5" customHeight="1">
      <c r="A10" s="1"/>
      <c r="B10" s="24"/>
      <c r="C10" s="28"/>
      <c r="D10" s="93"/>
      <c r="E10" s="1"/>
      <c r="F10" s="1"/>
      <c r="G10" s="64"/>
      <c r="H10" s="26"/>
      <c r="I10" s="26"/>
      <c r="J10" s="26"/>
      <c r="K10" s="65"/>
      <c r="L10" s="26"/>
      <c r="M10" s="26"/>
      <c r="N10" s="26"/>
      <c r="O10" s="26"/>
      <c r="P10" s="65"/>
      <c r="Q10" s="64"/>
      <c r="R10" s="26"/>
      <c r="S10" s="26"/>
      <c r="T10" s="26"/>
      <c r="U10" s="65"/>
      <c r="V10" s="10"/>
      <c r="W10" s="64"/>
      <c r="X10" s="26"/>
      <c r="Y10" s="26"/>
      <c r="Z10" s="26"/>
      <c r="AA10" s="65"/>
      <c r="AB10" s="64"/>
      <c r="AC10" s="26"/>
      <c r="AD10" s="26"/>
      <c r="AE10" s="26"/>
      <c r="AF10" s="65"/>
      <c r="AG10" s="64"/>
      <c r="AH10" s="26"/>
      <c r="AI10" s="26"/>
      <c r="AJ10" s="26"/>
      <c r="AK10" s="65"/>
      <c r="AL10" s="1"/>
      <c r="AM10" s="10"/>
      <c r="AN10" s="10"/>
      <c r="AO10" s="10"/>
      <c r="AP10" s="10"/>
      <c r="AQ10" s="10"/>
      <c r="AR10" s="10"/>
      <c r="AS10" s="4"/>
      <c r="AT10" s="4"/>
      <c r="AU10" s="4"/>
    </row>
    <row r="11" ht="16.5" customHeight="1">
      <c r="A11" s="1"/>
      <c r="B11" s="61" t="s">
        <v>74</v>
      </c>
      <c r="C11" s="63"/>
      <c r="D11" s="93"/>
      <c r="E11" s="1"/>
      <c r="F11" s="1"/>
      <c r="G11" s="72" t="s">
        <v>38</v>
      </c>
      <c r="H11" s="73" t="s">
        <v>41</v>
      </c>
      <c r="I11" s="76" t="str">
        <f>IF('skill data'!L128&lt;25,ROUND((('skill data'!M42/'skill data'!M3)^(1/K11)-1)*100,2)&amp;"%","-")</f>
        <v>200%</v>
      </c>
      <c r="J11" s="73" t="s">
        <v>43</v>
      </c>
      <c r="K11" s="79">
        <f>IF('skill data'!L128&lt;25,VLOOKUP('skill data'!L128+1,simulationData!$AN$26:$AO$50,2,FALSE)-K8,"-")</f>
        <v>1</v>
      </c>
      <c r="L11" s="94" t="s">
        <v>38</v>
      </c>
      <c r="M11" s="96" t="s">
        <v>41</v>
      </c>
      <c r="N11" s="97" t="str">
        <f>IF('skill data'!Q128&lt;25,ROUND((('skill data'!M43/'skill data'!M4)^(1/P11)-1)*100,2)&amp;"%","-")</f>
        <v>50%</v>
      </c>
      <c r="O11" s="96" t="s">
        <v>43</v>
      </c>
      <c r="P11" s="79">
        <f>IF('skill data'!Q128&lt;25,VLOOKUP('skill data'!Q128+1,simulationData!$AN$26:$AO$50,2,FALSE)-P8,"-")</f>
        <v>1</v>
      </c>
      <c r="Q11" s="98" t="s">
        <v>38</v>
      </c>
      <c r="R11" s="73" t="s">
        <v>41</v>
      </c>
      <c r="S11" s="76" t="str">
        <f>IF('skill data'!V128&lt;25,ROUND((('skill data'!M44/'skill data'!M5)^(1/U11)-1)*100,2)&amp;"%","-")</f>
        <v>55.4%</v>
      </c>
      <c r="T11" s="73" t="s">
        <v>43</v>
      </c>
      <c r="U11" s="79">
        <f>IF('skill data'!V128&lt;25,VLOOKUP('skill data'!V128+1,simulationData!$AN$26:$AO$50,2,FALSE)-U8,"-")</f>
        <v>1</v>
      </c>
      <c r="V11" s="10"/>
      <c r="W11" s="72" t="s">
        <v>38</v>
      </c>
      <c r="X11" s="96" t="s">
        <v>41</v>
      </c>
      <c r="Y11" s="76" t="str">
        <f>IF('skill data'!AB128&lt;25,ROUND((('skill data'!M60/'skill data'!M21)^(1/AA11)-1)*100,2)&amp;"%","-")</f>
        <v>55.4%</v>
      </c>
      <c r="Z11" s="96" t="s">
        <v>43</v>
      </c>
      <c r="AA11" s="79">
        <f>IF('skill data'!AB128&lt;25,VLOOKUP('skill data'!AB128+1,simulationData!$AN$26:$AO$50,2,FALSE)-AA8,"-")</f>
        <v>1</v>
      </c>
      <c r="AB11" s="99" t="s">
        <v>38</v>
      </c>
      <c r="AC11" s="100" t="s">
        <v>41</v>
      </c>
      <c r="AD11" s="101" t="str">
        <f>IF('skill data'!AG128&lt;25,ROUND((('skill data'!M61/'skill data'!M22)^(1/AF11)-1)*100,2)&amp;"%","-")</f>
        <v>0%</v>
      </c>
      <c r="AE11" s="100" t="s">
        <v>43</v>
      </c>
      <c r="AF11" s="79">
        <f>IF('skill data'!AG128&lt;25,VLOOKUP('skill data'!AG128+1,simulationData!$AN$26:$AO$50,2,FALSE)-AF8,"-")</f>
        <v>1</v>
      </c>
      <c r="AG11" s="99" t="s">
        <v>38</v>
      </c>
      <c r="AH11" s="100" t="s">
        <v>41</v>
      </c>
      <c r="AI11" s="101" t="str">
        <f>IF('skill data'!AL128&lt;25,ROUND((('skill data'!M62/'skill data'!M23)^(1/AK11)-1)*100,2)&amp;"%","-")</f>
        <v>0%</v>
      </c>
      <c r="AJ11" s="100" t="s">
        <v>43</v>
      </c>
      <c r="AK11" s="79">
        <f>IF('skill data'!AL128&lt;25,VLOOKUP('skill data'!AL128+1,simulationData!$AN$26:$AO$50,2,FALSE)-AK8,"-")</f>
        <v>1</v>
      </c>
      <c r="AL11" s="1"/>
      <c r="AM11" s="10"/>
      <c r="AN11" s="10"/>
      <c r="AO11" s="10"/>
      <c r="AP11" s="10"/>
      <c r="AQ11" s="10"/>
      <c r="AR11" s="10"/>
      <c r="AS11" s="10"/>
      <c r="AT11" s="10"/>
      <c r="AU11" s="10"/>
    </row>
    <row r="12" ht="16.5" customHeight="1">
      <c r="A12" s="1"/>
      <c r="B12" s="61" t="s">
        <v>78</v>
      </c>
      <c r="C12" s="63"/>
      <c r="D12" s="10"/>
      <c r="E12" s="1"/>
      <c r="F12" s="1"/>
      <c r="G12" s="57" t="str">
        <f>IF('skill data'!L128&lt;25,'skill desc'!Y30,"最高等級")</f>
        <v>提升相當於 0.04% 英雄傷害的點擊傷害</v>
      </c>
      <c r="H12" s="5"/>
      <c r="I12" s="5"/>
      <c r="J12" s="5"/>
      <c r="K12" s="58"/>
      <c r="L12" s="57" t="str">
        <f>IF('skill data'!Q128&lt;25,'skill desc'!AD30,"最高等級")</f>
        <v>增加 1.5 倍寵物傷害
寵物發動攻擊所需點擊數 -0</v>
      </c>
      <c r="M12" s="5"/>
      <c r="N12" s="5"/>
      <c r="O12" s="5"/>
      <c r="P12" s="58"/>
      <c r="Q12" s="57" t="str">
        <f>IF('skill data'!V128&lt;25,'skill desc'!AI30,"最高等級")</f>
        <v>增加 1.8 倍頭目黃金
米達斯之心冷卻時間 -0 秒</v>
      </c>
      <c r="R12" s="5"/>
      <c r="S12" s="5"/>
      <c r="T12" s="5"/>
      <c r="U12" s="58"/>
      <c r="V12" s="10"/>
      <c r="W12" s="62" t="str">
        <f>IF('skill data'!AB128&lt;25,'skill desc'!Y78,"最高等級")</f>
        <v>增加 1.8 倍米達斯之手效果
增加 1.2 倍妖精黃金</v>
      </c>
      <c r="X12" s="5"/>
      <c r="Y12" s="5"/>
      <c r="Z12" s="5"/>
      <c r="AA12" s="58"/>
      <c r="AB12" s="62" t="str">
        <f>IF('skill data'!AG128&lt;25,'skill desc'!AD78,"最高等級")</f>
        <v>增加 2 倍天堂聖擊傷害
天堂聖擊跳躍濺射數增加 0</v>
      </c>
      <c r="AC12" s="5"/>
      <c r="AD12" s="5"/>
      <c r="AE12" s="5"/>
      <c r="AF12" s="58"/>
      <c r="AG12" s="62" t="str">
        <f>IF('skill data'!AL128&lt;25,'skill desc'!AI78,"最高等級")</f>
        <v>增加 1.5 倍影分身傷害
影分身每秒攻擊次數增加 0.1</v>
      </c>
      <c r="AH12" s="5"/>
      <c r="AI12" s="5"/>
      <c r="AJ12" s="5"/>
      <c r="AK12" s="58"/>
      <c r="AL12" s="1"/>
      <c r="AM12" s="10"/>
      <c r="AN12" s="10"/>
      <c r="AO12" s="10"/>
      <c r="AP12" s="10"/>
      <c r="AQ12" s="10"/>
      <c r="AR12" s="10"/>
      <c r="AS12" s="4"/>
      <c r="AT12" s="4"/>
      <c r="AU12" s="4"/>
    </row>
    <row r="13" ht="16.5" customHeight="1">
      <c r="A13" s="1"/>
      <c r="B13" s="102" t="s">
        <v>79</v>
      </c>
      <c r="C13" s="63"/>
      <c r="D13" s="10"/>
      <c r="E13" s="1"/>
      <c r="F13" s="1"/>
      <c r="G13" s="49"/>
      <c r="H13" s="50"/>
      <c r="I13" s="50"/>
      <c r="J13" s="50"/>
      <c r="K13" s="52"/>
      <c r="L13" s="49"/>
      <c r="M13" s="50"/>
      <c r="N13" s="50"/>
      <c r="O13" s="50"/>
      <c r="P13" s="52"/>
      <c r="Q13" s="49"/>
      <c r="R13" s="50"/>
      <c r="S13" s="50"/>
      <c r="T13" s="50"/>
      <c r="U13" s="52"/>
      <c r="V13" s="10"/>
      <c r="W13" s="49"/>
      <c r="X13" s="50"/>
      <c r="Y13" s="50"/>
      <c r="Z13" s="50"/>
      <c r="AA13" s="52"/>
      <c r="AB13" s="49"/>
      <c r="AC13" s="50"/>
      <c r="AD13" s="50"/>
      <c r="AE13" s="50"/>
      <c r="AF13" s="52"/>
      <c r="AG13" s="49"/>
      <c r="AH13" s="50"/>
      <c r="AI13" s="50"/>
      <c r="AJ13" s="50"/>
      <c r="AK13" s="52"/>
      <c r="AL13" s="1"/>
      <c r="AM13" s="10"/>
      <c r="AN13" s="10"/>
      <c r="AO13" s="10"/>
      <c r="AP13" s="10"/>
      <c r="AQ13" s="10"/>
      <c r="AR13" s="10"/>
      <c r="AS13" s="10"/>
      <c r="AT13" s="10"/>
      <c r="AU13" s="10"/>
    </row>
    <row r="14" ht="16.5" customHeight="1">
      <c r="A14" s="1"/>
      <c r="B14" s="103" t="s">
        <v>80</v>
      </c>
      <c r="C14" s="13"/>
      <c r="D14" s="4"/>
      <c r="E14" s="1"/>
      <c r="F14" s="1"/>
      <c r="G14" s="85" t="s">
        <v>81</v>
      </c>
      <c r="H14" s="86" t="s">
        <v>20</v>
      </c>
      <c r="I14" s="36"/>
      <c r="J14" s="86" t="s">
        <v>15</v>
      </c>
      <c r="K14" s="40">
        <f>IF('skill data'!L134&gt;0,VLOOKUP('skill data'!L134,simulationData!$AN$51:$AO$75,2,FALSE),0)</f>
        <v>0</v>
      </c>
      <c r="L14" s="104" t="s">
        <v>82</v>
      </c>
      <c r="M14" s="86" t="s">
        <v>20</v>
      </c>
      <c r="N14" s="36"/>
      <c r="O14" s="86" t="s">
        <v>15</v>
      </c>
      <c r="P14" s="40">
        <f>IF('skill data'!Q134&gt;0,VLOOKUP('skill data'!Q134,simulationData!$AN$51:$AO$75,2,FALSE),0)</f>
        <v>0</v>
      </c>
      <c r="Q14" s="85" t="s">
        <v>83</v>
      </c>
      <c r="R14" s="86" t="s">
        <v>20</v>
      </c>
      <c r="S14" s="36"/>
      <c r="T14" s="86" t="s">
        <v>15</v>
      </c>
      <c r="U14" s="40">
        <f>IF('skill data'!V134&gt;0,VLOOKUP('skill data'!V134,simulationData!$AN$51:$AO$75,2,FALSE),0)</f>
        <v>0</v>
      </c>
      <c r="V14" s="10"/>
      <c r="W14" s="44" t="s">
        <v>84</v>
      </c>
      <c r="X14" s="86" t="s">
        <v>20</v>
      </c>
      <c r="Y14" s="105"/>
      <c r="Z14" s="86" t="s">
        <v>15</v>
      </c>
      <c r="AA14" s="40">
        <f>IF('skill data'!AB134&gt;0,VLOOKUP('skill data'!AB134,simulationData!$AN$51:$AO$60,2,FALSE),0)</f>
        <v>0</v>
      </c>
      <c r="AB14" s="44" t="s">
        <v>39</v>
      </c>
      <c r="AC14" s="34" t="s">
        <v>20</v>
      </c>
      <c r="AD14" s="36"/>
      <c r="AE14" s="34" t="s">
        <v>15</v>
      </c>
      <c r="AF14" s="40">
        <f>IF('skill data'!AG134&gt;0,VLOOKUP('skill data'!AG134,simulationData!$AN$51:$AO$75,2,FALSE),0)</f>
        <v>0</v>
      </c>
      <c r="AG14" s="44" t="s">
        <v>85</v>
      </c>
      <c r="AH14" s="86" t="s">
        <v>20</v>
      </c>
      <c r="AI14" s="36"/>
      <c r="AJ14" s="86" t="s">
        <v>15</v>
      </c>
      <c r="AK14" s="40">
        <f>IF('skill data'!AL134&gt;0,VLOOKUP('skill data'!AL134,simulationData!$AN$51:$AO$75,2,FALSE),0)</f>
        <v>0</v>
      </c>
      <c r="AL14" s="1"/>
      <c r="AM14" s="10"/>
      <c r="AN14" s="10"/>
      <c r="AO14" s="10"/>
      <c r="AP14" s="10"/>
      <c r="AQ14" s="10"/>
      <c r="AR14" s="10"/>
      <c r="AS14" s="10"/>
      <c r="AT14" s="10"/>
      <c r="AU14" s="10"/>
    </row>
    <row r="15" ht="16.5" customHeight="1">
      <c r="A15" s="1"/>
      <c r="B15" s="103" t="s">
        <v>86</v>
      </c>
      <c r="C15" s="13"/>
      <c r="D15" s="10"/>
      <c r="E15" s="1"/>
      <c r="F15" s="1"/>
      <c r="G15" s="57" t="str">
        <f>IF('skill data'!K134=0,IF('skill data'!L134&gt;0,'skill desc'!Y33,"無效果"),'skill desc'!AN36)</f>
        <v>前置條件 : 騎士兵團
需求騎士技能點 :  0 / 20</v>
      </c>
      <c r="H15" s="5"/>
      <c r="I15" s="5"/>
      <c r="J15" s="5"/>
      <c r="K15" s="58"/>
      <c r="L15" s="91" t="str">
        <f>IF('skill data'!P134=0,IF('skill data'!Q134&gt;0,'skill desc'!AD33,"無效果"),'skill desc'!AS36)</f>
        <v>前置條件 : 寵物進化
需求騎士技能點 :  0 / 20</v>
      </c>
      <c r="M15" s="5"/>
      <c r="N15" s="5"/>
      <c r="O15" s="5"/>
      <c r="P15" s="58"/>
      <c r="Q15" s="57" t="str">
        <f>IF('skill data'!U134=0,IF('skill data'!V134&gt;0,'skill desc'!AI33,"無效果"),'skill desc'!AX36)</f>
        <v>前置條件 : 米達斯之心
需求騎士技能點 :  0 / 20</v>
      </c>
      <c r="R15" s="5"/>
      <c r="S15" s="5"/>
      <c r="T15" s="5"/>
      <c r="U15" s="58"/>
      <c r="V15" s="10"/>
      <c r="W15" s="62" t="str">
        <f>IF('skill data'!AA134=0,IF('skill data'!AB134&gt;0,'skill desc'!Y81,"無效果"),'skill desc'!BD36)</f>
        <v>前置條件 : 終極米達斯
需求巫師技能點 :  0 / 20</v>
      </c>
      <c r="X15" s="5"/>
      <c r="Y15" s="5"/>
      <c r="Z15" s="5"/>
      <c r="AA15" s="58"/>
      <c r="AB15" s="62" t="str">
        <f>IF('skill data'!AF134=0,IF('skill data'!AG134&gt;0,'skill desc'!AD81,"無效果"),'skill desc'!BI36)</f>
        <v>前置條件 : 天使光輝
需求巫師技能點 :  0 / 20</v>
      </c>
      <c r="AC15" s="5"/>
      <c r="AD15" s="5"/>
      <c r="AE15" s="5"/>
      <c r="AF15" s="58"/>
      <c r="AG15" s="62" t="str">
        <f>IF('skill data'!AK134=0,IF('skill data'!AL134&gt;0,'skill desc'!AI81,"無效果"),'skill desc'!BN36)</f>
        <v>前置條件 : 幻影復仇
需求巫師技能點 :  0 / 20</v>
      </c>
      <c r="AH15" s="5"/>
      <c r="AI15" s="5"/>
      <c r="AJ15" s="5"/>
      <c r="AK15" s="58"/>
      <c r="AL15" s="1"/>
      <c r="AM15" s="10"/>
      <c r="AN15" s="10"/>
      <c r="AO15" s="10"/>
      <c r="AP15" s="10"/>
      <c r="AQ15" s="10"/>
      <c r="AR15" s="10"/>
      <c r="AS15" s="10"/>
      <c r="AT15" s="10"/>
      <c r="AU15" s="10"/>
    </row>
    <row r="16" ht="16.5" customHeight="1">
      <c r="A16" s="1"/>
      <c r="B16" s="102" t="s">
        <v>89</v>
      </c>
      <c r="C16" s="106"/>
      <c r="D16" s="1"/>
      <c r="E16" s="1"/>
      <c r="F16" s="1"/>
      <c r="G16" s="64"/>
      <c r="H16" s="26"/>
      <c r="I16" s="26"/>
      <c r="J16" s="26"/>
      <c r="K16" s="65"/>
      <c r="L16" s="26"/>
      <c r="M16" s="26"/>
      <c r="N16" s="26"/>
      <c r="O16" s="26"/>
      <c r="P16" s="65"/>
      <c r="Q16" s="64"/>
      <c r="R16" s="26"/>
      <c r="S16" s="26"/>
      <c r="T16" s="26"/>
      <c r="U16" s="65"/>
      <c r="V16" s="10"/>
      <c r="W16" s="64"/>
      <c r="X16" s="26"/>
      <c r="Y16" s="26"/>
      <c r="Z16" s="26"/>
      <c r="AA16" s="65"/>
      <c r="AB16" s="64"/>
      <c r="AC16" s="26"/>
      <c r="AD16" s="26"/>
      <c r="AE16" s="26"/>
      <c r="AF16" s="65"/>
      <c r="AG16" s="64"/>
      <c r="AH16" s="26"/>
      <c r="AI16" s="26"/>
      <c r="AJ16" s="26"/>
      <c r="AK16" s="65"/>
      <c r="AL16" s="1"/>
      <c r="AM16" s="10"/>
      <c r="AN16" s="10"/>
      <c r="AO16" s="10"/>
      <c r="AP16" s="10"/>
      <c r="AQ16" s="10"/>
      <c r="AR16" s="10"/>
      <c r="AS16" s="10"/>
      <c r="AT16" s="4"/>
      <c r="AU16" s="4"/>
    </row>
    <row r="17" ht="16.5" customHeight="1">
      <c r="A17" s="1"/>
      <c r="B17" s="68" t="s">
        <v>92</v>
      </c>
      <c r="C17" s="7"/>
      <c r="D17" s="107" t="s">
        <v>93</v>
      </c>
      <c r="E17" s="11"/>
      <c r="G17" s="108" t="s">
        <v>38</v>
      </c>
      <c r="H17" s="96" t="s">
        <v>41</v>
      </c>
      <c r="I17" s="97" t="str">
        <f>IF(OR($C$11&gt;0,C2="天堂流"),IF('skill data'!L134&lt;25,ROUND((('skill data'!O45/'skill data'!O6)^(1/K17)-1)*100,2)&amp;"%","-"),"0%")</f>
        <v>0%</v>
      </c>
      <c r="J17" s="96" t="s">
        <v>43</v>
      </c>
      <c r="K17" s="110">
        <f>IF('skill data'!L134&lt;25,VLOOKUP('skill data'!L134+1,simulationData!$AN$51:$AO$75,2,FALSE)-K14,"-")</f>
        <v>2</v>
      </c>
      <c r="L17" s="94" t="s">
        <v>38</v>
      </c>
      <c r="M17" s="96" t="s">
        <v>41</v>
      </c>
      <c r="N17" s="97" t="str">
        <f>IF('skill data'!Q134&lt;25,ROUND((('skill data'!M46/'skill data'!M7)^(1/P17)-1)*100,2)&amp;"%","-")</f>
        <v>26.49%</v>
      </c>
      <c r="O17" s="96" t="s">
        <v>43</v>
      </c>
      <c r="P17" s="110">
        <f>IF('skill data'!Q134&lt;25,VLOOKUP('skill data'!Q134+1,simulationData!$AN$51:$AO$75,2,FALSE)-P14,"-")</f>
        <v>2</v>
      </c>
      <c r="Q17" s="108" t="s">
        <v>38</v>
      </c>
      <c r="R17" s="96" t="s">
        <v>41</v>
      </c>
      <c r="S17" s="97" t="str">
        <f>IF('skill data'!V134&lt;25,ROUND((('skill data'!M47/'skill data'!M8)^(1/U17)-1)*100,2)&amp;"%","-")</f>
        <v>22.47%</v>
      </c>
      <c r="T17" s="96" t="s">
        <v>43</v>
      </c>
      <c r="U17" s="110">
        <f>IF('skill data'!V134&lt;25,VLOOKUP('skill data'!V134+1,simulationData!$AN$51:$AO$75,2,FALSE)-U14,"-")</f>
        <v>2</v>
      </c>
      <c r="V17" s="10"/>
      <c r="W17" s="72" t="s">
        <v>38</v>
      </c>
      <c r="X17" s="96" t="s">
        <v>41</v>
      </c>
      <c r="Y17" s="76" t="s">
        <v>50</v>
      </c>
      <c r="Z17" s="96" t="s">
        <v>43</v>
      </c>
      <c r="AA17" s="110">
        <f>IF('skill data'!AB134&lt;10,VLOOKUP('skill data'!AB134+1,simulationData!$AN$51:$AO$75,2,FALSE)-AA14,"-")</f>
        <v>2</v>
      </c>
      <c r="AB17" s="72" t="s">
        <v>38</v>
      </c>
      <c r="AC17" s="73" t="s">
        <v>41</v>
      </c>
      <c r="AD17" s="76" t="s">
        <v>50</v>
      </c>
      <c r="AE17" s="73" t="s">
        <v>43</v>
      </c>
      <c r="AF17" s="110">
        <f>IF('skill data'!AG134&lt;25,VLOOKUP('skill data'!AG134+1,simulationData!$AN$51:$AO$75,2,FALSE)-AF14,"-")</f>
        <v>2</v>
      </c>
      <c r="AG17" s="72" t="s">
        <v>38</v>
      </c>
      <c r="AH17" s="96" t="s">
        <v>41</v>
      </c>
      <c r="AI17" s="76" t="s">
        <v>52</v>
      </c>
      <c r="AJ17" s="96" t="s">
        <v>43</v>
      </c>
      <c r="AK17" s="110">
        <f>IF('skill data'!AL134&lt;25,VLOOKUP('skill data'!AL134+1,simulationData!$AN$51:$AO$75,2,FALSE)-AK14,"-")</f>
        <v>2</v>
      </c>
      <c r="AL17" s="1"/>
      <c r="AM17" s="10"/>
      <c r="AN17" s="10"/>
      <c r="AO17" s="10"/>
      <c r="AP17" s="10"/>
      <c r="AQ17" s="10"/>
      <c r="AR17" s="10"/>
      <c r="AS17" s="10"/>
      <c r="AT17" s="10"/>
      <c r="AU17" s="10"/>
    </row>
    <row r="18" ht="16.5" customHeight="1">
      <c r="A18" s="1"/>
      <c r="B18" s="24"/>
      <c r="C18" s="28"/>
      <c r="D18" s="74" t="s">
        <v>101</v>
      </c>
      <c r="E18" s="11"/>
      <c r="G18" s="57" t="str">
        <f>IF('skill data'!L134&lt;25,'skill desc'!Y36,"最高等級")</f>
        <v>增加 1.6 倍最大爆擊傷害
爆擊率 -1%</v>
      </c>
      <c r="H18" s="5"/>
      <c r="I18" s="5"/>
      <c r="J18" s="5"/>
      <c r="K18" s="58"/>
      <c r="L18" s="91" t="str">
        <f>IF('skill data'!Q134&lt;25,'skill desc'!AD36,"最高等級")</f>
        <v>增加 1.6 倍火焰之劍效果
火焰之劍持續時間增加 1 秒</v>
      </c>
      <c r="M18" s="5"/>
      <c r="N18" s="5"/>
      <c r="O18" s="5"/>
      <c r="P18" s="58"/>
      <c r="Q18" s="57" t="str">
        <f>IF('skill data'!V134&lt;25,'skill desc'!AI36,"最高等級")</f>
        <v>閃電爆破造成 1.5 倍寵物傷害
閃電爆破最大濺射數量增加 2 </v>
      </c>
      <c r="R18" s="5"/>
      <c r="S18" s="5"/>
      <c r="T18" s="5"/>
      <c r="U18" s="58"/>
      <c r="V18" s="10"/>
      <c r="W18" s="62" t="str">
        <f>IF('skill data'!AB134&lt;10,'skill desc'!Y84,"最高等級")</f>
        <v>多重妖精機率增加 4%
妖精出現時間間隔 -4 秒</v>
      </c>
      <c r="X18" s="5"/>
      <c r="Y18" s="5"/>
      <c r="Z18" s="5"/>
      <c r="AA18" s="58"/>
      <c r="AB18" s="62" t="str">
        <f>IF('skill data'!AG134&lt;25,'skill desc'!AD84,"最高等級")</f>
        <v>觸發魔力抽取時回復 0.05% 最大魔力</v>
      </c>
      <c r="AC18" s="5"/>
      <c r="AD18" s="5"/>
      <c r="AE18" s="5"/>
      <c r="AF18" s="58"/>
      <c r="AG18" s="62" t="str">
        <f>IF('skill data'!AL134&lt;25,'skill desc'!AI84,"最高等級")</f>
        <v>影分身持續時間增加 2 秒
影分身最大濺射數量增加 0</v>
      </c>
      <c r="AH18" s="5"/>
      <c r="AI18" s="5"/>
      <c r="AJ18" s="5"/>
      <c r="AK18" s="58"/>
      <c r="AL18" s="1"/>
      <c r="AM18" s="10"/>
      <c r="AN18" s="10"/>
      <c r="AO18" s="10"/>
      <c r="AP18" s="10"/>
      <c r="AQ18" s="10"/>
      <c r="AR18" s="10"/>
      <c r="AS18" s="10"/>
      <c r="AT18" s="4"/>
      <c r="AU18" s="4"/>
    </row>
    <row r="19" ht="16.5" customHeight="1">
      <c r="A19" s="1"/>
      <c r="B19" s="70" t="s">
        <v>102</v>
      </c>
      <c r="C19" s="11"/>
      <c r="D19" s="1"/>
      <c r="G19" s="49"/>
      <c r="H19" s="50"/>
      <c r="I19" s="50"/>
      <c r="J19" s="50"/>
      <c r="K19" s="52"/>
      <c r="L19" s="50"/>
      <c r="M19" s="50"/>
      <c r="N19" s="50"/>
      <c r="O19" s="50"/>
      <c r="P19" s="52"/>
      <c r="Q19" s="49"/>
      <c r="R19" s="50"/>
      <c r="S19" s="50"/>
      <c r="T19" s="50"/>
      <c r="U19" s="52"/>
      <c r="V19" s="10"/>
      <c r="W19" s="49"/>
      <c r="X19" s="50"/>
      <c r="Y19" s="50"/>
      <c r="Z19" s="50"/>
      <c r="AA19" s="52"/>
      <c r="AB19" s="49"/>
      <c r="AC19" s="50"/>
      <c r="AD19" s="50"/>
      <c r="AE19" s="50"/>
      <c r="AF19" s="52"/>
      <c r="AG19" s="49"/>
      <c r="AH19" s="50"/>
      <c r="AI19" s="50"/>
      <c r="AJ19" s="50"/>
      <c r="AK19" s="52"/>
      <c r="AL19" s="1"/>
      <c r="AM19" s="10"/>
      <c r="AN19" s="10"/>
      <c r="AO19" s="10"/>
      <c r="AP19" s="10"/>
      <c r="AQ19" s="10"/>
      <c r="AR19" s="10"/>
      <c r="AS19" s="4"/>
      <c r="AT19" s="4"/>
      <c r="AU19" s="4"/>
    </row>
    <row r="20" ht="16.5" customHeight="1">
      <c r="A20" s="1"/>
      <c r="B20" s="77" t="s">
        <v>103</v>
      </c>
      <c r="C20" s="115" t="s">
        <v>104</v>
      </c>
      <c r="D20" s="116" t="s">
        <v>105</v>
      </c>
      <c r="E20" s="1"/>
      <c r="F20" s="1"/>
      <c r="G20" s="117" t="s">
        <v>106</v>
      </c>
      <c r="H20" s="84" t="s">
        <v>20</v>
      </c>
      <c r="I20" s="105"/>
      <c r="J20" s="84" t="s">
        <v>15</v>
      </c>
      <c r="K20" s="118">
        <f>IF('skill data'!L140&gt;0,VLOOKUP('skill data'!L140,simulationData!$AN$76:$AO$90,2,FALSE),0)</f>
        <v>0</v>
      </c>
      <c r="L20" s="8"/>
      <c r="M20" s="8"/>
      <c r="N20" s="8"/>
      <c r="O20" s="8"/>
      <c r="P20" s="8"/>
      <c r="Q20" s="85" t="s">
        <v>107</v>
      </c>
      <c r="R20" s="86" t="s">
        <v>20</v>
      </c>
      <c r="S20" s="119"/>
      <c r="T20" s="86" t="s">
        <v>15</v>
      </c>
      <c r="U20" s="40">
        <f>IF('skill data'!V140&gt;0,VLOOKUP('skill data'!V140,simulationData!$AN$76:$AO$90,2,FALSE),0)</f>
        <v>0</v>
      </c>
      <c r="V20" s="10"/>
      <c r="W20" s="44" t="s">
        <v>108</v>
      </c>
      <c r="X20" s="86" t="s">
        <v>20</v>
      </c>
      <c r="Y20" s="119"/>
      <c r="Z20" s="86" t="s">
        <v>15</v>
      </c>
      <c r="AA20" s="40">
        <f>IF('skill data'!AB140&gt;0,VLOOKUP('skill data'!AB140,simulationData!$AN$76:$AO$95,2,FALSE),0)</f>
        <v>0</v>
      </c>
      <c r="AB20" s="44" t="s">
        <v>87</v>
      </c>
      <c r="AC20" s="86" t="s">
        <v>20</v>
      </c>
      <c r="AD20" s="119"/>
      <c r="AE20" s="86" t="s">
        <v>15</v>
      </c>
      <c r="AF20" s="40">
        <f>IF('skill data'!AG140&gt;0,VLOOKUP('skill data'!AG140,simulationData!$AN$76:$AO$95,2,FALSE),0)</f>
        <v>0</v>
      </c>
      <c r="AG20" s="44" t="s">
        <v>109</v>
      </c>
      <c r="AH20" s="86" t="s">
        <v>20</v>
      </c>
      <c r="AI20" s="119"/>
      <c r="AJ20" s="86" t="s">
        <v>15</v>
      </c>
      <c r="AK20" s="40">
        <f>IF('skill data'!AL140&gt;0,VLOOKUP('skill data'!AL140,simulationData!$AN$76:$AO$95,2,FALSE),0)</f>
        <v>0</v>
      </c>
      <c r="AL20" s="1"/>
      <c r="AM20" s="10"/>
      <c r="AN20" s="10"/>
      <c r="AO20" s="10"/>
      <c r="AP20" s="10"/>
      <c r="AQ20" s="10"/>
      <c r="AR20" s="10"/>
      <c r="AS20" s="1"/>
      <c r="AT20" s="1"/>
      <c r="AU20" s="1"/>
    </row>
    <row r="21" ht="16.5" customHeight="1">
      <c r="A21" s="121">
        <f>'coding(此頁勿動)'!I2</f>
        <v>3</v>
      </c>
      <c r="B21" s="77" t="str">
        <f>'skill data'!T79</f>
        <v>暮色面紗</v>
      </c>
      <c r="C21" s="122" t="str">
        <f>'skill data'!S79</f>
        <v>740.9%</v>
      </c>
      <c r="D21" s="123" t="b">
        <v>0</v>
      </c>
      <c r="E21" s="1"/>
      <c r="F21" s="1"/>
      <c r="G21" s="57" t="str">
        <f>IF('skill data'!K140=0,IF('skill data'!L140&gt;0,'skill desc'!Y39,"無效果"),'skill desc'!AN42)</f>
        <v>前置條件 : 劈斬
需求騎士技能點 :  0 / 50</v>
      </c>
      <c r="H21" s="5"/>
      <c r="I21" s="5"/>
      <c r="J21" s="5"/>
      <c r="K21" s="58"/>
      <c r="L21" s="8"/>
      <c r="M21" s="8"/>
      <c r="N21" s="8"/>
      <c r="O21" s="8"/>
      <c r="P21" s="8"/>
      <c r="Q21" s="57" t="str">
        <f>IF('skill data'!U140=0,IF('skill data'!V140&gt;0,'skill desc'!AI39,"無效果"),'skill desc'!AX42)</f>
        <v>前置條件 : 閃電爆破
需求騎士技能點 :  0 / 50</v>
      </c>
      <c r="R21" s="5"/>
      <c r="S21" s="5"/>
      <c r="T21" s="5"/>
      <c r="U21" s="58"/>
      <c r="V21" s="10"/>
      <c r="W21" s="62" t="str">
        <f>IF('skill data'!AA140=0,IF('skill data'!AB140&gt;0,'skill desc'!Y87,"無效果"),'skill desc'!BD42)</f>
        <v>前置條件 : 妖精魅力
需求巫師技能點 :  0 / 50</v>
      </c>
      <c r="X21" s="5"/>
      <c r="Y21" s="5"/>
      <c r="Z21" s="5"/>
      <c r="AA21" s="58"/>
      <c r="AB21" s="62" t="str">
        <f>IF('skill data'!AF140=0,IF('skill data'!AG140&gt;0,'skill desc'!AD87,"無效果"),'skill desc'!BI42)</f>
        <v>前置條件 : 魔力抽取
需求巫師技能點 :  0 / 50</v>
      </c>
      <c r="AC21" s="5"/>
      <c r="AD21" s="5"/>
      <c r="AE21" s="5"/>
      <c r="AF21" s="58"/>
      <c r="AG21" s="62" t="str">
        <f>IF('skill data'!AK140=0,IF('skill data'!AL140&gt;0,'skill desc'!AI87,"無效果"),'skill desc'!BN42)</f>
        <v>前置條件 : 永恆黑暗
需求巫師技能點 :  0 / 50</v>
      </c>
      <c r="AH21" s="5"/>
      <c r="AI21" s="5"/>
      <c r="AJ21" s="5"/>
      <c r="AK21" s="58"/>
      <c r="AL21" s="1"/>
      <c r="AM21" s="10"/>
      <c r="AN21" s="10"/>
      <c r="AO21" s="10"/>
      <c r="AP21" s="10"/>
      <c r="AQ21" s="10"/>
      <c r="AR21" s="10"/>
      <c r="AS21" s="1"/>
      <c r="AT21" s="1"/>
      <c r="AU21" s="1"/>
    </row>
    <row r="22" ht="16.5" customHeight="1">
      <c r="A22" s="121">
        <f>'coding(此頁勿動)'!I3</f>
        <v>3</v>
      </c>
      <c r="B22" s="77" t="str">
        <f>'skill data'!T80</f>
        <v>騎士兵團</v>
      </c>
      <c r="C22" s="122" t="str">
        <f>'skill data'!S80</f>
        <v>200%</v>
      </c>
      <c r="D22" s="123" t="b">
        <v>0</v>
      </c>
      <c r="E22" s="1"/>
      <c r="F22" s="1"/>
      <c r="G22" s="64"/>
      <c r="H22" s="26"/>
      <c r="I22" s="26"/>
      <c r="J22" s="26"/>
      <c r="K22" s="65"/>
      <c r="L22" s="8"/>
      <c r="M22" s="8"/>
      <c r="N22" s="8"/>
      <c r="O22" s="8"/>
      <c r="P22" s="8"/>
      <c r="Q22" s="64"/>
      <c r="R22" s="26"/>
      <c r="S22" s="26"/>
      <c r="T22" s="26"/>
      <c r="U22" s="65"/>
      <c r="V22" s="10"/>
      <c r="W22" s="64"/>
      <c r="X22" s="26"/>
      <c r="Y22" s="26"/>
      <c r="Z22" s="26"/>
      <c r="AA22" s="65"/>
      <c r="AB22" s="64"/>
      <c r="AC22" s="26"/>
      <c r="AD22" s="26"/>
      <c r="AE22" s="26"/>
      <c r="AF22" s="65"/>
      <c r="AG22" s="64"/>
      <c r="AH22" s="26"/>
      <c r="AI22" s="26"/>
      <c r="AJ22" s="26"/>
      <c r="AK22" s="65"/>
      <c r="AL22" s="1"/>
      <c r="AM22" s="10"/>
      <c r="AN22" s="10"/>
      <c r="AO22" s="10"/>
      <c r="AP22" s="10"/>
      <c r="AQ22" s="10"/>
      <c r="AR22" s="10"/>
      <c r="AS22" s="1"/>
      <c r="AT22" s="1"/>
      <c r="AU22" s="1"/>
    </row>
    <row r="23" ht="16.5" customHeight="1">
      <c r="A23" s="121">
        <f>'coding(此頁勿動)'!I4</f>
        <v>3</v>
      </c>
      <c r="B23" s="77" t="str">
        <f>'skill data'!T81</f>
        <v>終極米達斯</v>
      </c>
      <c r="C23" s="122" t="str">
        <f>'skill data'!S81</f>
        <v>55.4%</v>
      </c>
      <c r="D23" s="123" t="b">
        <v>0</v>
      </c>
      <c r="E23" s="1"/>
      <c r="F23" s="1"/>
      <c r="G23" s="108" t="s">
        <v>38</v>
      </c>
      <c r="H23" s="96" t="s">
        <v>41</v>
      </c>
      <c r="I23" s="97" t="str">
        <f>IF('skill data'!L140&lt;15,ROUND((('skill data'!M48/'skill data'!M9)^(1/K23)-1)*100,2)&amp;"%","-")</f>
        <v>35.72%</v>
      </c>
      <c r="J23" s="96" t="s">
        <v>43</v>
      </c>
      <c r="K23" s="110">
        <f>IF('skill data'!L140&lt;15,VLOOKUP('skill data'!L140+1,simulationData!$AN$76:$AO$90,2,FALSE)-K20,"-")</f>
        <v>3</v>
      </c>
      <c r="L23" s="8"/>
      <c r="M23" s="8"/>
      <c r="N23" s="8"/>
      <c r="O23" s="8"/>
      <c r="P23" s="8"/>
      <c r="Q23" s="72" t="s">
        <v>38</v>
      </c>
      <c r="R23" s="73" t="s">
        <v>41</v>
      </c>
      <c r="S23" s="76" t="str">
        <f>IF('skill data'!V140&lt;15,ROUND((('skill data'!M49/'skill data'!M10)^(1/U23)-1)*100,2)&amp;"%","-")</f>
        <v>25.99%</v>
      </c>
      <c r="T23" s="73" t="s">
        <v>43</v>
      </c>
      <c r="U23" s="110">
        <f>IF('skill data'!V140&lt;15,VLOOKUP('skill data'!V140+1,simulationData!$AN$76:$AO$90,2,FALSE)-U20,"-")</f>
        <v>3</v>
      </c>
      <c r="V23" s="10"/>
      <c r="W23" s="72" t="s">
        <v>38</v>
      </c>
      <c r="X23" s="96" t="s">
        <v>41</v>
      </c>
      <c r="Y23" s="124" t="s">
        <v>52</v>
      </c>
      <c r="Z23" s="96" t="s">
        <v>43</v>
      </c>
      <c r="AA23" s="110">
        <f>IF('skill data'!AB140&lt;15,VLOOKUP('skill data'!AB140+1,simulationData!$AN$76:$AO$90,2,FALSE)-AA20,"-")</f>
        <v>3</v>
      </c>
      <c r="AB23" s="72" t="s">
        <v>38</v>
      </c>
      <c r="AC23" s="96" t="s">
        <v>41</v>
      </c>
      <c r="AD23" s="76" t="s">
        <v>50</v>
      </c>
      <c r="AE23" s="96" t="s">
        <v>43</v>
      </c>
      <c r="AF23" s="110">
        <f>IF('skill data'!AG140&lt;15,VLOOKUP('skill data'!AG140+1,simulationData!$AN$76:$AO$90,2,FALSE)-AF20,"-")</f>
        <v>3</v>
      </c>
      <c r="AG23" s="72" t="s">
        <v>38</v>
      </c>
      <c r="AH23" s="96" t="s">
        <v>41</v>
      </c>
      <c r="AI23" s="76" t="str">
        <f>IF('skill data'!AL140&lt;15,ROUND((('skill data'!M68/'skill data'!M29)^(1/AK23)-1)*100,2)&amp;"%","-")</f>
        <v>17.06%</v>
      </c>
      <c r="AJ23" s="96" t="s">
        <v>43</v>
      </c>
      <c r="AK23" s="110">
        <f>IF('skill data'!AL140&lt;15,VLOOKUP('skill data'!AL140+1,simulationData!$AN$76:$AO$90,2,FALSE)-AK20,"-")</f>
        <v>3</v>
      </c>
      <c r="AL23" s="1"/>
      <c r="AM23" s="10"/>
      <c r="AN23" s="10"/>
      <c r="AO23" s="10"/>
      <c r="AP23" s="10"/>
      <c r="AQ23" s="10"/>
      <c r="AR23" s="10"/>
      <c r="AS23" s="1"/>
      <c r="AT23" s="1"/>
      <c r="AU23" s="1"/>
    </row>
    <row r="24" ht="16.5" customHeight="1">
      <c r="A24" s="121">
        <f>'coding(此頁勿動)'!I5</f>
        <v>3</v>
      </c>
      <c r="B24" s="77" t="str">
        <f>'skill data'!T82</f>
        <v>米達斯之心</v>
      </c>
      <c r="C24" s="122" t="str">
        <f>'skill data'!S82</f>
        <v>55.4%</v>
      </c>
      <c r="D24" s="123" t="b">
        <v>0</v>
      </c>
      <c r="E24" s="1"/>
      <c r="F24" s="1"/>
      <c r="G24" s="57" t="str">
        <f>IF('skill data'!L140&lt;15,'skill desc'!Y42,"最高等級")</f>
        <v>主動點擊時增加 2.5 倍點擊傷害
主動點擊時每秒額外點擊 1 次</v>
      </c>
      <c r="H24" s="5"/>
      <c r="I24" s="5"/>
      <c r="J24" s="5"/>
      <c r="K24" s="58"/>
      <c r="L24" s="8"/>
      <c r="M24" s="8"/>
      <c r="N24" s="8"/>
      <c r="O24" s="8"/>
      <c r="P24" s="8"/>
      <c r="Q24" s="57" t="str">
        <f>IF('skill data'!V140&lt;15,'skill desc'!AI42,"最高等級")</f>
        <v>充能時寵物傷害提高 2 倍
寵物技能冷卻時間 -3.5 %</v>
      </c>
      <c r="R24" s="5"/>
      <c r="S24" s="5"/>
      <c r="T24" s="5"/>
      <c r="U24" s="58"/>
      <c r="V24" s="10"/>
      <c r="W24" s="62" t="str">
        <f>IF('skill data'!AB140&lt;15,'skill desc'!Y90,"最高等級")</f>
        <v>擊殺魔力瑪尼魔力回復量+2 </v>
      </c>
      <c r="X24" s="5"/>
      <c r="Y24" s="5"/>
      <c r="Z24" s="5"/>
      <c r="AA24" s="58"/>
      <c r="AB24" s="62" t="str">
        <f>IF('skill data'!AG140&lt;15,'skill desc'!AD90,"最高等級")</f>
        <v>每次觸發造成 10% 怪物當前生命的傷害
閃電雷擊傷害衰減率 93.8%</v>
      </c>
      <c r="AC24" s="5"/>
      <c r="AD24" s="5"/>
      <c r="AE24" s="5"/>
      <c r="AF24" s="58"/>
      <c r="AG24" s="62" t="str">
        <f>IF('skill data'!AL140&lt;15,'skill desc'!AI90,"最高等級")</f>
        <v>增加 1.31 倍所有主動技能效果
影分身發動時增加 1.042 倍所有主動技能持續時間</v>
      </c>
      <c r="AH24" s="5"/>
      <c r="AI24" s="5"/>
      <c r="AJ24" s="5"/>
      <c r="AK24" s="58"/>
      <c r="AL24" s="1"/>
      <c r="AM24" s="10"/>
      <c r="AN24" s="10"/>
      <c r="AO24" s="10"/>
      <c r="AP24" s="10"/>
      <c r="AQ24" s="10"/>
      <c r="AR24" s="10"/>
      <c r="AS24" s="1"/>
      <c r="AT24" s="1"/>
      <c r="AU24" s="1"/>
    </row>
    <row r="25" ht="16.5" customHeight="1">
      <c r="A25" s="121">
        <f>'coding(此頁勿動)'!I6</f>
        <v>3</v>
      </c>
      <c r="B25" s="77" t="str">
        <f>'skill data'!T83</f>
        <v>禁錮射擊</v>
      </c>
      <c r="C25" s="122" t="str">
        <f>'skill data'!S83</f>
        <v>51.83%</v>
      </c>
      <c r="D25" s="123" t="b">
        <v>0</v>
      </c>
      <c r="E25" s="1"/>
      <c r="F25" s="1"/>
      <c r="G25" s="49"/>
      <c r="H25" s="50"/>
      <c r="I25" s="50"/>
      <c r="J25" s="50"/>
      <c r="K25" s="52"/>
      <c r="L25" s="8"/>
      <c r="M25" s="8"/>
      <c r="N25" s="8"/>
      <c r="O25" s="8"/>
      <c r="P25" s="8"/>
      <c r="Q25" s="49"/>
      <c r="R25" s="50"/>
      <c r="S25" s="50"/>
      <c r="T25" s="50"/>
      <c r="U25" s="52"/>
      <c r="V25" s="10"/>
      <c r="W25" s="49"/>
      <c r="X25" s="50"/>
      <c r="Y25" s="50"/>
      <c r="Z25" s="50"/>
      <c r="AA25" s="52"/>
      <c r="AB25" s="49"/>
      <c r="AC25" s="50"/>
      <c r="AD25" s="50"/>
      <c r="AE25" s="50"/>
      <c r="AF25" s="52"/>
      <c r="AG25" s="49"/>
      <c r="AH25" s="50"/>
      <c r="AI25" s="50"/>
      <c r="AJ25" s="50"/>
      <c r="AK25" s="52"/>
      <c r="AL25" s="1"/>
      <c r="AM25" s="10"/>
      <c r="AN25" s="10"/>
      <c r="AO25" s="10"/>
      <c r="AP25" s="10"/>
      <c r="AQ25" s="10"/>
      <c r="AR25" s="10"/>
      <c r="AS25" s="1"/>
      <c r="AT25" s="1"/>
      <c r="AU25" s="1"/>
    </row>
    <row r="26" ht="16.5" customHeight="1">
      <c r="A26" s="121">
        <f>'coding(此頁勿動)'!I7</f>
        <v>3</v>
      </c>
      <c r="B26" s="77" t="str">
        <f>'skill data'!T84</f>
        <v>寵物進化</v>
      </c>
      <c r="C26" s="122" t="str">
        <f>'skill data'!S84</f>
        <v>50%</v>
      </c>
      <c r="D26" s="123" t="b">
        <v>0</v>
      </c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"/>
      <c r="AM26" s="10"/>
      <c r="AN26" s="10"/>
      <c r="AO26" s="10"/>
      <c r="AP26" s="10"/>
      <c r="AQ26" s="10"/>
      <c r="AR26" s="10"/>
      <c r="AS26" s="1"/>
      <c r="AT26" s="1"/>
      <c r="AU26" s="1"/>
    </row>
    <row r="27" ht="16.5" customHeight="1">
      <c r="A27" s="121">
        <f>'coding(此頁勿動)'!I8</f>
        <v>0</v>
      </c>
      <c r="B27" s="77" t="str">
        <f>'skill data'!T85</f>
        <v>竊盜大師</v>
      </c>
      <c r="C27" s="122" t="str">
        <f>'skill data'!S85</f>
        <v>42.26%</v>
      </c>
      <c r="D27" s="123" t="b">
        <v>0</v>
      </c>
      <c r="E27" s="1"/>
      <c r="F27" s="1"/>
      <c r="G27" s="128" t="s">
        <v>126</v>
      </c>
      <c r="H27" s="22"/>
      <c r="I27" s="23"/>
      <c r="J27" s="29" t="s">
        <v>15</v>
      </c>
      <c r="K27" s="30" t="s">
        <v>17</v>
      </c>
      <c r="L27" s="129" t="s">
        <v>127</v>
      </c>
      <c r="M27" s="34" t="s">
        <v>20</v>
      </c>
      <c r="N27" s="36"/>
      <c r="O27" s="34" t="s">
        <v>15</v>
      </c>
      <c r="P27" s="40">
        <f>IF('skill data'!Q147&gt;0,VLOOKUP('skill data'!Q147,simulationData!$AN$1:$AO$25,2,FALSE),0)</f>
        <v>0</v>
      </c>
      <c r="Q27" s="41" t="s">
        <v>23</v>
      </c>
      <c r="R27" s="8"/>
      <c r="S27" s="8"/>
      <c r="T27" s="8"/>
      <c r="U27" s="8"/>
      <c r="V27" s="2"/>
      <c r="W27" s="131" t="s">
        <v>128</v>
      </c>
      <c r="X27" s="22"/>
      <c r="Y27" s="23"/>
      <c r="Z27" s="29" t="s">
        <v>15</v>
      </c>
      <c r="AA27" s="30" t="s">
        <v>17</v>
      </c>
      <c r="AB27" s="133" t="s">
        <v>129</v>
      </c>
      <c r="AC27" s="86" t="s">
        <v>20</v>
      </c>
      <c r="AD27" s="36"/>
      <c r="AE27" s="86" t="s">
        <v>15</v>
      </c>
      <c r="AF27" s="135">
        <f>IF('skill data'!AG147&gt;0,VLOOKUP('skill data'!AG147,simulationData!$AN$1:$AO$25,2,FALSE),0)</f>
        <v>0</v>
      </c>
      <c r="AG27" s="73" t="s">
        <v>23</v>
      </c>
      <c r="AH27" s="8"/>
      <c r="AI27" s="8"/>
      <c r="AJ27" s="8"/>
      <c r="AK27" s="8"/>
      <c r="AL27" s="1"/>
      <c r="AM27" s="10"/>
      <c r="AN27" s="10"/>
      <c r="AO27" s="10"/>
      <c r="AP27" s="10"/>
      <c r="AQ27" s="10"/>
      <c r="AR27" s="10"/>
      <c r="AS27" s="1"/>
      <c r="AT27" s="1"/>
      <c r="AU27" s="1"/>
    </row>
    <row r="28" ht="16.5" customHeight="1">
      <c r="A28" s="121">
        <f>'coding(此頁勿動)'!I9</f>
        <v>3</v>
      </c>
      <c r="B28" s="77" t="str">
        <f>'skill data'!T86</f>
        <v>野蠻狂怒</v>
      </c>
      <c r="C28" s="122" t="str">
        <f>'skill data'!S86</f>
        <v>35.72%</v>
      </c>
      <c r="D28" s="123" t="b">
        <v>0</v>
      </c>
      <c r="E28" s="1"/>
      <c r="F28" s="1"/>
      <c r="G28" s="49"/>
      <c r="H28" s="50"/>
      <c r="I28" s="52"/>
      <c r="J28" s="138">
        <f>K33+K39+K45+P27+P33+U33+U39+U45+P39</f>
        <v>0</v>
      </c>
      <c r="K28" s="56">
        <f>K3</f>
        <v>0</v>
      </c>
      <c r="L28" s="140" t="str">
        <f>IF('skill data'!Q147&gt;0,'skill desc'!AD45,"無效果")</f>
        <v>無效果</v>
      </c>
      <c r="M28" s="5"/>
      <c r="N28" s="5"/>
      <c r="O28" s="5"/>
      <c r="P28" s="58"/>
      <c r="Q28" s="59" t="str">
        <f>Q3</f>
        <v>1e0</v>
      </c>
      <c r="R28" s="60"/>
      <c r="S28" s="60"/>
      <c r="T28" s="60"/>
      <c r="U28" s="60"/>
      <c r="V28" s="2"/>
      <c r="W28" s="49"/>
      <c r="X28" s="50"/>
      <c r="Y28" s="52"/>
      <c r="Z28" s="77">
        <f>AA33+AA39+AF27+AF33+AK33+AK39+AF39</f>
        <v>0</v>
      </c>
      <c r="AA28" s="56">
        <f>K3</f>
        <v>0</v>
      </c>
      <c r="AB28" s="141" t="str">
        <f>IF('skill data'!AG147&gt;0,'skill desc'!AD92,"無效果")</f>
        <v>無效果</v>
      </c>
      <c r="AC28" s="5"/>
      <c r="AD28" s="5"/>
      <c r="AE28" s="5"/>
      <c r="AF28" s="58"/>
      <c r="AG28" s="59" t="str">
        <f>Q3</f>
        <v>1e0</v>
      </c>
      <c r="AH28" s="60"/>
      <c r="AI28" s="60"/>
      <c r="AJ28" s="60"/>
      <c r="AK28" s="60"/>
      <c r="AL28" s="1"/>
      <c r="AM28" s="10"/>
      <c r="AN28" s="10"/>
      <c r="AO28" s="10"/>
      <c r="AP28" s="10"/>
      <c r="AQ28" s="10"/>
      <c r="AR28" s="10"/>
      <c r="AS28" s="1"/>
      <c r="AT28" s="1"/>
      <c r="AU28" s="1"/>
    </row>
    <row r="29" ht="16.5" customHeight="1">
      <c r="A29" s="121">
        <f>'coding(此頁勿動)'!I10</f>
        <v>3</v>
      </c>
      <c r="B29" s="77" t="str">
        <f>'skill data'!T87</f>
        <v>召喚煉獄</v>
      </c>
      <c r="C29" s="122" t="str">
        <f>'skill data'!S87</f>
        <v>26.49%</v>
      </c>
      <c r="D29" s="123" t="b">
        <v>0</v>
      </c>
      <c r="E29" s="1"/>
      <c r="F29" s="1"/>
      <c r="G29" s="8"/>
      <c r="H29" s="8"/>
      <c r="I29" s="8"/>
      <c r="J29" s="8"/>
      <c r="K29" s="8"/>
      <c r="L29" s="64"/>
      <c r="M29" s="26"/>
      <c r="N29" s="26"/>
      <c r="O29" s="26"/>
      <c r="P29" s="65"/>
      <c r="Q29" s="66" t="s">
        <v>33</v>
      </c>
      <c r="R29" s="67" t="s">
        <v>34</v>
      </c>
      <c r="S29" s="5"/>
      <c r="T29" s="7"/>
      <c r="U29" s="60"/>
      <c r="V29" s="2"/>
      <c r="W29" s="8"/>
      <c r="X29" s="8"/>
      <c r="Y29" s="8"/>
      <c r="Z29" s="8"/>
      <c r="AA29" s="8"/>
      <c r="AB29" s="64"/>
      <c r="AC29" s="26"/>
      <c r="AD29" s="26"/>
      <c r="AE29" s="26"/>
      <c r="AF29" s="65"/>
      <c r="AG29" s="66" t="s">
        <v>33</v>
      </c>
      <c r="AH29" s="67" t="s">
        <v>34</v>
      </c>
      <c r="AI29" s="5"/>
      <c r="AJ29" s="7"/>
      <c r="AK29" s="60"/>
      <c r="AL29" s="1"/>
      <c r="AM29" s="10"/>
      <c r="AN29" s="10"/>
      <c r="AO29" s="10"/>
      <c r="AP29" s="10"/>
      <c r="AQ29" s="10"/>
      <c r="AR29" s="10"/>
      <c r="AS29" s="1"/>
      <c r="AT29" s="1"/>
      <c r="AU29" s="1"/>
    </row>
    <row r="30" ht="16.5" customHeight="1">
      <c r="A30" s="121">
        <f>'coding(此頁勿動)'!I11</f>
        <v>3</v>
      </c>
      <c r="B30" s="77" t="str">
        <f>'skill data'!T88</f>
        <v>閃電瞬移</v>
      </c>
      <c r="C30" s="122" t="str">
        <f>'skill data'!S88</f>
        <v>25.99%</v>
      </c>
      <c r="D30" s="123" t="b">
        <v>0</v>
      </c>
      <c r="E30" s="1"/>
      <c r="F30" s="1"/>
      <c r="G30" s="69" t="s">
        <v>130</v>
      </c>
      <c r="H30" s="8"/>
      <c r="I30" s="8"/>
      <c r="J30" s="8"/>
      <c r="K30" s="8"/>
      <c r="L30" s="72" t="s">
        <v>38</v>
      </c>
      <c r="M30" s="73" t="s">
        <v>131</v>
      </c>
      <c r="N30" s="76" t="str">
        <f>IF('skill data'!Q147&lt;25,ROUND((('skill data'!M50/'skill data'!M11)^(1/P30)-1)*100,2)&amp;"%","-")</f>
        <v>9.54%</v>
      </c>
      <c r="O30" s="73" t="s">
        <v>43</v>
      </c>
      <c r="P30" s="79">
        <f>IF('skill data'!Q147&lt;25,VLOOKUP('skill data'!Q147+1,simulationData!$AN$1:$AO$25,2,FALSE)-P27,"-")</f>
        <v>1</v>
      </c>
      <c r="Q30" s="56" t="str">
        <f>Q5</f>
        <v>1e0</v>
      </c>
      <c r="R30" s="24"/>
      <c r="S30" s="26"/>
      <c r="T30" s="28"/>
      <c r="U30" s="60"/>
      <c r="V30" s="2"/>
      <c r="W30" s="69" t="s">
        <v>132</v>
      </c>
      <c r="X30" s="8"/>
      <c r="Y30" s="69"/>
      <c r="Z30" s="69"/>
      <c r="AA30" s="8"/>
      <c r="AB30" s="72" t="s">
        <v>38</v>
      </c>
      <c r="AC30" s="96" t="s">
        <v>41</v>
      </c>
      <c r="AD30" s="76" t="str">
        <f>IF('skill data'!AG147&lt;25,ROUND((('skill data'!M69/'skill data'!M30)^(1/AF30)-1)*100,2)&amp;"%","-")</f>
        <v>42.26%</v>
      </c>
      <c r="AE30" s="96" t="s">
        <v>43</v>
      </c>
      <c r="AF30" s="79">
        <f>IF('skill data'!AG147&lt;25,VLOOKUP('skill data'!AG147+1,simulationData!$AN$1:$AO$25,2,FALSE)-AF27,"-")</f>
        <v>1</v>
      </c>
      <c r="AG30" s="56" t="str">
        <f>Q5</f>
        <v>1e0</v>
      </c>
      <c r="AH30" s="24"/>
      <c r="AI30" s="26"/>
      <c r="AJ30" s="28"/>
      <c r="AK30" s="60"/>
      <c r="AL30" s="1"/>
      <c r="AM30" s="10"/>
      <c r="AN30" s="10"/>
      <c r="AO30" s="10"/>
      <c r="AP30" s="10"/>
      <c r="AQ30" s="10"/>
      <c r="AR30" s="10"/>
      <c r="AS30" s="1"/>
      <c r="AT30" s="1"/>
      <c r="AU30" s="1"/>
    </row>
    <row r="31" ht="16.5" customHeight="1">
      <c r="A31" s="121">
        <f>'coding(此頁勿動)'!I12</f>
        <v>3</v>
      </c>
      <c r="B31" s="77" t="str">
        <f>'skill data'!T89</f>
        <v>英雄神力</v>
      </c>
      <c r="C31" s="122" t="str">
        <f>'skill data'!S89</f>
        <v>22.47%</v>
      </c>
      <c r="D31" s="123" t="b">
        <v>0</v>
      </c>
      <c r="E31" s="1"/>
      <c r="F31" s="1"/>
      <c r="G31" s="69" t="b">
        <v>0</v>
      </c>
      <c r="H31" s="8"/>
      <c r="I31" s="8"/>
      <c r="J31" s="8"/>
      <c r="K31" s="8"/>
      <c r="L31" s="140" t="str">
        <f>IF('skill data'!Q147&lt;25,'skill desc'!AD48,"最高等級")</f>
        <v>增加 1.2 倍所有英雄傷害</v>
      </c>
      <c r="M31" s="5"/>
      <c r="N31" s="5"/>
      <c r="O31" s="5"/>
      <c r="P31" s="58"/>
      <c r="Q31" s="8"/>
      <c r="R31" s="8"/>
      <c r="S31" s="8"/>
      <c r="T31" s="8"/>
      <c r="U31" s="8"/>
      <c r="V31" s="2"/>
      <c r="W31" s="69" t="b">
        <v>0</v>
      </c>
      <c r="X31" s="8"/>
      <c r="Y31" s="69"/>
      <c r="Z31" s="8"/>
      <c r="AA31" s="8"/>
      <c r="AB31" s="141" t="str">
        <f>IF('skill data'!AG147&lt;25,'skill desc'!AD95,"最高等級")</f>
        <v>增加 1.6 倍所有黃金
增加 1.2 倍離線黃金</v>
      </c>
      <c r="AC31" s="5"/>
      <c r="AD31" s="5"/>
      <c r="AE31" s="5"/>
      <c r="AF31" s="58"/>
      <c r="AG31" s="8"/>
      <c r="AH31" s="8"/>
      <c r="AI31" s="8"/>
      <c r="AJ31" s="8"/>
      <c r="AK31" s="8"/>
      <c r="AL31" s="1"/>
      <c r="AM31" s="10"/>
      <c r="AN31" s="10"/>
      <c r="AO31" s="10"/>
      <c r="AP31" s="10"/>
      <c r="AQ31" s="10"/>
      <c r="AR31" s="10"/>
      <c r="AS31" s="1"/>
      <c r="AT31" s="1"/>
      <c r="AU31" s="1"/>
    </row>
    <row r="32" ht="16.5" customHeight="1">
      <c r="A32" s="121">
        <f>'coding(此頁勿動)'!I13</f>
        <v>3</v>
      </c>
      <c r="B32" s="77" t="str">
        <f>'skill data'!T90</f>
        <v>閃電爆破</v>
      </c>
      <c r="C32" s="122" t="str">
        <f>'skill data'!S90</f>
        <v>22.47%</v>
      </c>
      <c r="D32" s="123" t="b">
        <v>0</v>
      </c>
      <c r="E32" s="10"/>
      <c r="F32" s="10"/>
      <c r="G32" s="8"/>
      <c r="H32" s="8"/>
      <c r="I32" s="8"/>
      <c r="J32" s="8"/>
      <c r="K32" s="8"/>
      <c r="L32" s="49"/>
      <c r="M32" s="50"/>
      <c r="N32" s="50"/>
      <c r="O32" s="50"/>
      <c r="P32" s="52"/>
      <c r="Q32" s="8"/>
      <c r="R32" s="8"/>
      <c r="S32" s="8"/>
      <c r="T32" s="8"/>
      <c r="U32" s="8"/>
      <c r="V32" s="2"/>
      <c r="W32" s="8"/>
      <c r="X32" s="8"/>
      <c r="Y32" s="8"/>
      <c r="Z32" s="8"/>
      <c r="AA32" s="8"/>
      <c r="AB32" s="49"/>
      <c r="AC32" s="50"/>
      <c r="AD32" s="50"/>
      <c r="AE32" s="50"/>
      <c r="AF32" s="52"/>
      <c r="AG32" s="8"/>
      <c r="AH32" s="8"/>
      <c r="AI32" s="8"/>
      <c r="AJ32" s="8"/>
      <c r="AK32" s="8"/>
      <c r="AL32" s="1"/>
      <c r="AM32" s="10"/>
      <c r="AN32" s="10"/>
      <c r="AO32" s="10"/>
      <c r="AP32" s="10"/>
      <c r="AQ32" s="10"/>
      <c r="AR32" s="10"/>
      <c r="AS32" s="1"/>
      <c r="AT32" s="1"/>
      <c r="AU32" s="1"/>
    </row>
    <row r="33" ht="16.5" customHeight="1">
      <c r="A33" s="121">
        <f>'coding(此頁勿動)'!I14</f>
        <v>3</v>
      </c>
      <c r="B33" s="77" t="str">
        <f>'skill data'!T91</f>
        <v>洞察戰術</v>
      </c>
      <c r="C33" s="122" t="str">
        <f>'skill data'!S91</f>
        <v>21.62%</v>
      </c>
      <c r="D33" s="123" t="b">
        <v>0</v>
      </c>
      <c r="E33" s="10"/>
      <c r="F33" s="10"/>
      <c r="G33" s="129" t="s">
        <v>133</v>
      </c>
      <c r="H33" s="34" t="s">
        <v>20</v>
      </c>
      <c r="I33" s="36"/>
      <c r="J33" s="34" t="s">
        <v>15</v>
      </c>
      <c r="K33" s="40">
        <f>IF('skill data'!L153&gt;0,VLOOKUP('skill data'!L153,simulationData!$AN$26:$AO$50,2,FALSE),0)</f>
        <v>0</v>
      </c>
      <c r="L33" s="143" t="s">
        <v>134</v>
      </c>
      <c r="M33" s="84" t="s">
        <v>20</v>
      </c>
      <c r="N33" s="36"/>
      <c r="O33" s="84" t="s">
        <v>15</v>
      </c>
      <c r="P33" s="40">
        <f>IF('skill data'!Q153&gt;0,VLOOKUP('skill data'!Q153,simulationData!$AN$26:$AO$50,2,FALSE),0)</f>
        <v>0</v>
      </c>
      <c r="Q33" s="129" t="s">
        <v>135</v>
      </c>
      <c r="R33" s="86" t="s">
        <v>20</v>
      </c>
      <c r="S33" s="36"/>
      <c r="T33" s="86" t="s">
        <v>15</v>
      </c>
      <c r="U33" s="40">
        <f>IF('skill data'!V153&gt;0,VLOOKUP('skill data'!V153,simulationData!$AN$26:$AO$50,2,FALSE),0)</f>
        <v>0</v>
      </c>
      <c r="V33" s="2"/>
      <c r="W33" s="133" t="s">
        <v>136</v>
      </c>
      <c r="X33" s="86" t="s">
        <v>20</v>
      </c>
      <c r="Y33" s="36"/>
      <c r="Z33" s="86" t="s">
        <v>15</v>
      </c>
      <c r="AA33" s="40">
        <f>IF('skill data'!AB153&gt;0,VLOOKUP('skill data'!AB153,simulationData!$AN$26:$AO$50,2,FALSE),0)</f>
        <v>0</v>
      </c>
      <c r="AB33" s="133" t="s">
        <v>137</v>
      </c>
      <c r="AC33" s="86" t="s">
        <v>20</v>
      </c>
      <c r="AD33" s="105"/>
      <c r="AE33" s="86" t="s">
        <v>15</v>
      </c>
      <c r="AF33" s="40">
        <f>IF('skill data'!AG153&gt;0,VLOOKUP('skill data'!AG153,simulationData!$AN$26:$AO$35,2,FALSE),0)</f>
        <v>0</v>
      </c>
      <c r="AG33" s="133" t="s">
        <v>138</v>
      </c>
      <c r="AH33" s="86" t="s">
        <v>20</v>
      </c>
      <c r="AI33" s="119"/>
      <c r="AJ33" s="86" t="s">
        <v>15</v>
      </c>
      <c r="AK33" s="40">
        <f>IF('skill data'!AL153&gt;0,VLOOKUP('skill data'!AL153,simulationData!$AN$26:$AO$35,2,FALSE),0)</f>
        <v>0</v>
      </c>
      <c r="AL33" s="1"/>
      <c r="AM33" s="10"/>
      <c r="AN33" s="10"/>
      <c r="AO33" s="10"/>
      <c r="AP33" s="10"/>
      <c r="AQ33" s="10"/>
      <c r="AR33" s="10"/>
      <c r="AS33" s="1"/>
      <c r="AT33" s="1"/>
      <c r="AU33" s="1"/>
    </row>
    <row r="34" ht="16.5" customHeight="1">
      <c r="A34" s="121">
        <f>'coding(此頁勿動)'!I15</f>
        <v>0</v>
      </c>
      <c r="B34" s="77" t="str">
        <f>'skill data'!T92</f>
        <v>騎士勇氣</v>
      </c>
      <c r="C34" s="122" t="str">
        <f>'skill data'!S92</f>
        <v>20%</v>
      </c>
      <c r="D34" s="123" t="b">
        <v>0</v>
      </c>
      <c r="E34" s="10"/>
      <c r="F34" s="10"/>
      <c r="G34" s="140" t="str">
        <f>IF('skill data'!K153=0,IF('skill data'!L153&gt;0,'skill desc'!Y51,"無效果"),'skill desc'!AN55)</f>
        <v>前置條件 : 指揮官大師
需求軍閥技能點 :  0 / 3</v>
      </c>
      <c r="H34" s="5"/>
      <c r="I34" s="5"/>
      <c r="J34" s="5"/>
      <c r="K34" s="58"/>
      <c r="L34" s="144" t="str">
        <f>IF('skill data'!P153=0,IF('skill data'!Q153&gt;0,'skill desc'!AD51,"無效果"),'skill desc'!AS55)</f>
        <v>前置條件 : 指揮官大師
需求軍閥技能點 :  0 / 3</v>
      </c>
      <c r="M34" s="5"/>
      <c r="N34" s="5"/>
      <c r="O34" s="5"/>
      <c r="P34" s="58"/>
      <c r="Q34" s="144" t="str">
        <f>IF('skill data'!U153=0,IF('skill data'!V153&gt;0,'skill desc'!AI51,"無效果"),'skill desc'!AX55)</f>
        <v>前置條件 : 指揮官大師
需求軍閥技能點 :  0 / 3</v>
      </c>
      <c r="R34" s="5"/>
      <c r="S34" s="5"/>
      <c r="T34" s="5"/>
      <c r="U34" s="58"/>
      <c r="V34" s="2"/>
      <c r="W34" s="141" t="str">
        <f>IF('skill data'!AA153=0,IF('skill data'!AB153&gt;0,'skill desc'!Y98,"無效果"),'skill desc'!BD55)</f>
        <v>前置條件 : 竊盜大師
需求流氓技能點 :  0 / 3</v>
      </c>
      <c r="X34" s="5"/>
      <c r="Y34" s="5"/>
      <c r="Z34" s="5"/>
      <c r="AA34" s="58"/>
      <c r="AB34" s="141" t="str">
        <f>IF('skill data'!AF153=0,IF('skill data'!AG153&gt;0,'skill desc'!AD98,"無效果"),'skill desc'!BI55)</f>
        <v>前置條件 : 竊盜大師
需求流氓技能點 :  0 / 3</v>
      </c>
      <c r="AC34" s="5"/>
      <c r="AD34" s="5"/>
      <c r="AE34" s="5"/>
      <c r="AF34" s="58"/>
      <c r="AG34" s="141" t="str">
        <f>IF('skill data'!AK153=0,IF('skill data'!AL153&gt;0,'skill desc'!AI98,"無效果"),'skill desc'!BN55)</f>
        <v>前置條件 : 竊盜大師
需求流氓技能點 :  0 / 3</v>
      </c>
      <c r="AH34" s="5"/>
      <c r="AI34" s="5"/>
      <c r="AJ34" s="5"/>
      <c r="AK34" s="58"/>
      <c r="AL34" s="1"/>
      <c r="AM34" s="10"/>
      <c r="AN34" s="10"/>
      <c r="AO34" s="10"/>
      <c r="AP34" s="10"/>
      <c r="AQ34" s="10"/>
      <c r="AR34" s="10"/>
      <c r="AS34" s="1"/>
      <c r="AT34" s="1"/>
      <c r="AU34" s="1"/>
    </row>
    <row r="35" ht="16.5" customHeight="1">
      <c r="A35" s="121">
        <f>'coding(此頁勿動)'!I16</f>
        <v>3</v>
      </c>
      <c r="B35" s="77" t="str">
        <f>'skill data'!T93</f>
        <v>星體覺醒</v>
      </c>
      <c r="C35" s="122" t="str">
        <f>'skill data'!S93</f>
        <v>17.22%</v>
      </c>
      <c r="D35" s="123" t="b">
        <v>0</v>
      </c>
      <c r="E35" s="10"/>
      <c r="F35" s="10"/>
      <c r="G35" s="64"/>
      <c r="H35" s="26"/>
      <c r="I35" s="26"/>
      <c r="J35" s="26"/>
      <c r="K35" s="65"/>
      <c r="L35" s="26"/>
      <c r="M35" s="26"/>
      <c r="N35" s="26"/>
      <c r="O35" s="26"/>
      <c r="P35" s="65"/>
      <c r="Q35" s="26"/>
      <c r="R35" s="26"/>
      <c r="S35" s="26"/>
      <c r="T35" s="26"/>
      <c r="U35" s="65"/>
      <c r="V35" s="2"/>
      <c r="W35" s="64"/>
      <c r="X35" s="26"/>
      <c r="Y35" s="26"/>
      <c r="Z35" s="26"/>
      <c r="AA35" s="65"/>
      <c r="AB35" s="64"/>
      <c r="AC35" s="26"/>
      <c r="AD35" s="26"/>
      <c r="AE35" s="26"/>
      <c r="AF35" s="65"/>
      <c r="AG35" s="64"/>
      <c r="AH35" s="26"/>
      <c r="AI35" s="26"/>
      <c r="AJ35" s="26"/>
      <c r="AK35" s="65"/>
      <c r="AL35" s="1"/>
      <c r="AM35" s="10"/>
      <c r="AN35" s="10"/>
      <c r="AO35" s="10"/>
      <c r="AP35" s="10"/>
      <c r="AQ35" s="10"/>
      <c r="AR35" s="10"/>
      <c r="AS35" s="1"/>
      <c r="AT35" s="1"/>
      <c r="AU35" s="1"/>
    </row>
    <row r="36" ht="16.5" customHeight="1">
      <c r="A36" s="1"/>
      <c r="B36" s="82" t="s">
        <v>139</v>
      </c>
      <c r="C36" s="11"/>
      <c r="D36" s="1"/>
      <c r="E36" s="10"/>
      <c r="F36" s="10"/>
      <c r="G36" s="72" t="s">
        <v>38</v>
      </c>
      <c r="H36" s="73" t="s">
        <v>41</v>
      </c>
      <c r="I36" s="76" t="str">
        <f>IF('skill data'!L153&lt;25,ROUND((('skill data'!M51/'skill data'!M12)^(1/K36)-1)*100,2)&amp;"%","-")</f>
        <v>0%</v>
      </c>
      <c r="J36" s="73" t="s">
        <v>43</v>
      </c>
      <c r="K36" s="79">
        <f>IF('skill data'!L153&lt;25,VLOOKUP('skill data'!L153+1,simulationData!$AN$26:$AO$50,2,FALSE)-K33,"-")</f>
        <v>1</v>
      </c>
      <c r="L36" s="94" t="s">
        <v>38</v>
      </c>
      <c r="M36" s="96" t="s">
        <v>41</v>
      </c>
      <c r="N36" s="76" t="str">
        <f>IF('skill data'!Q153&lt;25,ROUND((('skill data'!O52/'skill data'!O13)^(1/P36)-1)*100,2)&amp;"%","-")</f>
        <v>22.47%</v>
      </c>
      <c r="O36" s="96" t="s">
        <v>43</v>
      </c>
      <c r="P36" s="79">
        <f>IF('skill data'!Q153&lt;25,VLOOKUP('skill data'!Q153+1,simulationData!$AN$26:$AO$50,2,FALSE)-P33,"-")</f>
        <v>1</v>
      </c>
      <c r="Q36" s="108" t="s">
        <v>38</v>
      </c>
      <c r="R36" s="96" t="s">
        <v>41</v>
      </c>
      <c r="S36" s="76" t="str">
        <f>IF('skill data'!V153&lt;25,ROUND((('skill data'!M53/'skill data'!M14)^(1/U36)-1)*100,2)&amp;"%","-")</f>
        <v>0%</v>
      </c>
      <c r="T36" s="96" t="s">
        <v>43</v>
      </c>
      <c r="U36" s="79">
        <f>IF('skill data'!V153&lt;25,VLOOKUP('skill data'!V153+1,simulationData!$AN$26:$AO$50,2,FALSE)-U33,"-")</f>
        <v>1</v>
      </c>
      <c r="V36" s="2"/>
      <c r="W36" s="99" t="s">
        <v>38</v>
      </c>
      <c r="X36" s="100" t="s">
        <v>41</v>
      </c>
      <c r="Y36" s="101" t="str">
        <f>IF('skill data'!AB153&lt;25,ROUND((('skill data'!O70/'skill data'!O31)^(1/AA36)-1)*100,2)&amp;"%","-")</f>
        <v>0%</v>
      </c>
      <c r="Z36" s="100" t="s">
        <v>43</v>
      </c>
      <c r="AA36" s="79">
        <f>IF('skill data'!AB153&lt;25,VLOOKUP('skill data'!AB153+1,simulationData!$AN$26:$AO$50,2,FALSE)-AA33,"-")</f>
        <v>1</v>
      </c>
      <c r="AB36" s="72" t="s">
        <v>38</v>
      </c>
      <c r="AC36" s="96" t="s">
        <v>41</v>
      </c>
      <c r="AD36" s="76" t="str">
        <f>IF('skill data'!AG153&lt;10,ROUND((('skill data'!M71/'skill data'!M32)^(1/AF36)-1)*100,2)&amp;"%","-")</f>
        <v>0%</v>
      </c>
      <c r="AE36" s="96" t="s">
        <v>43</v>
      </c>
      <c r="AF36" s="79">
        <f>IF('skill data'!AG153&lt;10,VLOOKUP('skill data'!AG153+1,simulationData!$AN$26:$AO$50,2,FALSE)-AF33,"-")</f>
        <v>1</v>
      </c>
      <c r="AG36" s="99" t="s">
        <v>38</v>
      </c>
      <c r="AH36" s="100" t="s">
        <v>41</v>
      </c>
      <c r="AI36" s="101" t="s">
        <v>52</v>
      </c>
      <c r="AJ36" s="100" t="s">
        <v>43</v>
      </c>
      <c r="AK36" s="79">
        <f>IF('skill data'!AL153&lt;10,VLOOKUP('skill data'!AL153+1,simulationData!$AN$26:$AO$50,2,FALSE)-AK33,"-")</f>
        <v>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ht="16.5" customHeight="1">
      <c r="A37" s="1"/>
      <c r="B37" s="89" t="s">
        <v>140</v>
      </c>
      <c r="C37" s="7"/>
      <c r="D37" s="1"/>
      <c r="E37" s="10"/>
      <c r="F37" s="10"/>
      <c r="G37" s="140" t="str">
        <f>IF('skill data'!L153&lt;25,'skill desc'!Y54,"最高等級")</f>
        <v>增加 1.8 倍寶箱黃金
寶箱怪出現機率增加 1%</v>
      </c>
      <c r="H37" s="5"/>
      <c r="I37" s="5"/>
      <c r="J37" s="5"/>
      <c r="K37" s="58"/>
      <c r="L37" s="140" t="str">
        <f>IF('skill data'!Q153&lt;25,'skill desc'!AD54,"最高等級")</f>
        <v>增加 1.5 倍戰嚎效果
在戰嚎持續時間內激勵 1 名英雄</v>
      </c>
      <c r="M37" s="5"/>
      <c r="N37" s="5"/>
      <c r="O37" s="5"/>
      <c r="P37" s="58"/>
      <c r="Q37" s="140" t="str">
        <f>IF('skill data'!V153&lt;25,'skill desc'!AI54,"最高等級")</f>
        <v>增加 1.5 倍公會飛船傷害
飛船最大濺射數量增加 1</v>
      </c>
      <c r="R37" s="5"/>
      <c r="S37" s="5"/>
      <c r="T37" s="5"/>
      <c r="U37" s="58"/>
      <c r="V37" s="2"/>
      <c r="W37" s="141" t="str">
        <f>IF('skill data'!AB153&lt;25,'skill desc'!Y101,"最高等級")</f>
        <v>增加 1.6 倍致命打擊效果
致命打擊持續時間增加 2 秒</v>
      </c>
      <c r="X37" s="5"/>
      <c r="Y37" s="5"/>
      <c r="Z37" s="5"/>
      <c r="AA37" s="58"/>
      <c r="AB37" s="141" t="str">
        <f>IF('skill data'!AG153&lt;10,'skill desc'!AD101,"最高等級")</f>
        <v>增加 1 倍離線傷害
離線時怪物重生間隔 -0%</v>
      </c>
      <c r="AC37" s="5"/>
      <c r="AD37" s="5"/>
      <c r="AE37" s="5"/>
      <c r="AF37" s="58"/>
      <c r="AG37" s="141" t="str">
        <f>IF('skill data'!AL153&lt;10,'skill desc'!AI101,"最高等級")</f>
        <v>增加 1% 多重泰坦機率
最大多重泰坦數量增加 1</v>
      </c>
      <c r="AH37" s="5"/>
      <c r="AI37" s="5"/>
      <c r="AJ37" s="5"/>
      <c r="AK37" s="58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ht="16.5" customHeight="1">
      <c r="A38" s="1"/>
      <c r="B38" s="24"/>
      <c r="C38" s="28"/>
      <c r="D38" s="1"/>
      <c r="E38" s="10"/>
      <c r="F38" s="10"/>
      <c r="G38" s="49"/>
      <c r="H38" s="50"/>
      <c r="I38" s="50"/>
      <c r="J38" s="50"/>
      <c r="K38" s="52"/>
      <c r="L38" s="49"/>
      <c r="M38" s="50"/>
      <c r="N38" s="50"/>
      <c r="O38" s="50"/>
      <c r="P38" s="52"/>
      <c r="Q38" s="49"/>
      <c r="R38" s="50"/>
      <c r="S38" s="50"/>
      <c r="T38" s="50"/>
      <c r="U38" s="52"/>
      <c r="V38" s="2"/>
      <c r="W38" s="49"/>
      <c r="X38" s="50"/>
      <c r="Y38" s="50"/>
      <c r="Z38" s="50"/>
      <c r="AA38" s="52"/>
      <c r="AB38" s="49"/>
      <c r="AC38" s="50"/>
      <c r="AD38" s="50"/>
      <c r="AE38" s="50"/>
      <c r="AF38" s="52"/>
      <c r="AG38" s="49"/>
      <c r="AH38" s="50"/>
      <c r="AI38" s="50"/>
      <c r="AJ38" s="50"/>
      <c r="AK38" s="52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ht="16.5" customHeight="1">
      <c r="A39" s="1"/>
      <c r="B39" s="146" t="s">
        <v>18</v>
      </c>
      <c r="C39" s="147" t="s">
        <v>142</v>
      </c>
      <c r="D39" s="1"/>
      <c r="E39" s="10"/>
      <c r="F39" s="10"/>
      <c r="G39" s="129" t="s">
        <v>144</v>
      </c>
      <c r="H39" s="86" t="s">
        <v>20</v>
      </c>
      <c r="I39" s="36"/>
      <c r="J39" s="86" t="s">
        <v>15</v>
      </c>
      <c r="K39" s="40">
        <f>IF('skill data'!L159&gt;0,VLOOKUP('skill data'!L159,simulationData!$AN$51:$AO$75,2,FALSE),0)</f>
        <v>0</v>
      </c>
      <c r="L39" s="148" t="s">
        <v>145</v>
      </c>
      <c r="M39" s="149" t="s">
        <v>20</v>
      </c>
      <c r="N39" s="36"/>
      <c r="O39" s="149" t="s">
        <v>15</v>
      </c>
      <c r="P39" s="40">
        <f>IF('skill data'!Q159&gt;0,VLOOKUP('skill data'!Q159,simulationData!$AN$51:$AO$75,2,FALSE),0)</f>
        <v>0</v>
      </c>
      <c r="Q39" s="129" t="s">
        <v>146</v>
      </c>
      <c r="R39" s="34" t="s">
        <v>20</v>
      </c>
      <c r="S39" s="36"/>
      <c r="T39" s="34" t="s">
        <v>15</v>
      </c>
      <c r="U39" s="40">
        <f>IF('skill data'!V159&gt;0,VLOOKUP('skill data'!V159,simulationData!$AN$51:$AO$75,2,FALSE),0)</f>
        <v>0</v>
      </c>
      <c r="V39" s="2"/>
      <c r="W39" s="133" t="s">
        <v>148</v>
      </c>
      <c r="X39" s="86" t="s">
        <v>20</v>
      </c>
      <c r="Y39" s="105"/>
      <c r="Z39" s="86" t="s">
        <v>15</v>
      </c>
      <c r="AA39" s="40">
        <f>IF('skill data'!AB159&gt;0,VLOOKUP('skill data'!AB159,simulationData!$AN$51:$AO$60,2,FALSE),0)</f>
        <v>0</v>
      </c>
      <c r="AB39" s="133" t="s">
        <v>149</v>
      </c>
      <c r="AC39" s="86" t="s">
        <v>20</v>
      </c>
      <c r="AD39" s="105"/>
      <c r="AE39" s="86" t="s">
        <v>15</v>
      </c>
      <c r="AF39" s="40">
        <f>IF('skill data'!AG159&gt;0,VLOOKUP('skill data'!AG159,simulationData!$AN$51:$AO$60,2,FALSE),0)</f>
        <v>0</v>
      </c>
      <c r="AG39" s="151" t="s">
        <v>150</v>
      </c>
      <c r="AH39" s="86" t="s">
        <v>20</v>
      </c>
      <c r="AI39" s="105"/>
      <c r="AJ39" s="86" t="s">
        <v>15</v>
      </c>
      <c r="AK39" s="40">
        <f>IF('skill data'!AL159&gt;0,VLOOKUP('skill data'!AL159,simulationData!$AN$51:$AO$60,2,FALSE),0)</f>
        <v>0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ht="16.5" customHeight="1">
      <c r="A40" s="1"/>
      <c r="B40" s="146" t="s">
        <v>56</v>
      </c>
      <c r="C40" s="147" t="s">
        <v>142</v>
      </c>
      <c r="D40" s="1"/>
      <c r="E40" s="10"/>
      <c r="F40" s="10"/>
      <c r="G40" s="140" t="str">
        <f>IF('skill data'!K159=0,IF('skill data'!L159&gt;0,'skill desc'!Y57,"無效果"),'skill desc'!AN61)</f>
        <v>前置條件 : 戰利品
需求軍閥技能點 :  0 / 20</v>
      </c>
      <c r="H40" s="5"/>
      <c r="I40" s="5"/>
      <c r="J40" s="5"/>
      <c r="K40" s="58"/>
      <c r="L40" s="144" t="str">
        <f>IF('skill data'!P159=0,IF('skill data'!Q159&gt;0,'skill desc'!AD57,"無效果"),'skill desc'!AS61)</f>
        <v>前置條件 : 英雄神力
需求軍閥技能點 :  0 / 20</v>
      </c>
      <c r="M40" s="5"/>
      <c r="N40" s="5"/>
      <c r="O40" s="5"/>
      <c r="P40" s="58"/>
      <c r="Q40" s="140" t="str">
        <f>IF('skill data'!U159=0,IF('skill data'!V159&gt;0,'skill desc'!AI57,"無效果"),'skill desc'!AX61)</f>
        <v>前置條件 : 空中突擊
需求軍閥技能點 :  0 / 20</v>
      </c>
      <c r="R40" s="5"/>
      <c r="S40" s="5"/>
      <c r="T40" s="5"/>
      <c r="U40" s="58"/>
      <c r="V40" s="2"/>
      <c r="W40" s="141" t="str">
        <f>IF('skill data'!AA159=0,IF('skill data'!AB159&gt;0,'skill desc'!Y104,"無效果"),'skill desc'!BD61)</f>
        <v>前置條件 : 暗殺
需求流氓技能點 :  0 / 20</v>
      </c>
      <c r="X40" s="5"/>
      <c r="Y40" s="5"/>
      <c r="Z40" s="5"/>
      <c r="AA40" s="58"/>
      <c r="AB40" s="141" t="str">
        <f>IF('skill data'!AF159=0,IF('skill data'!AG159&gt;0,'skill desc'!AD104,"無效果"),'skill desc'!BI61)</f>
        <v>前置條件 : 沉默行軍
需求流氓技能點 :  0 / 20</v>
      </c>
      <c r="AC40" s="5"/>
      <c r="AD40" s="5"/>
      <c r="AE40" s="5"/>
      <c r="AF40" s="58"/>
      <c r="AG40" s="141" t="str">
        <f>IF('skill data'!AK159=0,IF('skill data'!AL159&gt;0,'skill desc'!AI104,"無效果"),'skill desc'!BN61)</f>
        <v>前置條件 : 伏擊
需求流氓技能點 :  0 / 20</v>
      </c>
      <c r="AH40" s="5"/>
      <c r="AI40" s="5"/>
      <c r="AJ40" s="5"/>
      <c r="AK40" s="58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ht="16.5" customHeight="1">
      <c r="A41" s="1"/>
      <c r="B41" s="146" t="s">
        <v>58</v>
      </c>
      <c r="C41" s="147" t="s">
        <v>142</v>
      </c>
      <c r="D41" s="1"/>
      <c r="E41" s="10"/>
      <c r="F41" s="10"/>
      <c r="G41" s="64"/>
      <c r="H41" s="26"/>
      <c r="I41" s="26"/>
      <c r="J41" s="26"/>
      <c r="K41" s="65"/>
      <c r="L41" s="26"/>
      <c r="M41" s="26"/>
      <c r="N41" s="26"/>
      <c r="O41" s="26"/>
      <c r="P41" s="65"/>
      <c r="Q41" s="64"/>
      <c r="R41" s="26"/>
      <c r="S41" s="26"/>
      <c r="T41" s="26"/>
      <c r="U41" s="65"/>
      <c r="V41" s="2"/>
      <c r="W41" s="64"/>
      <c r="X41" s="26"/>
      <c r="Y41" s="26"/>
      <c r="Z41" s="26"/>
      <c r="AA41" s="65"/>
      <c r="AB41" s="64"/>
      <c r="AC41" s="26"/>
      <c r="AD41" s="26"/>
      <c r="AE41" s="26"/>
      <c r="AF41" s="65"/>
      <c r="AG41" s="64"/>
      <c r="AH41" s="26"/>
      <c r="AI41" s="26"/>
      <c r="AJ41" s="26"/>
      <c r="AK41" s="65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ht="16.5" customHeight="1">
      <c r="A42" s="1"/>
      <c r="B42" s="146" t="s">
        <v>59</v>
      </c>
      <c r="C42" s="147" t="s">
        <v>142</v>
      </c>
      <c r="D42" s="10"/>
      <c r="E42" s="10"/>
      <c r="F42" s="10"/>
      <c r="G42" s="108" t="s">
        <v>38</v>
      </c>
      <c r="H42" s="96" t="s">
        <v>41</v>
      </c>
      <c r="I42" s="76" t="str">
        <f>IF('skill data'!L159&lt;25,ROUND((('skill data'!O54/'skill data'!O15)^(1/K42)-1)*100,2)&amp;"%","-")</f>
        <v>21.62%</v>
      </c>
      <c r="J42" s="96" t="s">
        <v>43</v>
      </c>
      <c r="K42" s="110">
        <f>IF('skill data'!L159&lt;25,VLOOKUP('skill data'!L159+1,simulationData!$AN$51:$AO$75,2,FALSE)-K39,"-")</f>
        <v>2</v>
      </c>
      <c r="L42" s="94" t="s">
        <v>38</v>
      </c>
      <c r="M42" s="96" t="s">
        <v>41</v>
      </c>
      <c r="N42" s="76" t="str">
        <f>IF('skill data'!Q159&lt;25,ROUND((('skill data'!M55/'skill data'!M16)^(1/P42)-1)*100,2)&amp;"%","-")</f>
        <v>0%</v>
      </c>
      <c r="O42" s="96" t="s">
        <v>43</v>
      </c>
      <c r="P42" s="110">
        <f>IF('skill data'!Q159&lt;25,VLOOKUP('skill data'!Q159+1,simulationData!$AN$51:$AO$75,2,FALSE)-P39,"-")</f>
        <v>2</v>
      </c>
      <c r="Q42" s="108" t="s">
        <v>38</v>
      </c>
      <c r="R42" s="96" t="s">
        <v>41</v>
      </c>
      <c r="S42" s="76" t="str">
        <f>IF('skill data'!V159&lt;25,ROUND((('skill data'!M56/'skill data'!M17)^(1/U42)-1)*100,2)&amp;"%","-")</f>
        <v>15.83%</v>
      </c>
      <c r="T42" s="96" t="s">
        <v>43</v>
      </c>
      <c r="U42" s="110">
        <f>IF('skill data'!V159&lt;25,VLOOKUP('skill data'!V159+1,simulationData!$AN$51:$AO$75,2,FALSE)-U39,"-")</f>
        <v>2</v>
      </c>
      <c r="V42" s="2"/>
      <c r="W42" s="72" t="s">
        <v>38</v>
      </c>
      <c r="X42" s="96" t="s">
        <v>41</v>
      </c>
      <c r="Y42" s="76" t="str">
        <f>IF('skill data'!AB159&lt;10,ROUND((('skill data'!O73/'skill data'!O34)^(1/AA42)-1)*100,2)&amp;"%","-")</f>
        <v>740.9%</v>
      </c>
      <c r="Z42" s="96" t="s">
        <v>43</v>
      </c>
      <c r="AA42" s="110">
        <f>IF('skill data'!AB159&lt;10,VLOOKUP('skill data'!AB159+1,simulationData!$AN$51:$AO$75,2,FALSE)-AA39,"-")</f>
        <v>2</v>
      </c>
      <c r="AB42" s="72" t="s">
        <v>38</v>
      </c>
      <c r="AC42" s="96" t="s">
        <v>41</v>
      </c>
      <c r="AD42" s="76" t="str">
        <f>IF('skill data'!AG159&lt;10,ROUND((('skill data'!O74/'skill data'!O35)^(1/AF42)-1)*100,2)&amp;"%","-")</f>
        <v>0%</v>
      </c>
      <c r="AE42" s="96" t="s">
        <v>43</v>
      </c>
      <c r="AF42" s="110">
        <f>IF('skill data'!AG159&lt;10,VLOOKUP('skill data'!AG159+1,simulationData!$AN$51:$AO$75,2,FALSE)-AF39,"-")</f>
        <v>2</v>
      </c>
      <c r="AG42" s="72" t="s">
        <v>38</v>
      </c>
      <c r="AH42" s="96" t="s">
        <v>41</v>
      </c>
      <c r="AI42" s="76" t="str">
        <f>IF('skill data'!AL159&lt;10,ROUND((('skill data'!O75/'skill data'!O36)^(1/AK42)-1)*100,2)&amp;"%","-")</f>
        <v>0%</v>
      </c>
      <c r="AJ42" s="96" t="s">
        <v>43</v>
      </c>
      <c r="AK42" s="110">
        <f>IF('skill data'!AL159&lt;10,VLOOKUP('skill data'!AL159+1,simulationData!$AN$51:$AO$75,2,FALSE)-AK39,"-")</f>
        <v>2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ht="16.5" customHeight="1">
      <c r="A43" s="1"/>
      <c r="B43" s="146" t="s">
        <v>81</v>
      </c>
      <c r="C43" s="147" t="s">
        <v>142</v>
      </c>
      <c r="D43" s="10"/>
      <c r="E43" s="10"/>
      <c r="F43" s="10"/>
      <c r="G43" s="140" t="str">
        <f>IF('skill data'!L159&lt;25,'skill desc'!Y60,"最高等級")</f>
        <v>增加 0.25% 倍率型英雄技能效果
增加 2% 相加型英雄技能效果</v>
      </c>
      <c r="H43" s="5"/>
      <c r="I43" s="5"/>
      <c r="J43" s="5"/>
      <c r="K43" s="58"/>
      <c r="L43" s="140" t="str">
        <f>IF('skill data'!Q159&lt;25,'skill desc'!AD60,"最高等級")</f>
        <v>受激勵英雄每次攻擊增加 0.75% 泰坦受到傷害
戰嚎持續時間增加 1 秒</v>
      </c>
      <c r="M43" s="5"/>
      <c r="N43" s="5"/>
      <c r="O43" s="5"/>
      <c r="P43" s="58"/>
      <c r="Q43" s="140" t="str">
        <f>IF('skill data'!V159&lt;25,'skill desc'!AI60,"最高等級")</f>
        <v>召喚公會夥伴時增加 1.8 倍所有英雄傷害
召喚夥伴冷卻時間 -0 秒</v>
      </c>
      <c r="R43" s="5"/>
      <c r="S43" s="5"/>
      <c r="T43" s="5"/>
      <c r="U43" s="58"/>
      <c r="V43" s="2"/>
      <c r="W43" s="141" t="str">
        <f>IF('skill data'!AB159&lt;10,'skill desc'!Y107,"最高等級")</f>
        <v>離線時增加 1% 寵物傷害
增加 1 倍寵物致命打擊傷害</v>
      </c>
      <c r="X43" s="5"/>
      <c r="Y43" s="5"/>
      <c r="Z43" s="5"/>
      <c r="AA43" s="58"/>
      <c r="AB43" s="141" t="str">
        <f>IF('skill data'!AG159&lt;10,'skill desc'!AD107,"最高等級")</f>
        <v>離線時增加 1% 公會飛船傷害
增加 1 倍公會致命打擊傷害</v>
      </c>
      <c r="AC43" s="5"/>
      <c r="AD43" s="5"/>
      <c r="AE43" s="5"/>
      <c r="AF43" s="58"/>
      <c r="AG43" s="141" t="str">
        <f>IF('skill data'!AL159&lt;10,'skill desc'!AI107,"最高等級")</f>
        <v>離線時增加 1% 影分身傷害
增加 1 倍影分身致命打擊傷害</v>
      </c>
      <c r="AH43" s="5"/>
      <c r="AI43" s="5"/>
      <c r="AJ43" s="5"/>
      <c r="AK43" s="58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ht="16.5" customHeight="1">
      <c r="A44" s="1"/>
      <c r="B44" s="146" t="s">
        <v>82</v>
      </c>
      <c r="C44" s="147" t="s">
        <v>142</v>
      </c>
      <c r="D44" s="10"/>
      <c r="E44" s="10"/>
      <c r="F44" s="10"/>
      <c r="G44" s="49"/>
      <c r="H44" s="50"/>
      <c r="I44" s="50"/>
      <c r="J44" s="50"/>
      <c r="K44" s="52"/>
      <c r="L44" s="49"/>
      <c r="M44" s="50"/>
      <c r="N44" s="50"/>
      <c r="O44" s="50"/>
      <c r="P44" s="52"/>
      <c r="Q44" s="49"/>
      <c r="R44" s="50"/>
      <c r="S44" s="50"/>
      <c r="T44" s="50"/>
      <c r="U44" s="52"/>
      <c r="V44" s="2"/>
      <c r="W44" s="49"/>
      <c r="X44" s="50"/>
      <c r="Y44" s="50"/>
      <c r="Z44" s="50"/>
      <c r="AA44" s="52"/>
      <c r="AB44" s="49"/>
      <c r="AC44" s="50"/>
      <c r="AD44" s="50"/>
      <c r="AE44" s="50"/>
      <c r="AF44" s="52"/>
      <c r="AG44" s="49"/>
      <c r="AH44" s="50"/>
      <c r="AI44" s="50"/>
      <c r="AJ44" s="50"/>
      <c r="AK44" s="52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ht="16.5" customHeight="1">
      <c r="A45" s="1"/>
      <c r="B45" s="146" t="s">
        <v>83</v>
      </c>
      <c r="C45" s="147" t="s">
        <v>142</v>
      </c>
      <c r="D45" s="10"/>
      <c r="E45" s="10"/>
      <c r="F45" s="10"/>
      <c r="G45" s="129" t="s">
        <v>151</v>
      </c>
      <c r="H45" s="86" t="s">
        <v>20</v>
      </c>
      <c r="I45" s="119"/>
      <c r="J45" s="86" t="s">
        <v>15</v>
      </c>
      <c r="K45" s="40">
        <f>IF('skill data'!L165&gt;0,VLOOKUP('skill data'!L165,simulationData!$AN$76:$AO$90,2,FALSE),0)</f>
        <v>0</v>
      </c>
      <c r="L45" s="8"/>
      <c r="M45" s="8"/>
      <c r="N45" s="8"/>
      <c r="O45" s="8"/>
      <c r="P45" s="8"/>
      <c r="Q45" s="129" t="s">
        <v>152</v>
      </c>
      <c r="R45" s="153" t="s">
        <v>20</v>
      </c>
      <c r="S45" s="119"/>
      <c r="T45" s="86" t="s">
        <v>15</v>
      </c>
      <c r="U45" s="40">
        <f>IF('skill data'!V165&gt;0,VLOOKUP('skill data'!V165,simulationData!$AN$76:$AO$90,2,FALSE),0)</f>
        <v>0</v>
      </c>
      <c r="V45" s="2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ht="16.5" customHeight="1">
      <c r="A46" s="1"/>
      <c r="B46" s="146" t="s">
        <v>106</v>
      </c>
      <c r="C46" s="147" t="s">
        <v>142</v>
      </c>
      <c r="D46" s="10"/>
      <c r="E46" s="10"/>
      <c r="F46" s="10"/>
      <c r="G46" s="140" t="str">
        <f>IF('skill data'!K165=0,IF('skill data'!L165&gt;0,'skill desc'!Y63,"無效果"),'skill desc'!AN67)</f>
        <v>前置條件 : 洞察戰術
需求軍閥技能點 :  0 / 50</v>
      </c>
      <c r="H46" s="5"/>
      <c r="I46" s="5"/>
      <c r="J46" s="5"/>
      <c r="K46" s="58"/>
      <c r="L46" s="8"/>
      <c r="M46" s="8"/>
      <c r="N46" s="8"/>
      <c r="O46" s="8"/>
      <c r="P46" s="8"/>
      <c r="Q46" s="140" t="str">
        <f>IF('skill data'!U165=0,IF('skill data'!V165&gt;0,'skill desc'!AI63,"無效果"),'skill desc'!AX67)</f>
        <v>前置條件 : 聯合進擊
需求軍閥技能點 :  0 / 50</v>
      </c>
      <c r="R46" s="5"/>
      <c r="S46" s="5"/>
      <c r="T46" s="5"/>
      <c r="U46" s="58"/>
      <c r="V46" s="2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ht="16.5" customHeight="1">
      <c r="A47" s="1"/>
      <c r="B47" s="146" t="s">
        <v>107</v>
      </c>
      <c r="C47" s="147" t="s">
        <v>142</v>
      </c>
      <c r="D47" s="10"/>
      <c r="E47" s="10"/>
      <c r="F47" s="10"/>
      <c r="G47" s="64"/>
      <c r="H47" s="26"/>
      <c r="I47" s="26"/>
      <c r="J47" s="26"/>
      <c r="K47" s="65"/>
      <c r="L47" s="8"/>
      <c r="M47" s="8"/>
      <c r="N47" s="8"/>
      <c r="O47" s="8"/>
      <c r="P47" s="8"/>
      <c r="Q47" s="64"/>
      <c r="R47" s="26"/>
      <c r="S47" s="26"/>
      <c r="T47" s="26"/>
      <c r="U47" s="65"/>
      <c r="V47" s="2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ht="16.5" customHeight="1">
      <c r="A48" s="1"/>
      <c r="B48" s="25" t="s">
        <v>127</v>
      </c>
      <c r="C48" s="147" t="s">
        <v>142</v>
      </c>
      <c r="D48" s="1"/>
      <c r="E48" s="10"/>
      <c r="F48" s="10"/>
      <c r="G48" s="108" t="s">
        <v>38</v>
      </c>
      <c r="H48" s="96" t="s">
        <v>41</v>
      </c>
      <c r="I48" s="76" t="str">
        <f>IF('skill data'!L165&lt;15,ROUND((('skill data'!M57/'skill data'!M18)^(1/K48)-1)*100,2)&amp;"%","-")</f>
        <v>17.22%</v>
      </c>
      <c r="J48" s="96" t="s">
        <v>43</v>
      </c>
      <c r="K48" s="110">
        <f>IF('skill data'!L165&lt;15,VLOOKUP('skill data'!L165+1,simulationData!$AN$76:$AO$90,2,FALSE)-K45,"-")</f>
        <v>3</v>
      </c>
      <c r="L48" s="8"/>
      <c r="M48" s="8"/>
      <c r="N48" s="8"/>
      <c r="O48" s="8"/>
      <c r="P48" s="8"/>
      <c r="Q48" s="108" t="s">
        <v>38</v>
      </c>
      <c r="R48" s="96" t="s">
        <v>41</v>
      </c>
      <c r="S48" s="76" t="str">
        <f>IF('skill data'!V165&lt;15,ROUND((('skill data'!M58/'skill data'!M19)^(1/U48)-1)*100,2)&amp;"%","-")</f>
        <v>51.83%</v>
      </c>
      <c r="T48" s="96" t="s">
        <v>43</v>
      </c>
      <c r="U48" s="110">
        <f>IF('skill data'!V165&lt;15,VLOOKUP('skill data'!V165+1,simulationData!$AN$76:$AO$90,2,FALSE)-U45,"-")</f>
        <v>3</v>
      </c>
      <c r="V48" s="2"/>
      <c r="W48" s="10"/>
      <c r="X48" s="10"/>
      <c r="Y48" s="10"/>
      <c r="Z48" s="2"/>
      <c r="AA48" s="2"/>
      <c r="AB48" s="2"/>
      <c r="AC48" s="2"/>
      <c r="AD48" s="2"/>
      <c r="AE48" s="10"/>
      <c r="AF48" s="10"/>
      <c r="AG48" s="10"/>
      <c r="AH48" s="10"/>
      <c r="AI48" s="10"/>
      <c r="AJ48" s="10"/>
      <c r="AK48" s="10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ht="16.5" customHeight="1">
      <c r="A49" s="1"/>
      <c r="B49" s="25" t="s">
        <v>133</v>
      </c>
      <c r="C49" s="147" t="s">
        <v>142</v>
      </c>
      <c r="D49" s="1"/>
      <c r="E49" s="10"/>
      <c r="F49" s="10"/>
      <c r="G49" s="140" t="str">
        <f>IF('skill data'!L165&lt;15,'skill desc'!Y66,"最高等級")</f>
        <v>每次點擊晶球增加 1.21 倍所有英雄傷害(共5次)</v>
      </c>
      <c r="H49" s="5"/>
      <c r="I49" s="5"/>
      <c r="J49" s="5"/>
      <c r="K49" s="58"/>
      <c r="L49" s="8"/>
      <c r="M49" s="8"/>
      <c r="N49" s="8"/>
      <c r="O49" s="8"/>
      <c r="P49" s="8"/>
      <c r="Q49" s="140" t="str">
        <f>IF('skill data'!V165&lt;15,'skill desc'!AI66,"最高等級")</f>
        <v>怪物麻痺時增加 3.5 倍受到傷害
麻痺持續時間 0.8 秒</v>
      </c>
      <c r="R49" s="5"/>
      <c r="S49" s="5"/>
      <c r="T49" s="5"/>
      <c r="U49" s="58"/>
      <c r="V49" s="2"/>
      <c r="W49" s="10"/>
      <c r="X49" s="10"/>
      <c r="Y49" s="10"/>
      <c r="Z49" s="2"/>
      <c r="AA49" s="2"/>
      <c r="AB49" s="2"/>
      <c r="AC49" s="2"/>
      <c r="AD49" s="2"/>
      <c r="AE49" s="10"/>
      <c r="AF49" s="10"/>
      <c r="AG49" s="10"/>
      <c r="AH49" s="10"/>
      <c r="AI49" s="10"/>
      <c r="AJ49" s="10"/>
      <c r="AK49" s="10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ht="16.5" customHeight="1">
      <c r="A50" s="1"/>
      <c r="B50" s="25" t="s">
        <v>134</v>
      </c>
      <c r="C50" s="147" t="s">
        <v>142</v>
      </c>
      <c r="D50" s="1"/>
      <c r="E50" s="10"/>
      <c r="F50" s="10"/>
      <c r="G50" s="49"/>
      <c r="H50" s="50"/>
      <c r="I50" s="50"/>
      <c r="J50" s="50"/>
      <c r="K50" s="52"/>
      <c r="L50" s="8"/>
      <c r="M50" s="8"/>
      <c r="N50" s="8"/>
      <c r="O50" s="8"/>
      <c r="P50" s="8"/>
      <c r="Q50" s="49"/>
      <c r="R50" s="50"/>
      <c r="S50" s="50"/>
      <c r="T50" s="50"/>
      <c r="U50" s="52"/>
      <c r="V50" s="2"/>
      <c r="W50" s="10"/>
      <c r="X50" s="10"/>
      <c r="Y50" s="10"/>
      <c r="Z50" s="2"/>
      <c r="AA50" s="2"/>
      <c r="AB50" s="2"/>
      <c r="AC50" s="2"/>
      <c r="AD50" s="2"/>
      <c r="AE50" s="10"/>
      <c r="AF50" s="10"/>
      <c r="AG50" s="10"/>
      <c r="AH50" s="10"/>
      <c r="AI50" s="10"/>
      <c r="AJ50" s="10"/>
      <c r="AK50" s="10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ht="16.5" customHeight="1">
      <c r="A51" s="1"/>
      <c r="B51" s="25" t="s">
        <v>135</v>
      </c>
      <c r="C51" s="147" t="s">
        <v>142</v>
      </c>
      <c r="D51" s="1"/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2"/>
      <c r="P51" s="10"/>
      <c r="Q51" s="10"/>
      <c r="R51" s="10"/>
      <c r="S51" s="10"/>
      <c r="T51" s="10"/>
      <c r="U51" s="10"/>
      <c r="V51" s="2"/>
      <c r="W51" s="10"/>
      <c r="X51" s="10"/>
      <c r="Y51" s="10"/>
      <c r="Z51" s="2"/>
      <c r="AA51" s="16"/>
      <c r="AB51" s="2"/>
      <c r="AC51" s="2"/>
      <c r="AD51" s="2"/>
      <c r="AE51" s="10"/>
      <c r="AF51" s="10"/>
      <c r="AG51" s="10"/>
      <c r="AH51" s="10"/>
      <c r="AI51" s="10"/>
      <c r="AJ51" s="10"/>
      <c r="AK51" s="10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ht="16.5" customHeight="1">
      <c r="A52" s="1"/>
      <c r="B52" s="25" t="s">
        <v>144</v>
      </c>
      <c r="C52" s="147" t="s">
        <v>142</v>
      </c>
      <c r="D52" s="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10"/>
      <c r="AF52" s="10"/>
      <c r="AG52" s="10"/>
      <c r="AH52" s="10"/>
      <c r="AI52" s="10"/>
      <c r="AJ52" s="10"/>
      <c r="AK52" s="10"/>
      <c r="AL52" s="1"/>
      <c r="AM52" s="4"/>
      <c r="AN52" s="4"/>
      <c r="AO52" s="1"/>
      <c r="AP52" s="1"/>
      <c r="AQ52" s="1"/>
      <c r="AR52" s="1"/>
      <c r="AS52" s="1"/>
      <c r="AT52" s="1"/>
      <c r="AU52" s="1"/>
    </row>
    <row r="53" ht="16.5" customHeight="1">
      <c r="A53" s="1"/>
      <c r="B53" s="17" t="s">
        <v>145</v>
      </c>
      <c r="C53" s="147" t="s">
        <v>142</v>
      </c>
      <c r="D53" s="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10"/>
      <c r="AF53" s="10"/>
      <c r="AG53" s="10"/>
      <c r="AH53" s="10"/>
      <c r="AI53" s="10"/>
      <c r="AJ53" s="10"/>
      <c r="AK53" s="10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ht="16.5" customHeight="1">
      <c r="A54" s="1"/>
      <c r="B54" s="25" t="s">
        <v>146</v>
      </c>
      <c r="C54" s="147" t="s">
        <v>142</v>
      </c>
      <c r="D54" s="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"/>
      <c r="Z54" s="2"/>
      <c r="AA54" s="2"/>
      <c r="AB54" s="2"/>
      <c r="AC54" s="10"/>
      <c r="AD54" s="10"/>
      <c r="AE54" s="10"/>
      <c r="AF54" s="10"/>
      <c r="AG54" s="10"/>
      <c r="AH54" s="10"/>
      <c r="AI54" s="10"/>
      <c r="AJ54" s="10"/>
      <c r="AK54" s="10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ht="16.5" customHeight="1">
      <c r="A55" s="1"/>
      <c r="B55" s="25" t="s">
        <v>151</v>
      </c>
      <c r="C55" s="147" t="s">
        <v>142</v>
      </c>
      <c r="D55" s="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"/>
      <c r="Z55" s="2"/>
      <c r="AA55" s="2"/>
      <c r="AB55" s="2"/>
      <c r="AC55" s="10"/>
      <c r="AD55" s="10"/>
      <c r="AE55" s="10"/>
      <c r="AF55" s="10"/>
      <c r="AG55" s="10"/>
      <c r="AH55" s="10"/>
      <c r="AI55" s="10"/>
      <c r="AJ55" s="10"/>
      <c r="AK55" s="10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ht="16.5" customHeight="1">
      <c r="A56" s="1"/>
      <c r="B56" s="154" t="s">
        <v>152</v>
      </c>
      <c r="C56" s="147" t="s">
        <v>142</v>
      </c>
      <c r="D56" s="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"/>
      <c r="Z56" s="2"/>
      <c r="AA56" s="2"/>
      <c r="AB56" s="2"/>
      <c r="AC56" s="10"/>
      <c r="AD56" s="10"/>
      <c r="AE56" s="10"/>
      <c r="AF56" s="10"/>
      <c r="AG56" s="10"/>
      <c r="AH56" s="10"/>
      <c r="AI56" s="10"/>
      <c r="AJ56" s="10"/>
      <c r="AK56" s="10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ht="16.5" customHeight="1">
      <c r="A57" s="1"/>
      <c r="B57" s="61" t="s">
        <v>25</v>
      </c>
      <c r="C57" s="147" t="s">
        <v>142</v>
      </c>
      <c r="D57" s="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"/>
      <c r="Z57" s="2"/>
      <c r="AA57" s="2"/>
      <c r="AB57" s="2"/>
      <c r="AC57" s="10"/>
      <c r="AD57" s="10"/>
      <c r="AE57" s="10"/>
      <c r="AF57" s="10"/>
      <c r="AG57" s="10"/>
      <c r="AH57" s="10"/>
      <c r="AI57" s="10"/>
      <c r="AJ57" s="10"/>
      <c r="AK57" s="10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ht="16.5" customHeight="1">
      <c r="A58" s="1"/>
      <c r="B58" s="61" t="s">
        <v>62</v>
      </c>
      <c r="C58" s="147" t="s">
        <v>142</v>
      </c>
      <c r="D58" s="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"/>
      <c r="Z58" s="2"/>
      <c r="AA58" s="2"/>
      <c r="AB58" s="2"/>
      <c r="AC58" s="10"/>
      <c r="AD58" s="10"/>
      <c r="AE58" s="10"/>
      <c r="AF58" s="10"/>
      <c r="AG58" s="10"/>
      <c r="AH58" s="10"/>
      <c r="AI58" s="10"/>
      <c r="AJ58" s="10"/>
      <c r="AK58" s="10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ht="16.5" customHeight="1">
      <c r="A59" s="1"/>
      <c r="B59" s="61" t="s">
        <v>63</v>
      </c>
      <c r="C59" s="147" t="s">
        <v>142</v>
      </c>
      <c r="D59" s="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"/>
      <c r="Z59" s="2"/>
      <c r="AA59" s="2"/>
      <c r="AB59" s="2"/>
      <c r="AC59" s="10"/>
      <c r="AD59" s="10"/>
      <c r="AE59" s="10"/>
      <c r="AF59" s="10"/>
      <c r="AG59" s="10"/>
      <c r="AH59" s="10"/>
      <c r="AI59" s="10"/>
      <c r="AJ59" s="10"/>
      <c r="AK59" s="10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ht="16.5" customHeight="1">
      <c r="A60" s="1"/>
      <c r="B60" s="155" t="s">
        <v>66</v>
      </c>
      <c r="C60" s="147" t="s">
        <v>142</v>
      </c>
      <c r="D60" s="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"/>
      <c r="Z60" s="2"/>
      <c r="AA60" s="2"/>
      <c r="AB60" s="2"/>
      <c r="AC60" s="10"/>
      <c r="AD60" s="10"/>
      <c r="AE60" s="10"/>
      <c r="AF60" s="10"/>
      <c r="AG60" s="10"/>
      <c r="AH60" s="10"/>
      <c r="AI60" s="10"/>
      <c r="AJ60" s="10"/>
      <c r="AK60" s="10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ht="16.5" customHeight="1">
      <c r="A61" s="1"/>
      <c r="B61" s="155" t="s">
        <v>84</v>
      </c>
      <c r="C61" s="147" t="s">
        <v>142</v>
      </c>
      <c r="D61" s="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ht="16.5" customHeight="1">
      <c r="A62" s="1"/>
      <c r="B62" s="155" t="s">
        <v>39</v>
      </c>
      <c r="C62" s="147" t="s">
        <v>142</v>
      </c>
      <c r="D62" s="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ht="16.5" customHeight="1">
      <c r="A63" s="1"/>
      <c r="B63" s="155" t="s">
        <v>85</v>
      </c>
      <c r="C63" s="147" t="s">
        <v>142</v>
      </c>
      <c r="D63" s="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ht="16.5" customHeight="1">
      <c r="A64" s="1"/>
      <c r="B64" s="155" t="s">
        <v>108</v>
      </c>
      <c r="C64" s="147" t="s">
        <v>142</v>
      </c>
      <c r="D64" s="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ht="16.5" customHeight="1">
      <c r="A65" s="1"/>
      <c r="B65" s="155" t="s">
        <v>87</v>
      </c>
      <c r="C65" s="147" t="s">
        <v>142</v>
      </c>
      <c r="D65" s="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ht="16.5" customHeight="1">
      <c r="A66" s="1"/>
      <c r="B66" s="155" t="s">
        <v>109</v>
      </c>
      <c r="C66" s="147" t="s">
        <v>142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ht="16.5" customHeight="1">
      <c r="A67" s="1"/>
      <c r="B67" s="27" t="s">
        <v>129</v>
      </c>
      <c r="C67" s="147" t="s">
        <v>142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ht="16.5" customHeight="1">
      <c r="A68" s="1"/>
      <c r="B68" s="27" t="s">
        <v>136</v>
      </c>
      <c r="C68" s="147" t="s">
        <v>142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ht="16.5" customHeight="1">
      <c r="A69" s="1"/>
      <c r="B69" s="27" t="s">
        <v>137</v>
      </c>
      <c r="C69" s="147" t="s">
        <v>142</v>
      </c>
      <c r="D69" s="4"/>
      <c r="E69" s="4"/>
      <c r="F69" s="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ht="16.5" customHeight="1">
      <c r="A70" s="1"/>
      <c r="B70" s="27" t="s">
        <v>138</v>
      </c>
      <c r="C70" s="147" t="s">
        <v>142</v>
      </c>
      <c r="D70" s="1"/>
      <c r="E70" s="1"/>
      <c r="F70" s="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ht="16.5" customHeight="1">
      <c r="A71" s="1"/>
      <c r="B71" s="27" t="s">
        <v>148</v>
      </c>
      <c r="C71" s="147" t="s">
        <v>142</v>
      </c>
      <c r="D71" s="1"/>
      <c r="E71" s="1"/>
      <c r="F71" s="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ht="16.5" customHeight="1">
      <c r="A72" s="1"/>
      <c r="B72" s="27" t="s">
        <v>149</v>
      </c>
      <c r="C72" s="147" t="s">
        <v>142</v>
      </c>
      <c r="D72" s="1"/>
      <c r="E72" s="1"/>
      <c r="F72" s="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ht="16.5" customHeight="1">
      <c r="A73" s="1"/>
      <c r="B73" s="156" t="s">
        <v>150</v>
      </c>
      <c r="C73" s="147" t="s">
        <v>142</v>
      </c>
      <c r="D73" s="1"/>
      <c r="E73" s="1"/>
      <c r="F73" s="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ht="16.5" customHeight="1">
      <c r="A74" s="1"/>
      <c r="B74" s="1"/>
      <c r="C74" s="1"/>
      <c r="D74" s="1"/>
      <c r="E74" s="1"/>
      <c r="F74" s="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ht="16.5" customHeight="1">
      <c r="A75" s="1"/>
      <c r="B75" s="1"/>
      <c r="C75" s="1"/>
      <c r="D75" s="1"/>
      <c r="E75" s="1"/>
      <c r="F75" s="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ht="16.5" customHeight="1">
      <c r="A76" s="1"/>
      <c r="B76" s="1"/>
      <c r="C76" s="1"/>
      <c r="D76" s="1"/>
      <c r="E76" s="1"/>
      <c r="F76" s="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ht="16.5" customHeight="1">
      <c r="A77" s="1"/>
      <c r="B77" s="1"/>
      <c r="C77" s="1"/>
      <c r="D77" s="1"/>
      <c r="E77" s="1"/>
      <c r="F77" s="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ht="16.5" customHeight="1">
      <c r="A78" s="1"/>
      <c r="B78" s="1"/>
      <c r="C78" s="1"/>
      <c r="D78" s="1"/>
      <c r="E78" s="1"/>
      <c r="F78" s="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ht="16.5" customHeight="1">
      <c r="A79" s="1"/>
      <c r="B79" s="1"/>
      <c r="C79" s="1"/>
      <c r="D79" s="1"/>
      <c r="E79" s="1"/>
      <c r="F79" s="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ht="16.5" customHeight="1">
      <c r="A80" s="1"/>
      <c r="B80" s="1"/>
      <c r="C80" s="1"/>
      <c r="D80" s="1"/>
      <c r="E80" s="1"/>
      <c r="F80" s="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ht="16.5" customHeight="1">
      <c r="A81" s="1"/>
      <c r="B81" s="1"/>
      <c r="C81" s="1"/>
      <c r="D81" s="1"/>
      <c r="E81" s="1"/>
      <c r="F81" s="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ht="16.5" customHeight="1">
      <c r="A82" s="1"/>
      <c r="B82" s="1"/>
      <c r="C82" s="1"/>
      <c r="D82" s="1"/>
      <c r="E82" s="1"/>
      <c r="F82" s="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ht="16.5" customHeight="1">
      <c r="A83" s="1"/>
      <c r="B83" s="1"/>
      <c r="C83" s="1"/>
      <c r="D83" s="1"/>
      <c r="E83" s="1"/>
      <c r="F83" s="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ht="16.5" customHeight="1">
      <c r="A84" s="1"/>
      <c r="B84" s="1"/>
      <c r="C84" s="1"/>
      <c r="D84" s="1"/>
      <c r="E84" s="1"/>
      <c r="F84" s="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ht="16.5" customHeight="1">
      <c r="A85" s="1"/>
      <c r="B85" s="1"/>
      <c r="C85" s="1"/>
      <c r="D85" s="1"/>
      <c r="E85" s="1"/>
      <c r="F85" s="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ht="16.5" customHeight="1">
      <c r="A86" s="1"/>
      <c r="B86" s="1"/>
      <c r="C86" s="1"/>
      <c r="D86" s="1"/>
      <c r="E86" s="1"/>
      <c r="F86" s="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ht="16.5" customHeight="1">
      <c r="A87" s="1"/>
      <c r="B87" s="1"/>
      <c r="C87" s="1"/>
      <c r="D87" s="1"/>
      <c r="E87" s="1"/>
      <c r="F87" s="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ht="16.5" customHeight="1">
      <c r="A88" s="1"/>
      <c r="B88" s="1"/>
      <c r="C88" s="1"/>
      <c r="D88" s="1"/>
      <c r="E88" s="1"/>
      <c r="F88" s="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ht="16.5" customHeight="1">
      <c r="A89" s="1"/>
      <c r="B89" s="1"/>
      <c r="C89" s="1"/>
      <c r="D89" s="1"/>
      <c r="E89" s="1"/>
      <c r="F89" s="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ht="16.5" customHeight="1">
      <c r="A90" s="1"/>
      <c r="B90" s="1"/>
      <c r="C90" s="1"/>
      <c r="D90" s="1"/>
      <c r="E90" s="1"/>
      <c r="F90" s="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ht="16.5" customHeight="1">
      <c r="A91" s="1"/>
      <c r="B91" s="1"/>
      <c r="C91" s="1"/>
      <c r="D91" s="1"/>
      <c r="E91" s="1"/>
      <c r="F91" s="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ht="16.5" customHeight="1">
      <c r="A92" s="1"/>
      <c r="B92" s="1"/>
      <c r="C92" s="1"/>
      <c r="D92" s="1"/>
      <c r="E92" s="1"/>
      <c r="F92" s="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ht="16.5" customHeight="1">
      <c r="A93" s="1"/>
      <c r="B93" s="1"/>
      <c r="C93" s="1"/>
      <c r="D93" s="1"/>
      <c r="E93" s="1"/>
      <c r="F93" s="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ht="16.5" customHeight="1">
      <c r="A94" s="1"/>
      <c r="B94" s="1"/>
      <c r="C94" s="1"/>
      <c r="D94" s="1"/>
      <c r="E94" s="1"/>
      <c r="F94" s="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ht="16.5" customHeight="1">
      <c r="A95" s="1"/>
      <c r="B95" s="1"/>
      <c r="C95" s="1"/>
      <c r="D95" s="1"/>
      <c r="E95" s="1"/>
      <c r="F95" s="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ht="16.5" customHeight="1">
      <c r="A96" s="1"/>
      <c r="B96" s="1"/>
      <c r="C96" s="1"/>
      <c r="D96" s="1"/>
      <c r="E96" s="1"/>
      <c r="F96" s="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ht="16.5" customHeight="1">
      <c r="A97" s="1"/>
      <c r="B97" s="1"/>
      <c r="C97" s="1"/>
      <c r="D97" s="1"/>
      <c r="E97" s="1"/>
      <c r="F97" s="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ht="16.5" customHeight="1">
      <c r="A98" s="1"/>
      <c r="B98" s="1"/>
      <c r="C98" s="1"/>
      <c r="D98" s="1"/>
      <c r="E98" s="1"/>
      <c r="F98" s="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ht="16.5" customHeight="1">
      <c r="A99" s="1"/>
      <c r="B99" s="1"/>
      <c r="C99" s="1"/>
      <c r="D99" s="1"/>
      <c r="E99" s="1"/>
      <c r="F99" s="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ht="16.5" customHeight="1">
      <c r="A100" s="1"/>
      <c r="B100" s="1"/>
      <c r="C100" s="1"/>
      <c r="D100" s="1"/>
      <c r="E100" s="1"/>
      <c r="F100" s="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ht="16.5" customHeight="1">
      <c r="A101" s="1"/>
      <c r="B101" s="1"/>
      <c r="C101" s="1"/>
      <c r="D101" s="1"/>
      <c r="E101" s="1"/>
      <c r="F101" s="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ht="16.5" customHeight="1">
      <c r="A102" s="1"/>
      <c r="B102" s="1"/>
      <c r="C102" s="1"/>
      <c r="D102" s="1"/>
      <c r="E102" s="1"/>
      <c r="F102" s="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ht="16.5" customHeight="1">
      <c r="A103" s="1"/>
      <c r="B103" s="1"/>
      <c r="C103" s="1"/>
      <c r="D103" s="1"/>
      <c r="E103" s="1"/>
      <c r="F103" s="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ht="16.5" customHeight="1">
      <c r="A104" s="1"/>
      <c r="B104" s="1"/>
      <c r="C104" s="1"/>
      <c r="D104" s="1"/>
      <c r="E104" s="1"/>
      <c r="F104" s="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ht="16.5" customHeight="1">
      <c r="A105" s="1"/>
      <c r="B105" s="1"/>
      <c r="C105" s="1"/>
      <c r="D105" s="1"/>
      <c r="E105" s="1"/>
      <c r="F105" s="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ht="16.5" customHeight="1">
      <c r="A106" s="1"/>
      <c r="B106" s="1"/>
      <c r="C106" s="1"/>
      <c r="D106" s="1"/>
      <c r="E106" s="1"/>
      <c r="F106" s="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ht="16.5" customHeight="1">
      <c r="A107" s="1"/>
      <c r="B107" s="1"/>
      <c r="C107" s="1"/>
      <c r="D107" s="1"/>
      <c r="E107" s="1"/>
      <c r="F107" s="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ht="16.5" customHeight="1">
      <c r="A108" s="1"/>
      <c r="B108" s="1"/>
      <c r="C108" s="1"/>
      <c r="D108" s="1"/>
      <c r="E108" s="1"/>
      <c r="F108" s="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ht="16.5" customHeight="1">
      <c r="A109" s="1"/>
      <c r="B109" s="1"/>
      <c r="C109" s="1"/>
      <c r="D109" s="1"/>
      <c r="E109" s="1"/>
      <c r="F109" s="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ht="16.5" customHeight="1">
      <c r="A110" s="1"/>
      <c r="B110" s="1"/>
      <c r="C110" s="1"/>
      <c r="D110" s="1"/>
      <c r="E110" s="1"/>
      <c r="F110" s="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ht="16.5" customHeight="1">
      <c r="A111" s="1"/>
      <c r="B111" s="1"/>
      <c r="C111" s="1"/>
      <c r="D111" s="1"/>
      <c r="E111" s="1"/>
      <c r="F111" s="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ht="16.5" customHeight="1">
      <c r="A112" s="1"/>
      <c r="B112" s="1"/>
      <c r="C112" s="1"/>
      <c r="D112" s="1"/>
      <c r="E112" s="1"/>
      <c r="F112" s="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ht="16.5" customHeight="1">
      <c r="A113" s="1"/>
      <c r="B113" s="1"/>
      <c r="C113" s="1"/>
      <c r="D113" s="1"/>
      <c r="E113" s="1"/>
      <c r="F113" s="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ht="16.5" customHeight="1">
      <c r="A114" s="1"/>
      <c r="B114" s="1"/>
      <c r="C114" s="1"/>
      <c r="D114" s="1"/>
      <c r="E114" s="1"/>
      <c r="F114" s="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ht="16.5" customHeight="1">
      <c r="A115" s="1"/>
      <c r="B115" s="1"/>
      <c r="C115" s="1"/>
      <c r="D115" s="1"/>
      <c r="E115" s="1"/>
      <c r="F115" s="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ht="16.5" customHeight="1">
      <c r="A116" s="1"/>
      <c r="B116" s="1"/>
      <c r="C116" s="1"/>
      <c r="D116" s="1"/>
      <c r="E116" s="1"/>
      <c r="F116" s="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ht="16.5" customHeight="1">
      <c r="A117" s="1"/>
      <c r="B117" s="1"/>
      <c r="C117" s="1"/>
      <c r="D117" s="1"/>
      <c r="E117" s="1"/>
      <c r="F117" s="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ht="16.5" customHeight="1">
      <c r="A118" s="1"/>
      <c r="B118" s="1"/>
      <c r="C118" s="1"/>
      <c r="D118" s="1"/>
      <c r="E118" s="1"/>
      <c r="F118" s="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ht="16.5" customHeight="1">
      <c r="A119" s="1"/>
      <c r="B119" s="1"/>
      <c r="C119" s="1"/>
      <c r="D119" s="1"/>
      <c r="E119" s="1"/>
      <c r="F119" s="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ht="16.5" customHeight="1">
      <c r="A120" s="1"/>
      <c r="B120" s="1"/>
      <c r="C120" s="1"/>
      <c r="D120" s="1"/>
      <c r="E120" s="1"/>
      <c r="F120" s="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ht="16.5" customHeight="1">
      <c r="A121" s="1"/>
      <c r="B121" s="1"/>
      <c r="C121" s="1"/>
      <c r="D121" s="1"/>
      <c r="E121" s="1"/>
      <c r="F121" s="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ht="16.5" customHeight="1">
      <c r="A122" s="1"/>
      <c r="B122" s="1"/>
      <c r="C122" s="1"/>
      <c r="D122" s="1"/>
      <c r="E122" s="1"/>
      <c r="F122" s="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ht="16.5" customHeight="1">
      <c r="A123" s="1"/>
      <c r="B123" s="1"/>
      <c r="C123" s="1"/>
      <c r="D123" s="1"/>
      <c r="E123" s="1"/>
      <c r="F123" s="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ht="16.5" customHeight="1">
      <c r="A124" s="1"/>
      <c r="B124" s="1"/>
      <c r="C124" s="1"/>
      <c r="D124" s="1"/>
      <c r="E124" s="1"/>
      <c r="F124" s="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ht="16.5" customHeight="1">
      <c r="A125" s="1"/>
      <c r="B125" s="1"/>
      <c r="C125" s="1"/>
      <c r="D125" s="1"/>
      <c r="E125" s="1"/>
      <c r="F125" s="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ht="16.5" customHeight="1">
      <c r="A126" s="1"/>
      <c r="B126" s="1"/>
      <c r="C126" s="1"/>
      <c r="D126" s="1"/>
      <c r="E126" s="1"/>
      <c r="F126" s="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ht="16.5" customHeight="1">
      <c r="A127" s="1"/>
      <c r="B127" s="1"/>
      <c r="C127" s="1"/>
      <c r="D127" s="1"/>
      <c r="E127" s="1"/>
      <c r="F127" s="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ht="16.5" customHeight="1">
      <c r="A128" s="1"/>
      <c r="B128" s="1"/>
      <c r="C128" s="1"/>
      <c r="D128" s="1"/>
      <c r="E128" s="1"/>
      <c r="F128" s="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ht="16.5" customHeight="1">
      <c r="A129" s="1"/>
      <c r="B129" s="1"/>
      <c r="C129" s="1"/>
      <c r="D129" s="1"/>
      <c r="E129" s="1"/>
      <c r="F129" s="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ht="16.5" customHeight="1">
      <c r="A130" s="1"/>
      <c r="B130" s="1"/>
      <c r="C130" s="1"/>
      <c r="D130" s="1"/>
      <c r="E130" s="1"/>
      <c r="F130" s="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ht="16.5" customHeight="1">
      <c r="A131" s="1"/>
      <c r="B131" s="1"/>
      <c r="C131" s="1"/>
      <c r="D131" s="1"/>
      <c r="E131" s="1"/>
      <c r="F131" s="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ht="16.5" customHeight="1">
      <c r="A132" s="1"/>
      <c r="B132" s="1"/>
      <c r="C132" s="1"/>
      <c r="D132" s="1"/>
      <c r="E132" s="1"/>
      <c r="F132" s="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ht="16.5" customHeight="1">
      <c r="A133" s="1"/>
      <c r="B133" s="1"/>
      <c r="C133" s="1"/>
      <c r="D133" s="1"/>
      <c r="E133" s="1"/>
      <c r="F133" s="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ht="16.5" customHeight="1">
      <c r="A134" s="1"/>
      <c r="B134" s="1"/>
      <c r="C134" s="1"/>
      <c r="D134" s="1"/>
      <c r="E134" s="1"/>
      <c r="F134" s="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ht="16.5" customHeight="1">
      <c r="A135" s="1"/>
      <c r="B135" s="1"/>
      <c r="C135" s="1"/>
      <c r="D135" s="1"/>
      <c r="E135" s="1"/>
      <c r="F135" s="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ht="16.5" customHeight="1">
      <c r="A136" s="1"/>
      <c r="B136" s="1"/>
      <c r="C136" s="1"/>
      <c r="D136" s="1"/>
      <c r="E136" s="1"/>
      <c r="F136" s="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ht="16.5" customHeight="1">
      <c r="A137" s="1"/>
      <c r="B137" s="1"/>
      <c r="C137" s="1"/>
      <c r="D137" s="1"/>
      <c r="E137" s="1"/>
      <c r="F137" s="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ht="16.5" customHeight="1">
      <c r="A138" s="1"/>
      <c r="B138" s="1"/>
      <c r="C138" s="1"/>
      <c r="D138" s="1"/>
      <c r="E138" s="1"/>
      <c r="F138" s="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ht="16.5" customHeight="1">
      <c r="A139" s="1"/>
      <c r="B139" s="1"/>
      <c r="C139" s="1"/>
      <c r="D139" s="1"/>
      <c r="E139" s="1"/>
      <c r="F139" s="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ht="16.5" customHeight="1">
      <c r="A140" s="1"/>
      <c r="B140" s="1"/>
      <c r="C140" s="1"/>
      <c r="D140" s="1"/>
      <c r="E140" s="1"/>
      <c r="F140" s="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ht="16.5" customHeight="1">
      <c r="A141" s="1"/>
      <c r="B141" s="1"/>
      <c r="C141" s="1"/>
      <c r="D141" s="1"/>
      <c r="E141" s="1"/>
      <c r="F141" s="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ht="16.5" customHeight="1">
      <c r="A142" s="1"/>
      <c r="B142" s="1"/>
      <c r="C142" s="1"/>
      <c r="D142" s="1"/>
      <c r="E142" s="1"/>
      <c r="F142" s="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ht="16.5" customHeight="1">
      <c r="A143" s="1"/>
      <c r="B143" s="1"/>
      <c r="C143" s="1"/>
      <c r="D143" s="1"/>
      <c r="E143" s="1"/>
      <c r="F143" s="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ht="16.5" customHeight="1">
      <c r="A144" s="1"/>
      <c r="B144" s="1"/>
      <c r="C144" s="1"/>
      <c r="D144" s="1"/>
      <c r="E144" s="1"/>
      <c r="F144" s="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ht="16.5" customHeight="1">
      <c r="A145" s="1"/>
      <c r="B145" s="1"/>
      <c r="C145" s="1"/>
      <c r="D145" s="1"/>
      <c r="E145" s="1"/>
      <c r="F145" s="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ht="16.5" customHeight="1">
      <c r="A146" s="1"/>
      <c r="B146" s="1"/>
      <c r="C146" s="1"/>
      <c r="D146" s="1"/>
      <c r="E146" s="1"/>
      <c r="F146" s="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ht="16.5" customHeight="1">
      <c r="A147" s="1"/>
      <c r="B147" s="1"/>
      <c r="C147" s="1"/>
      <c r="D147" s="1"/>
      <c r="E147" s="1"/>
      <c r="F147" s="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ht="16.5" customHeight="1">
      <c r="A148" s="1"/>
      <c r="B148" s="1"/>
      <c r="C148" s="1"/>
      <c r="D148" s="1"/>
      <c r="E148" s="1"/>
      <c r="F148" s="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ht="16.5" customHeight="1">
      <c r="A149" s="1"/>
      <c r="B149" s="1"/>
      <c r="C149" s="1"/>
      <c r="D149" s="1"/>
      <c r="E149" s="1"/>
      <c r="F149" s="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ht="16.5" customHeight="1">
      <c r="A150" s="1"/>
      <c r="B150" s="1"/>
      <c r="C150" s="1"/>
      <c r="D150" s="1"/>
      <c r="E150" s="1"/>
      <c r="F150" s="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ht="16.5" customHeight="1">
      <c r="A151" s="1"/>
      <c r="B151" s="1"/>
      <c r="C151" s="1"/>
      <c r="D151" s="1"/>
      <c r="E151" s="1"/>
      <c r="F151" s="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ht="16.5" customHeight="1">
      <c r="A152" s="1"/>
      <c r="B152" s="1"/>
      <c r="C152" s="1"/>
      <c r="D152" s="1"/>
      <c r="E152" s="1"/>
      <c r="F152" s="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ht="16.5" customHeight="1">
      <c r="A153" s="1"/>
      <c r="B153" s="1"/>
      <c r="C153" s="1"/>
      <c r="D153" s="1"/>
      <c r="E153" s="1"/>
      <c r="F153" s="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ht="16.5" customHeight="1">
      <c r="A154" s="1"/>
      <c r="B154" s="1"/>
      <c r="C154" s="1"/>
      <c r="D154" s="1"/>
      <c r="E154" s="1"/>
      <c r="F154" s="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ht="16.5" customHeight="1">
      <c r="A155" s="1"/>
      <c r="B155" s="1"/>
      <c r="C155" s="1"/>
      <c r="D155" s="1"/>
      <c r="E155" s="1"/>
      <c r="F155" s="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ht="16.5" customHeight="1">
      <c r="A156" s="1"/>
      <c r="B156" s="1"/>
      <c r="C156" s="1"/>
      <c r="D156" s="1"/>
      <c r="E156" s="1"/>
      <c r="F156" s="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ht="16.5" customHeight="1">
      <c r="A157" s="1"/>
      <c r="B157" s="1"/>
      <c r="C157" s="1"/>
      <c r="D157" s="1"/>
      <c r="E157" s="1"/>
      <c r="F157" s="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ht="16.5" customHeight="1">
      <c r="A158" s="1"/>
      <c r="B158" s="1"/>
      <c r="C158" s="1"/>
      <c r="D158" s="1"/>
      <c r="E158" s="1"/>
      <c r="F158" s="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ht="16.5" customHeight="1">
      <c r="A159" s="1"/>
      <c r="B159" s="1"/>
      <c r="C159" s="1"/>
      <c r="D159" s="1"/>
      <c r="E159" s="1"/>
      <c r="F159" s="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ht="16.5" customHeight="1">
      <c r="A160" s="1"/>
      <c r="B160" s="1"/>
      <c r="C160" s="1"/>
      <c r="D160" s="1"/>
      <c r="E160" s="1"/>
      <c r="F160" s="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ht="16.5" customHeight="1">
      <c r="A161" s="1"/>
      <c r="B161" s="1"/>
      <c r="C161" s="1"/>
      <c r="D161" s="1"/>
      <c r="E161" s="1"/>
      <c r="F161" s="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ht="16.5" customHeight="1">
      <c r="A162" s="1"/>
      <c r="B162" s="1"/>
      <c r="C162" s="1"/>
      <c r="D162" s="1"/>
      <c r="E162" s="1"/>
      <c r="F162" s="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ht="16.5" customHeight="1">
      <c r="A163" s="1"/>
      <c r="B163" s="1"/>
      <c r="C163" s="1"/>
      <c r="D163" s="1"/>
      <c r="E163" s="1"/>
      <c r="F163" s="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ht="16.5" customHeight="1">
      <c r="A164" s="1"/>
      <c r="B164" s="1"/>
      <c r="C164" s="1"/>
      <c r="D164" s="1"/>
      <c r="E164" s="1"/>
      <c r="F164" s="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ht="16.5" customHeight="1">
      <c r="A165" s="1"/>
      <c r="B165" s="1"/>
      <c r="C165" s="1"/>
      <c r="D165" s="1"/>
      <c r="E165" s="1"/>
      <c r="F165" s="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ht="16.5" customHeight="1">
      <c r="A166" s="1"/>
      <c r="B166" s="1"/>
      <c r="C166" s="1"/>
      <c r="D166" s="1"/>
      <c r="E166" s="1"/>
      <c r="F166" s="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ht="16.5" customHeight="1">
      <c r="A167" s="1"/>
      <c r="B167" s="1"/>
      <c r="C167" s="1"/>
      <c r="D167" s="1"/>
      <c r="E167" s="1"/>
      <c r="F167" s="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ht="16.5" customHeight="1">
      <c r="A168" s="1"/>
      <c r="B168" s="1"/>
      <c r="C168" s="1"/>
      <c r="D168" s="1"/>
      <c r="E168" s="1"/>
      <c r="F168" s="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ht="16.5" customHeight="1">
      <c r="A169" s="1"/>
      <c r="B169" s="1"/>
      <c r="C169" s="1"/>
      <c r="D169" s="1"/>
      <c r="E169" s="1"/>
      <c r="F169" s="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ht="16.5" customHeight="1">
      <c r="A170" s="1"/>
      <c r="B170" s="1"/>
      <c r="C170" s="1"/>
      <c r="D170" s="1"/>
      <c r="E170" s="1"/>
      <c r="F170" s="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ht="16.5" customHeight="1">
      <c r="A171" s="1"/>
      <c r="B171" s="1"/>
      <c r="C171" s="1"/>
      <c r="D171" s="1"/>
      <c r="E171" s="1"/>
      <c r="F171" s="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ht="16.5" customHeight="1">
      <c r="A172" s="1"/>
      <c r="B172" s="1"/>
      <c r="C172" s="1"/>
      <c r="D172" s="1"/>
      <c r="E172" s="1"/>
      <c r="F172" s="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ht="16.5" customHeight="1">
      <c r="A173" s="1"/>
      <c r="B173" s="1"/>
      <c r="C173" s="1"/>
      <c r="D173" s="1"/>
      <c r="E173" s="1"/>
      <c r="F173" s="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ht="16.5" customHeight="1">
      <c r="A174" s="1"/>
      <c r="B174" s="1"/>
      <c r="C174" s="1"/>
      <c r="D174" s="1"/>
      <c r="E174" s="1"/>
      <c r="F174" s="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ht="16.5" customHeight="1">
      <c r="A175" s="1"/>
      <c r="B175" s="1"/>
      <c r="C175" s="1"/>
      <c r="D175" s="1"/>
      <c r="E175" s="1"/>
      <c r="F175" s="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ht="16.5" customHeight="1">
      <c r="A176" s="1"/>
      <c r="B176" s="1"/>
      <c r="C176" s="1"/>
      <c r="D176" s="1"/>
      <c r="E176" s="1"/>
      <c r="F176" s="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ht="16.5" customHeight="1">
      <c r="A177" s="1"/>
      <c r="B177" s="1"/>
      <c r="C177" s="1"/>
      <c r="D177" s="1"/>
      <c r="E177" s="1"/>
      <c r="F177" s="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ht="16.5" customHeight="1">
      <c r="A178" s="1"/>
      <c r="B178" s="1"/>
      <c r="C178" s="1"/>
      <c r="D178" s="1"/>
      <c r="E178" s="1"/>
      <c r="F178" s="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ht="16.5" customHeight="1">
      <c r="A179" s="1"/>
      <c r="B179" s="1"/>
      <c r="C179" s="1"/>
      <c r="D179" s="1"/>
      <c r="E179" s="1"/>
      <c r="F179" s="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ht="16.5" customHeight="1">
      <c r="A180" s="1"/>
      <c r="B180" s="1"/>
      <c r="C180" s="1"/>
      <c r="D180" s="1"/>
      <c r="E180" s="1"/>
      <c r="F180" s="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ht="16.5" customHeight="1">
      <c r="A181" s="1"/>
      <c r="B181" s="1"/>
      <c r="C181" s="1"/>
      <c r="D181" s="1"/>
      <c r="E181" s="1"/>
      <c r="F181" s="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ht="16.5" customHeight="1">
      <c r="A182" s="1"/>
      <c r="B182" s="1"/>
      <c r="C182" s="1"/>
      <c r="D182" s="1"/>
      <c r="E182" s="1"/>
      <c r="F182" s="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ht="16.5" customHeight="1">
      <c r="A183" s="1"/>
      <c r="B183" s="1"/>
      <c r="C183" s="1"/>
      <c r="D183" s="1"/>
      <c r="E183" s="1"/>
      <c r="F183" s="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ht="16.5" customHeight="1">
      <c r="A184" s="1"/>
      <c r="B184" s="1"/>
      <c r="C184" s="1"/>
      <c r="D184" s="1"/>
      <c r="E184" s="1"/>
      <c r="F184" s="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ht="16.5" customHeight="1">
      <c r="A185" s="1"/>
      <c r="B185" s="1"/>
      <c r="C185" s="1"/>
      <c r="D185" s="1"/>
      <c r="E185" s="1"/>
      <c r="F185" s="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ht="16.5" customHeight="1">
      <c r="A186" s="1"/>
      <c r="B186" s="1"/>
      <c r="C186" s="1"/>
      <c r="D186" s="1"/>
      <c r="E186" s="1"/>
      <c r="F186" s="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ht="16.5" customHeight="1">
      <c r="A187" s="1"/>
      <c r="B187" s="1"/>
      <c r="C187" s="1"/>
      <c r="D187" s="1"/>
      <c r="E187" s="1"/>
      <c r="F187" s="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ht="16.5" customHeight="1">
      <c r="A188" s="1"/>
      <c r="B188" s="1"/>
      <c r="C188" s="1"/>
      <c r="D188" s="1"/>
      <c r="E188" s="1"/>
      <c r="F188" s="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ht="16.5" customHeight="1">
      <c r="A189" s="1"/>
      <c r="B189" s="1"/>
      <c r="C189" s="1"/>
      <c r="D189" s="1"/>
      <c r="E189" s="1"/>
      <c r="F189" s="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ht="16.5" customHeight="1">
      <c r="A190" s="1"/>
      <c r="B190" s="1"/>
      <c r="C190" s="1"/>
      <c r="D190" s="1"/>
      <c r="E190" s="1"/>
      <c r="F190" s="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ht="16.5" customHeight="1">
      <c r="A191" s="1"/>
      <c r="B191" s="1"/>
      <c r="C191" s="1"/>
      <c r="D191" s="1"/>
      <c r="E191" s="1"/>
      <c r="F191" s="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ht="16.5" customHeight="1">
      <c r="A192" s="1"/>
      <c r="B192" s="1"/>
      <c r="C192" s="1"/>
      <c r="D192" s="1"/>
      <c r="E192" s="1"/>
      <c r="F192" s="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ht="16.5" customHeight="1">
      <c r="A193" s="1"/>
      <c r="B193" s="1"/>
      <c r="C193" s="1"/>
      <c r="D193" s="1"/>
      <c r="E193" s="1"/>
      <c r="F193" s="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ht="16.5" customHeight="1">
      <c r="A194" s="1"/>
      <c r="B194" s="1"/>
      <c r="C194" s="1"/>
      <c r="D194" s="1"/>
      <c r="E194" s="1"/>
      <c r="F194" s="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ht="16.5" customHeight="1">
      <c r="A195" s="1"/>
      <c r="B195" s="1"/>
      <c r="C195" s="1"/>
      <c r="D195" s="1"/>
      <c r="E195" s="1"/>
      <c r="F195" s="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ht="16.5" customHeight="1">
      <c r="A196" s="1"/>
      <c r="B196" s="1"/>
      <c r="C196" s="1"/>
      <c r="D196" s="1"/>
      <c r="E196" s="1"/>
      <c r="F196" s="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ht="16.5" customHeight="1">
      <c r="A197" s="1"/>
      <c r="B197" s="1"/>
      <c r="C197" s="1"/>
      <c r="D197" s="1"/>
      <c r="E197" s="1"/>
      <c r="F197" s="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ht="16.5" customHeight="1">
      <c r="A198" s="1"/>
      <c r="B198" s="1"/>
      <c r="C198" s="1"/>
      <c r="D198" s="1"/>
      <c r="E198" s="1"/>
      <c r="F198" s="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ht="16.5" customHeight="1">
      <c r="A199" s="1"/>
      <c r="B199" s="1"/>
      <c r="C199" s="1"/>
      <c r="D199" s="1"/>
      <c r="E199" s="1"/>
      <c r="F199" s="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ht="16.5" customHeight="1">
      <c r="A200" s="1"/>
      <c r="B200" s="1"/>
      <c r="C200" s="1"/>
      <c r="D200" s="1"/>
      <c r="E200" s="1"/>
      <c r="F200" s="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ht="16.5" customHeight="1">
      <c r="A201" s="1"/>
      <c r="B201" s="1"/>
      <c r="C201" s="1"/>
      <c r="D201" s="1"/>
      <c r="E201" s="1"/>
      <c r="F201" s="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ht="16.5" customHeight="1">
      <c r="A202" s="1"/>
      <c r="B202" s="1"/>
      <c r="C202" s="1"/>
      <c r="D202" s="1"/>
      <c r="E202" s="1"/>
      <c r="F202" s="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ht="16.5" customHeight="1">
      <c r="A203" s="1"/>
      <c r="B203" s="1"/>
      <c r="C203" s="1"/>
      <c r="D203" s="1"/>
      <c r="E203" s="1"/>
      <c r="F203" s="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ht="16.5" customHeight="1">
      <c r="A204" s="1"/>
      <c r="B204" s="1"/>
      <c r="C204" s="1"/>
      <c r="D204" s="1"/>
      <c r="E204" s="1"/>
      <c r="F204" s="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ht="16.5" customHeight="1">
      <c r="A205" s="1"/>
      <c r="B205" s="1"/>
      <c r="C205" s="1"/>
      <c r="D205" s="1"/>
      <c r="E205" s="1"/>
      <c r="F205" s="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ht="16.5" customHeight="1">
      <c r="A206" s="1"/>
      <c r="B206" s="1"/>
      <c r="C206" s="1"/>
      <c r="D206" s="1"/>
      <c r="E206" s="1"/>
      <c r="F206" s="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ht="16.5" customHeight="1">
      <c r="A207" s="1"/>
      <c r="B207" s="1"/>
      <c r="C207" s="1"/>
      <c r="D207" s="1"/>
      <c r="E207" s="1"/>
      <c r="F207" s="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ht="16.5" customHeight="1">
      <c r="A208" s="1"/>
      <c r="B208" s="1"/>
      <c r="C208" s="1"/>
      <c r="D208" s="1"/>
      <c r="E208" s="1"/>
      <c r="F208" s="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ht="16.5" customHeight="1">
      <c r="A209" s="1"/>
      <c r="B209" s="1"/>
      <c r="C209" s="1"/>
      <c r="D209" s="1"/>
      <c r="E209" s="1"/>
      <c r="F209" s="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ht="16.5" customHeight="1">
      <c r="A210" s="1"/>
      <c r="B210" s="1"/>
      <c r="C210" s="1"/>
      <c r="D210" s="1"/>
      <c r="E210" s="1"/>
      <c r="F210" s="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ht="16.5" customHeight="1">
      <c r="A211" s="1"/>
      <c r="B211" s="1"/>
      <c r="C211" s="1"/>
      <c r="D211" s="1"/>
      <c r="E211" s="1"/>
      <c r="F211" s="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ht="16.5" customHeight="1">
      <c r="A212" s="1"/>
      <c r="B212" s="1"/>
      <c r="C212" s="1"/>
      <c r="D212" s="1"/>
      <c r="E212" s="1"/>
      <c r="F212" s="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ht="16.5" customHeight="1">
      <c r="A213" s="1"/>
      <c r="B213" s="1"/>
      <c r="C213" s="1"/>
      <c r="D213" s="1"/>
      <c r="E213" s="1"/>
      <c r="F213" s="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ht="16.5" customHeight="1">
      <c r="A214" s="1"/>
      <c r="B214" s="1"/>
      <c r="C214" s="1"/>
      <c r="D214" s="1"/>
      <c r="E214" s="1"/>
      <c r="F214" s="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ht="16.5" customHeight="1">
      <c r="A215" s="1"/>
      <c r="B215" s="1"/>
      <c r="C215" s="1"/>
      <c r="D215" s="1"/>
      <c r="E215" s="1"/>
      <c r="F215" s="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ht="16.5" customHeight="1">
      <c r="A216" s="1"/>
      <c r="B216" s="1"/>
      <c r="C216" s="1"/>
      <c r="D216" s="1"/>
      <c r="E216" s="1"/>
      <c r="F216" s="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ht="16.5" customHeight="1">
      <c r="A217" s="1"/>
      <c r="B217" s="1"/>
      <c r="C217" s="1"/>
      <c r="D217" s="1"/>
      <c r="E217" s="1"/>
      <c r="F217" s="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ht="16.5" customHeight="1">
      <c r="A218" s="1"/>
      <c r="B218" s="1"/>
      <c r="C218" s="1"/>
      <c r="D218" s="1"/>
      <c r="E218" s="1"/>
      <c r="F218" s="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ht="16.5" customHeight="1">
      <c r="A219" s="1"/>
      <c r="B219" s="1"/>
      <c r="C219" s="1"/>
      <c r="D219" s="1"/>
      <c r="E219" s="1"/>
      <c r="F219" s="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ht="16.5" customHeight="1">
      <c r="A220" s="1"/>
      <c r="B220" s="1"/>
      <c r="C220" s="1"/>
      <c r="D220" s="1"/>
      <c r="E220" s="1"/>
      <c r="F220" s="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ht="16.5" customHeight="1">
      <c r="A221" s="1"/>
      <c r="B221" s="1"/>
      <c r="C221" s="1"/>
      <c r="D221" s="1"/>
      <c r="E221" s="1"/>
      <c r="F221" s="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ht="16.5" customHeight="1">
      <c r="A222" s="1"/>
      <c r="B222" s="1"/>
      <c r="C222" s="1"/>
      <c r="D222" s="1"/>
      <c r="E222" s="1"/>
      <c r="F222" s="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ht="16.5" customHeight="1">
      <c r="A223" s="1"/>
      <c r="B223" s="1"/>
      <c r="C223" s="1"/>
      <c r="D223" s="1"/>
      <c r="E223" s="1"/>
      <c r="F223" s="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ht="16.5" customHeight="1">
      <c r="A224" s="1"/>
      <c r="B224" s="1"/>
      <c r="C224" s="1"/>
      <c r="D224" s="1"/>
      <c r="E224" s="1"/>
      <c r="F224" s="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ht="16.5" customHeight="1">
      <c r="A225" s="1"/>
      <c r="B225" s="1"/>
      <c r="C225" s="1"/>
      <c r="D225" s="1"/>
      <c r="E225" s="1"/>
      <c r="F225" s="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ht="16.5" customHeight="1">
      <c r="A226" s="1"/>
      <c r="B226" s="1"/>
      <c r="C226" s="1"/>
      <c r="D226" s="1"/>
      <c r="E226" s="1"/>
      <c r="F226" s="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ht="16.5" customHeight="1">
      <c r="A227" s="1"/>
      <c r="B227" s="1"/>
      <c r="C227" s="1"/>
      <c r="D227" s="1"/>
      <c r="E227" s="1"/>
      <c r="F227" s="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ht="16.5" customHeight="1">
      <c r="A228" s="1"/>
      <c r="B228" s="1"/>
      <c r="C228" s="1"/>
      <c r="D228" s="1"/>
      <c r="E228" s="1"/>
      <c r="F228" s="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ht="16.5" customHeight="1">
      <c r="A229" s="1"/>
      <c r="B229" s="1"/>
      <c r="C229" s="1"/>
      <c r="D229" s="1"/>
      <c r="E229" s="1"/>
      <c r="F229" s="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ht="16.5" customHeight="1">
      <c r="A230" s="1"/>
      <c r="B230" s="1"/>
      <c r="C230" s="1"/>
      <c r="D230" s="1"/>
      <c r="E230" s="1"/>
      <c r="F230" s="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ht="16.5" customHeight="1">
      <c r="A231" s="1"/>
      <c r="B231" s="1"/>
      <c r="C231" s="1"/>
      <c r="D231" s="1"/>
      <c r="E231" s="1"/>
      <c r="F231" s="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ht="16.5" customHeight="1">
      <c r="A232" s="1"/>
      <c r="B232" s="1"/>
      <c r="C232" s="1"/>
      <c r="D232" s="1"/>
      <c r="E232" s="1"/>
      <c r="F232" s="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ht="16.5" customHeight="1">
      <c r="A233" s="1"/>
      <c r="B233" s="1"/>
      <c r="C233" s="1"/>
      <c r="D233" s="1"/>
      <c r="E233" s="1"/>
      <c r="F233" s="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ht="16.5" customHeight="1">
      <c r="A234" s="1"/>
      <c r="B234" s="1"/>
      <c r="C234" s="1"/>
      <c r="D234" s="1"/>
      <c r="E234" s="1"/>
      <c r="F234" s="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ht="16.5" customHeight="1">
      <c r="A235" s="1"/>
      <c r="B235" s="1"/>
      <c r="C235" s="1"/>
      <c r="D235" s="1"/>
      <c r="E235" s="1"/>
      <c r="F235" s="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ht="16.5" customHeight="1">
      <c r="A236" s="1"/>
      <c r="B236" s="1"/>
      <c r="C236" s="1"/>
      <c r="D236" s="1"/>
      <c r="E236" s="1"/>
      <c r="F236" s="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ht="16.5" customHeight="1">
      <c r="A237" s="1"/>
      <c r="B237" s="1"/>
      <c r="C237" s="1"/>
      <c r="D237" s="1"/>
      <c r="E237" s="1"/>
      <c r="F237" s="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ht="16.5" customHeight="1">
      <c r="A238" s="1"/>
      <c r="B238" s="1"/>
      <c r="C238" s="1"/>
      <c r="D238" s="1"/>
      <c r="E238" s="1"/>
      <c r="F238" s="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ht="16.5" customHeight="1">
      <c r="A239" s="1"/>
      <c r="B239" s="1"/>
      <c r="C239" s="1"/>
      <c r="D239" s="1"/>
      <c r="E239" s="1"/>
      <c r="F239" s="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ht="16.5" customHeight="1">
      <c r="A240" s="1"/>
      <c r="B240" s="1"/>
      <c r="C240" s="1"/>
      <c r="D240" s="1"/>
      <c r="E240" s="1"/>
      <c r="F240" s="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ht="16.5" customHeight="1">
      <c r="A241" s="1"/>
      <c r="B241" s="1"/>
      <c r="C241" s="1"/>
      <c r="D241" s="1"/>
      <c r="E241" s="1"/>
      <c r="F241" s="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ht="16.5" customHeight="1">
      <c r="A242" s="1"/>
      <c r="B242" s="1"/>
      <c r="C242" s="1"/>
      <c r="D242" s="1"/>
      <c r="E242" s="1"/>
      <c r="F242" s="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ht="16.5" customHeight="1">
      <c r="A243" s="1"/>
      <c r="B243" s="1"/>
      <c r="C243" s="1"/>
      <c r="D243" s="1"/>
      <c r="E243" s="1"/>
      <c r="F243" s="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ht="16.5" customHeight="1">
      <c r="A244" s="1"/>
      <c r="B244" s="1"/>
      <c r="C244" s="1"/>
      <c r="D244" s="1"/>
      <c r="E244" s="1"/>
      <c r="F244" s="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ht="16.5" customHeight="1">
      <c r="A245" s="1"/>
      <c r="B245" s="1"/>
      <c r="C245" s="1"/>
      <c r="D245" s="1"/>
      <c r="E245" s="1"/>
      <c r="F245" s="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ht="16.5" customHeight="1">
      <c r="A246" s="1"/>
      <c r="B246" s="1"/>
      <c r="C246" s="1"/>
      <c r="D246" s="1"/>
      <c r="E246" s="1"/>
      <c r="F246" s="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ht="16.5" customHeight="1">
      <c r="A247" s="1"/>
      <c r="B247" s="1"/>
      <c r="C247" s="1"/>
      <c r="D247" s="1"/>
      <c r="E247" s="1"/>
      <c r="F247" s="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ht="16.5" customHeight="1">
      <c r="A248" s="1"/>
      <c r="B248" s="1"/>
      <c r="C248" s="1"/>
      <c r="D248" s="1"/>
      <c r="E248" s="1"/>
      <c r="F248" s="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ht="16.5" customHeight="1">
      <c r="A249" s="1"/>
      <c r="B249" s="1"/>
      <c r="C249" s="1"/>
      <c r="D249" s="1"/>
      <c r="E249" s="1"/>
      <c r="F249" s="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ht="16.5" customHeight="1">
      <c r="A250" s="1"/>
      <c r="B250" s="1"/>
      <c r="C250" s="1"/>
      <c r="D250" s="1"/>
      <c r="E250" s="1"/>
      <c r="F250" s="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ht="16.5" customHeight="1">
      <c r="A251" s="1"/>
      <c r="B251" s="1"/>
      <c r="C251" s="1"/>
      <c r="D251" s="1"/>
      <c r="E251" s="1"/>
      <c r="F251" s="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ht="16.5" customHeight="1">
      <c r="A252" s="1"/>
      <c r="B252" s="1"/>
      <c r="C252" s="1"/>
      <c r="D252" s="1"/>
      <c r="E252" s="1"/>
      <c r="F252" s="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ht="16.5" customHeight="1">
      <c r="A253" s="1"/>
      <c r="B253" s="1"/>
      <c r="C253" s="1"/>
      <c r="D253" s="1"/>
      <c r="E253" s="1"/>
      <c r="F253" s="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ht="16.5" customHeight="1">
      <c r="A254" s="1"/>
      <c r="B254" s="1"/>
      <c r="C254" s="1"/>
      <c r="D254" s="1"/>
      <c r="E254" s="1"/>
      <c r="F254" s="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ht="16.5" customHeight="1">
      <c r="A255" s="1"/>
      <c r="B255" s="1"/>
      <c r="C255" s="1"/>
      <c r="D255" s="1"/>
      <c r="E255" s="1"/>
      <c r="F255" s="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ht="16.5" customHeight="1">
      <c r="A256" s="1"/>
      <c r="B256" s="1"/>
      <c r="C256" s="1"/>
      <c r="D256" s="1"/>
      <c r="E256" s="1"/>
      <c r="F256" s="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ht="16.5" customHeight="1">
      <c r="A257" s="1"/>
      <c r="B257" s="1"/>
      <c r="C257" s="1"/>
      <c r="D257" s="1"/>
      <c r="E257" s="1"/>
      <c r="F257" s="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ht="16.5" customHeight="1">
      <c r="A258" s="1"/>
      <c r="B258" s="1"/>
      <c r="C258" s="1"/>
      <c r="D258" s="1"/>
      <c r="E258" s="1"/>
      <c r="F258" s="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ht="16.5" customHeight="1">
      <c r="A259" s="1"/>
      <c r="B259" s="1"/>
      <c r="C259" s="1"/>
      <c r="D259" s="1"/>
      <c r="E259" s="1"/>
      <c r="F259" s="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ht="16.5" customHeight="1">
      <c r="A260" s="1"/>
      <c r="B260" s="1"/>
      <c r="C260" s="1"/>
      <c r="D260" s="1"/>
      <c r="E260" s="1"/>
      <c r="F260" s="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ht="16.5" customHeight="1">
      <c r="A261" s="1"/>
      <c r="B261" s="1"/>
      <c r="C261" s="1"/>
      <c r="D261" s="1"/>
      <c r="E261" s="1"/>
      <c r="F261" s="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ht="16.5" customHeight="1">
      <c r="A262" s="1"/>
      <c r="B262" s="1"/>
      <c r="C262" s="1"/>
      <c r="D262" s="1"/>
      <c r="E262" s="1"/>
      <c r="F262" s="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ht="16.5" customHeight="1">
      <c r="A263" s="1"/>
      <c r="B263" s="1"/>
      <c r="C263" s="1"/>
      <c r="D263" s="1"/>
      <c r="E263" s="1"/>
      <c r="F263" s="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ht="16.5" customHeight="1">
      <c r="A264" s="1"/>
      <c r="B264" s="1"/>
      <c r="C264" s="1"/>
      <c r="D264" s="1"/>
      <c r="E264" s="1"/>
      <c r="F264" s="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ht="16.5" customHeight="1">
      <c r="A265" s="1"/>
      <c r="B265" s="1"/>
      <c r="C265" s="1"/>
      <c r="D265" s="1"/>
      <c r="E265" s="1"/>
      <c r="F265" s="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ht="16.5" customHeight="1">
      <c r="A266" s="1"/>
      <c r="B266" s="1"/>
      <c r="C266" s="1"/>
      <c r="D266" s="1"/>
      <c r="E266" s="1"/>
      <c r="F266" s="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ht="16.5" customHeight="1">
      <c r="A267" s="1"/>
      <c r="B267" s="1"/>
      <c r="C267" s="1"/>
      <c r="D267" s="1"/>
      <c r="E267" s="1"/>
      <c r="F267" s="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ht="16.5" customHeight="1">
      <c r="A268" s="1"/>
      <c r="B268" s="1"/>
      <c r="C268" s="1"/>
      <c r="D268" s="1"/>
      <c r="E268" s="1"/>
      <c r="F268" s="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ht="16.5" customHeight="1">
      <c r="A269" s="1"/>
      <c r="B269" s="1"/>
      <c r="C269" s="1"/>
      <c r="D269" s="1"/>
      <c r="E269" s="1"/>
      <c r="F269" s="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ht="16.5" customHeight="1">
      <c r="A270" s="1"/>
      <c r="B270" s="1"/>
      <c r="C270" s="1"/>
      <c r="D270" s="1"/>
      <c r="E270" s="1"/>
      <c r="F270" s="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ht="16.5" customHeight="1">
      <c r="A271" s="1"/>
      <c r="B271" s="1"/>
      <c r="C271" s="1"/>
      <c r="D271" s="1"/>
      <c r="E271" s="1"/>
      <c r="F271" s="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ht="16.5" customHeight="1">
      <c r="A272" s="1"/>
      <c r="B272" s="1"/>
      <c r="C272" s="1"/>
      <c r="D272" s="1"/>
      <c r="E272" s="1"/>
      <c r="F272" s="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ht="16.5" customHeight="1">
      <c r="A273" s="1"/>
      <c r="B273" s="1"/>
      <c r="C273" s="1"/>
      <c r="D273" s="1"/>
      <c r="E273" s="1"/>
      <c r="F273" s="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ht="16.5" customHeight="1">
      <c r="A274" s="1"/>
      <c r="B274" s="1"/>
      <c r="C274" s="1"/>
      <c r="D274" s="1"/>
      <c r="E274" s="1"/>
      <c r="F274" s="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ht="16.5" customHeight="1">
      <c r="A275" s="1"/>
      <c r="B275" s="1"/>
      <c r="C275" s="1"/>
      <c r="D275" s="1"/>
      <c r="E275" s="1"/>
      <c r="F275" s="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ht="16.5" customHeight="1">
      <c r="A276" s="1"/>
      <c r="B276" s="1"/>
      <c r="C276" s="1"/>
      <c r="D276" s="1"/>
      <c r="E276" s="1"/>
      <c r="F276" s="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ht="16.5" customHeight="1">
      <c r="A277" s="1"/>
      <c r="B277" s="1"/>
      <c r="C277" s="1"/>
      <c r="D277" s="1"/>
      <c r="E277" s="1"/>
      <c r="F277" s="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ht="16.5" customHeight="1">
      <c r="A278" s="1"/>
      <c r="B278" s="1"/>
      <c r="C278" s="1"/>
      <c r="D278" s="1"/>
      <c r="E278" s="1"/>
      <c r="F278" s="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ht="16.5" customHeight="1">
      <c r="A279" s="1"/>
      <c r="B279" s="1"/>
      <c r="C279" s="1"/>
      <c r="D279" s="1"/>
      <c r="E279" s="1"/>
      <c r="F279" s="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ht="16.5" customHeight="1">
      <c r="A280" s="1"/>
      <c r="B280" s="1"/>
      <c r="C280" s="1"/>
      <c r="D280" s="1"/>
      <c r="E280" s="1"/>
      <c r="F280" s="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ht="16.5" customHeight="1">
      <c r="A281" s="1"/>
      <c r="B281" s="1"/>
      <c r="C281" s="1"/>
      <c r="D281" s="1"/>
      <c r="E281" s="1"/>
      <c r="F281" s="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ht="16.5" customHeight="1">
      <c r="A282" s="1"/>
      <c r="B282" s="1"/>
      <c r="C282" s="1"/>
      <c r="D282" s="1"/>
      <c r="E282" s="1"/>
      <c r="F282" s="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ht="16.5" customHeight="1">
      <c r="A283" s="1"/>
      <c r="B283" s="1"/>
      <c r="C283" s="1"/>
      <c r="D283" s="1"/>
      <c r="E283" s="1"/>
      <c r="F283" s="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ht="16.5" customHeight="1">
      <c r="A284" s="1"/>
      <c r="B284" s="1"/>
      <c r="C284" s="1"/>
      <c r="D284" s="1"/>
      <c r="E284" s="1"/>
      <c r="F284" s="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ht="16.5" customHeight="1">
      <c r="A285" s="1"/>
      <c r="B285" s="1"/>
      <c r="C285" s="1"/>
      <c r="D285" s="1"/>
      <c r="E285" s="1"/>
      <c r="F285" s="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ht="16.5" customHeight="1">
      <c r="A286" s="1"/>
      <c r="B286" s="1"/>
      <c r="C286" s="1"/>
      <c r="D286" s="1"/>
      <c r="E286" s="1"/>
      <c r="F286" s="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ht="16.5" customHeight="1">
      <c r="A287" s="1"/>
      <c r="B287" s="1"/>
      <c r="C287" s="1"/>
      <c r="D287" s="1"/>
      <c r="E287" s="1"/>
      <c r="F287" s="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ht="16.5" customHeight="1">
      <c r="A288" s="1"/>
      <c r="B288" s="1"/>
      <c r="C288" s="1"/>
      <c r="D288" s="1"/>
      <c r="E288" s="1"/>
      <c r="F288" s="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ht="16.5" customHeight="1">
      <c r="A289" s="1"/>
      <c r="B289" s="1"/>
      <c r="C289" s="1"/>
      <c r="D289" s="1"/>
      <c r="E289" s="1"/>
      <c r="F289" s="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ht="16.5" customHeight="1">
      <c r="A290" s="1"/>
      <c r="B290" s="1"/>
      <c r="C290" s="1"/>
      <c r="D290" s="1"/>
      <c r="E290" s="1"/>
      <c r="F290" s="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ht="16.5" customHeight="1">
      <c r="A291" s="1"/>
      <c r="B291" s="1"/>
      <c r="C291" s="1"/>
      <c r="D291" s="1"/>
      <c r="E291" s="1"/>
      <c r="F291" s="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ht="16.5" customHeight="1">
      <c r="A292" s="1"/>
      <c r="B292" s="1"/>
      <c r="C292" s="1"/>
      <c r="D292" s="1"/>
      <c r="E292" s="1"/>
      <c r="F292" s="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ht="16.5" customHeight="1">
      <c r="A293" s="1"/>
      <c r="B293" s="1"/>
      <c r="C293" s="1"/>
      <c r="D293" s="1"/>
      <c r="E293" s="1"/>
      <c r="F293" s="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ht="16.5" customHeight="1">
      <c r="A294" s="1"/>
      <c r="B294" s="1"/>
      <c r="C294" s="1"/>
      <c r="D294" s="1"/>
      <c r="E294" s="1"/>
      <c r="F294" s="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ht="16.5" customHeight="1">
      <c r="A295" s="1"/>
      <c r="B295" s="1"/>
      <c r="C295" s="1"/>
      <c r="D295" s="1"/>
      <c r="E295" s="1"/>
      <c r="F295" s="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ht="16.5" customHeight="1">
      <c r="A296" s="1"/>
      <c r="B296" s="1"/>
      <c r="C296" s="1"/>
      <c r="D296" s="1"/>
      <c r="E296" s="1"/>
      <c r="F296" s="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ht="16.5" customHeight="1">
      <c r="A297" s="1"/>
      <c r="B297" s="1"/>
      <c r="C297" s="1"/>
      <c r="D297" s="1"/>
      <c r="E297" s="1"/>
      <c r="F297" s="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ht="16.5" customHeight="1">
      <c r="A298" s="1"/>
      <c r="B298" s="1"/>
      <c r="C298" s="1"/>
      <c r="D298" s="1"/>
      <c r="E298" s="1"/>
      <c r="F298" s="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ht="16.5" customHeight="1">
      <c r="A299" s="1"/>
      <c r="B299" s="1"/>
      <c r="C299" s="1"/>
      <c r="D299" s="1"/>
      <c r="E299" s="1"/>
      <c r="F299" s="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ht="16.5" customHeight="1">
      <c r="A300" s="1"/>
      <c r="B300" s="1"/>
      <c r="C300" s="1"/>
      <c r="D300" s="1"/>
      <c r="E300" s="1"/>
      <c r="F300" s="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ht="16.5" customHeight="1">
      <c r="A301" s="1"/>
      <c r="B301" s="1"/>
      <c r="C301" s="1"/>
      <c r="D301" s="1"/>
      <c r="E301" s="1"/>
      <c r="F301" s="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ht="16.5" customHeight="1">
      <c r="A302" s="1"/>
      <c r="B302" s="1"/>
      <c r="C302" s="1"/>
      <c r="D302" s="1"/>
      <c r="E302" s="1"/>
      <c r="F302" s="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ht="16.5" customHeight="1">
      <c r="A303" s="1"/>
      <c r="B303" s="1"/>
      <c r="C303" s="1"/>
      <c r="D303" s="1"/>
      <c r="E303" s="1"/>
      <c r="F303" s="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ht="16.5" customHeight="1">
      <c r="A304" s="1"/>
      <c r="B304" s="1"/>
      <c r="C304" s="1"/>
      <c r="D304" s="1"/>
      <c r="E304" s="1"/>
      <c r="F304" s="1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ht="16.5" customHeight="1">
      <c r="A305" s="1"/>
      <c r="B305" s="1"/>
      <c r="C305" s="1"/>
      <c r="D305" s="1"/>
      <c r="E305" s="1"/>
      <c r="F305" s="1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ht="16.5" customHeight="1">
      <c r="A306" s="1"/>
      <c r="B306" s="1"/>
      <c r="C306" s="1"/>
      <c r="D306" s="1"/>
      <c r="E306" s="1"/>
      <c r="F306" s="1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ht="16.5" customHeight="1">
      <c r="A307" s="1"/>
      <c r="B307" s="1"/>
      <c r="C307" s="1"/>
      <c r="D307" s="1"/>
      <c r="E307" s="1"/>
      <c r="F307" s="1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ht="16.5" customHeight="1">
      <c r="A308" s="1"/>
      <c r="B308" s="1"/>
      <c r="C308" s="1"/>
      <c r="D308" s="1"/>
      <c r="E308" s="1"/>
      <c r="F308" s="1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ht="16.5" customHeight="1">
      <c r="A309" s="1"/>
      <c r="B309" s="1"/>
      <c r="C309" s="1"/>
      <c r="D309" s="1"/>
      <c r="E309" s="1"/>
      <c r="F309" s="1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ht="16.5" customHeight="1">
      <c r="A310" s="1"/>
      <c r="B310" s="1"/>
      <c r="C310" s="1"/>
      <c r="D310" s="1"/>
      <c r="E310" s="1"/>
      <c r="F310" s="1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ht="16.5" customHeight="1">
      <c r="A311" s="1"/>
      <c r="B311" s="1"/>
      <c r="C311" s="1"/>
      <c r="D311" s="1"/>
      <c r="E311" s="1"/>
      <c r="F311" s="1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ht="16.5" customHeight="1">
      <c r="A312" s="1"/>
      <c r="B312" s="1"/>
      <c r="C312" s="1"/>
      <c r="D312" s="1"/>
      <c r="E312" s="1"/>
      <c r="F312" s="1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ht="16.5" customHeight="1">
      <c r="A313" s="1"/>
      <c r="B313" s="1"/>
      <c r="C313" s="1"/>
      <c r="D313" s="1"/>
      <c r="E313" s="1"/>
      <c r="F313" s="1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ht="16.5" customHeight="1">
      <c r="A314" s="1"/>
      <c r="B314" s="1"/>
      <c r="C314" s="1"/>
      <c r="D314" s="1"/>
      <c r="E314" s="1"/>
      <c r="F314" s="1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ht="16.5" customHeight="1">
      <c r="A315" s="1"/>
      <c r="B315" s="1"/>
      <c r="C315" s="1"/>
      <c r="D315" s="1"/>
      <c r="E315" s="1"/>
      <c r="F315" s="1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ht="16.5" customHeight="1">
      <c r="A316" s="1"/>
      <c r="B316" s="1"/>
      <c r="C316" s="1"/>
      <c r="D316" s="1"/>
      <c r="E316" s="1"/>
      <c r="F316" s="1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ht="16.5" customHeight="1">
      <c r="A317" s="1"/>
      <c r="B317" s="1"/>
      <c r="C317" s="1"/>
      <c r="D317" s="1"/>
      <c r="E317" s="1"/>
      <c r="F317" s="1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ht="16.5" customHeight="1">
      <c r="A318" s="1"/>
      <c r="B318" s="1"/>
      <c r="C318" s="1"/>
      <c r="D318" s="1"/>
      <c r="E318" s="1"/>
      <c r="F318" s="1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ht="16.5" customHeight="1">
      <c r="A319" s="1"/>
      <c r="B319" s="1"/>
      <c r="C319" s="1"/>
      <c r="D319" s="1"/>
      <c r="E319" s="1"/>
      <c r="F319" s="1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ht="16.5" customHeight="1">
      <c r="A320" s="1"/>
      <c r="B320" s="1"/>
      <c r="C320" s="1"/>
      <c r="D320" s="1"/>
      <c r="E320" s="1"/>
      <c r="F320" s="1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ht="16.5" customHeight="1">
      <c r="A321" s="1"/>
      <c r="B321" s="1"/>
      <c r="C321" s="1"/>
      <c r="D321" s="1"/>
      <c r="E321" s="1"/>
      <c r="F321" s="1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ht="16.5" customHeight="1">
      <c r="A322" s="1"/>
      <c r="B322" s="1"/>
      <c r="C322" s="1"/>
      <c r="D322" s="1"/>
      <c r="E322" s="1"/>
      <c r="F322" s="1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ht="16.5" customHeight="1">
      <c r="A323" s="1"/>
      <c r="B323" s="1"/>
      <c r="C323" s="1"/>
      <c r="D323" s="1"/>
      <c r="E323" s="1"/>
      <c r="F323" s="1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ht="16.5" customHeight="1">
      <c r="A324" s="1"/>
      <c r="B324" s="1"/>
      <c r="C324" s="1"/>
      <c r="D324" s="1"/>
      <c r="E324" s="1"/>
      <c r="F324" s="1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ht="16.5" customHeight="1">
      <c r="A325" s="1"/>
      <c r="B325" s="1"/>
      <c r="C325" s="1"/>
      <c r="D325" s="1"/>
      <c r="E325" s="1"/>
      <c r="F325" s="1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ht="16.5" customHeight="1">
      <c r="A326" s="1"/>
      <c r="B326" s="1"/>
      <c r="C326" s="1"/>
      <c r="D326" s="1"/>
      <c r="E326" s="1"/>
      <c r="F326" s="1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ht="16.5" customHeight="1">
      <c r="A327" s="1"/>
      <c r="B327" s="1"/>
      <c r="C327" s="1"/>
      <c r="D327" s="1"/>
      <c r="E327" s="1"/>
      <c r="F327" s="1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ht="16.5" customHeight="1">
      <c r="A328" s="1"/>
      <c r="B328" s="1"/>
      <c r="C328" s="1"/>
      <c r="D328" s="1"/>
      <c r="E328" s="1"/>
      <c r="F328" s="1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ht="16.5" customHeight="1">
      <c r="A329" s="1"/>
      <c r="B329" s="1"/>
      <c r="C329" s="1"/>
      <c r="D329" s="1"/>
      <c r="E329" s="1"/>
      <c r="F329" s="1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ht="16.5" customHeight="1">
      <c r="A330" s="1"/>
      <c r="B330" s="1"/>
      <c r="C330" s="1"/>
      <c r="D330" s="1"/>
      <c r="E330" s="1"/>
      <c r="F330" s="1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ht="16.5" customHeight="1">
      <c r="A331" s="1"/>
      <c r="B331" s="1"/>
      <c r="C331" s="1"/>
      <c r="D331" s="1"/>
      <c r="E331" s="1"/>
      <c r="F331" s="1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ht="16.5" customHeight="1">
      <c r="A332" s="1"/>
      <c r="B332" s="1"/>
      <c r="C332" s="1"/>
      <c r="D332" s="1"/>
      <c r="E332" s="1"/>
      <c r="F332" s="1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ht="16.5" customHeight="1">
      <c r="A333" s="1"/>
      <c r="B333" s="1"/>
      <c r="C333" s="1"/>
      <c r="D333" s="1"/>
      <c r="E333" s="1"/>
      <c r="F333" s="1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ht="16.5" customHeight="1">
      <c r="A334" s="1"/>
      <c r="B334" s="1"/>
      <c r="C334" s="1"/>
      <c r="D334" s="1"/>
      <c r="E334" s="1"/>
      <c r="F334" s="1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ht="16.5" customHeight="1">
      <c r="A335" s="1"/>
      <c r="B335" s="1"/>
      <c r="C335" s="1"/>
      <c r="D335" s="1"/>
      <c r="E335" s="1"/>
      <c r="F335" s="1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ht="16.5" customHeight="1">
      <c r="A336" s="1"/>
      <c r="B336" s="1"/>
      <c r="C336" s="1"/>
      <c r="D336" s="1"/>
      <c r="E336" s="1"/>
      <c r="F336" s="1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ht="16.5" customHeight="1">
      <c r="A337" s="1"/>
      <c r="B337" s="1"/>
      <c r="C337" s="1"/>
      <c r="D337" s="1"/>
      <c r="E337" s="1"/>
      <c r="F337" s="1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ht="16.5" customHeight="1">
      <c r="A338" s="1"/>
      <c r="B338" s="1"/>
      <c r="C338" s="1"/>
      <c r="D338" s="1"/>
      <c r="E338" s="1"/>
      <c r="F338" s="1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ht="16.5" customHeight="1">
      <c r="A339" s="1"/>
      <c r="B339" s="1"/>
      <c r="C339" s="1"/>
      <c r="D339" s="1"/>
      <c r="E339" s="1"/>
      <c r="F339" s="1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ht="16.5" customHeight="1">
      <c r="A340" s="1"/>
      <c r="B340" s="1"/>
      <c r="C340" s="1"/>
      <c r="D340" s="1"/>
      <c r="E340" s="1"/>
      <c r="F340" s="1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ht="16.5" customHeight="1">
      <c r="A341" s="1"/>
      <c r="B341" s="1"/>
      <c r="C341" s="1"/>
      <c r="D341" s="1"/>
      <c r="E341" s="1"/>
      <c r="F341" s="1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ht="16.5" customHeight="1">
      <c r="A342" s="1"/>
      <c r="B342" s="1"/>
      <c r="C342" s="1"/>
      <c r="D342" s="1"/>
      <c r="E342" s="1"/>
      <c r="F342" s="1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ht="16.5" customHeight="1">
      <c r="A343" s="1"/>
      <c r="B343" s="1"/>
      <c r="C343" s="1"/>
      <c r="D343" s="1"/>
      <c r="E343" s="1"/>
      <c r="F343" s="1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ht="16.5" customHeight="1">
      <c r="A344" s="1"/>
      <c r="B344" s="1"/>
      <c r="C344" s="1"/>
      <c r="D344" s="1"/>
      <c r="E344" s="1"/>
      <c r="F344" s="1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ht="16.5" customHeight="1">
      <c r="A345" s="1"/>
      <c r="B345" s="1"/>
      <c r="C345" s="1"/>
      <c r="D345" s="1"/>
      <c r="E345" s="1"/>
      <c r="F345" s="1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ht="16.5" customHeight="1">
      <c r="A346" s="1"/>
      <c r="B346" s="1"/>
      <c r="C346" s="1"/>
      <c r="D346" s="1"/>
      <c r="E346" s="1"/>
      <c r="F346" s="1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ht="16.5" customHeight="1">
      <c r="A347" s="1"/>
      <c r="B347" s="1"/>
      <c r="C347" s="1"/>
      <c r="D347" s="1"/>
      <c r="E347" s="1"/>
      <c r="F347" s="1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ht="16.5" customHeight="1">
      <c r="A348" s="1"/>
      <c r="B348" s="1"/>
      <c r="C348" s="1"/>
      <c r="D348" s="1"/>
      <c r="E348" s="1"/>
      <c r="F348" s="1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ht="16.5" customHeight="1">
      <c r="A349" s="1"/>
      <c r="B349" s="1"/>
      <c r="C349" s="1"/>
      <c r="D349" s="1"/>
      <c r="E349" s="1"/>
      <c r="F349" s="1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ht="16.5" customHeight="1">
      <c r="A350" s="1"/>
      <c r="B350" s="1"/>
      <c r="C350" s="1"/>
      <c r="D350" s="1"/>
      <c r="E350" s="1"/>
      <c r="F350" s="1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ht="16.5" customHeight="1">
      <c r="A351" s="1"/>
      <c r="B351" s="1"/>
      <c r="C351" s="1"/>
      <c r="D351" s="1"/>
      <c r="E351" s="1"/>
      <c r="F351" s="1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ht="16.5" customHeight="1">
      <c r="A352" s="1"/>
      <c r="B352" s="1"/>
      <c r="C352" s="1"/>
      <c r="D352" s="1"/>
      <c r="E352" s="1"/>
      <c r="F352" s="1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ht="16.5" customHeight="1">
      <c r="A353" s="1"/>
      <c r="B353" s="1"/>
      <c r="C353" s="1"/>
      <c r="D353" s="1"/>
      <c r="E353" s="1"/>
      <c r="F353" s="1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ht="16.5" customHeight="1">
      <c r="A354" s="1"/>
      <c r="B354" s="1"/>
      <c r="C354" s="1"/>
      <c r="D354" s="1"/>
      <c r="E354" s="1"/>
      <c r="F354" s="1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ht="16.5" customHeight="1">
      <c r="A355" s="1"/>
      <c r="B355" s="1"/>
      <c r="C355" s="1"/>
      <c r="D355" s="1"/>
      <c r="E355" s="1"/>
      <c r="F355" s="1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ht="16.5" customHeight="1">
      <c r="A356" s="1"/>
      <c r="B356" s="1"/>
      <c r="C356" s="1"/>
      <c r="D356" s="1"/>
      <c r="E356" s="1"/>
      <c r="F356" s="1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ht="16.5" customHeight="1">
      <c r="A357" s="1"/>
      <c r="B357" s="1"/>
      <c r="C357" s="1"/>
      <c r="D357" s="1"/>
      <c r="E357" s="1"/>
      <c r="F357" s="1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ht="16.5" customHeight="1">
      <c r="A358" s="1"/>
      <c r="B358" s="1"/>
      <c r="C358" s="1"/>
      <c r="D358" s="1"/>
      <c r="E358" s="1"/>
      <c r="F358" s="1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ht="16.5" customHeight="1">
      <c r="A359" s="1"/>
      <c r="B359" s="1"/>
      <c r="C359" s="1"/>
      <c r="D359" s="1"/>
      <c r="E359" s="1"/>
      <c r="F359" s="1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ht="16.5" customHeight="1">
      <c r="A360" s="1"/>
      <c r="B360" s="1"/>
      <c r="C360" s="1"/>
      <c r="D360" s="1"/>
      <c r="E360" s="1"/>
      <c r="F360" s="1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ht="16.5" customHeight="1">
      <c r="A361" s="1"/>
      <c r="B361" s="1"/>
      <c r="C361" s="1"/>
      <c r="D361" s="1"/>
      <c r="E361" s="1"/>
      <c r="F361" s="1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ht="16.5" customHeight="1">
      <c r="A362" s="1"/>
      <c r="B362" s="1"/>
      <c r="C362" s="1"/>
      <c r="D362" s="1"/>
      <c r="E362" s="1"/>
      <c r="F362" s="1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ht="16.5" customHeight="1">
      <c r="A363" s="1"/>
      <c r="B363" s="1"/>
      <c r="C363" s="1"/>
      <c r="D363" s="1"/>
      <c r="E363" s="1"/>
      <c r="F363" s="1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ht="16.5" customHeight="1">
      <c r="A364" s="1"/>
      <c r="B364" s="1"/>
      <c r="C364" s="1"/>
      <c r="D364" s="1"/>
      <c r="E364" s="1"/>
      <c r="F364" s="1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ht="16.5" customHeight="1">
      <c r="A365" s="1"/>
      <c r="B365" s="1"/>
      <c r="C365" s="1"/>
      <c r="D365" s="1"/>
      <c r="E365" s="1"/>
      <c r="F365" s="1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ht="16.5" customHeight="1">
      <c r="A366" s="1"/>
      <c r="B366" s="1"/>
      <c r="C366" s="1"/>
      <c r="D366" s="1"/>
      <c r="E366" s="1"/>
      <c r="F366" s="1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ht="16.5" customHeight="1">
      <c r="A367" s="1"/>
      <c r="B367" s="1"/>
      <c r="C367" s="1"/>
      <c r="D367" s="1"/>
      <c r="E367" s="1"/>
      <c r="F367" s="1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ht="16.5" customHeight="1">
      <c r="A368" s="1"/>
      <c r="B368" s="1"/>
      <c r="C368" s="1"/>
      <c r="D368" s="1"/>
      <c r="E368" s="1"/>
      <c r="F368" s="1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ht="16.5" customHeight="1">
      <c r="A369" s="1"/>
      <c r="B369" s="1"/>
      <c r="C369" s="1"/>
      <c r="D369" s="1"/>
      <c r="E369" s="1"/>
      <c r="F369" s="1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ht="16.5" customHeight="1">
      <c r="A370" s="1"/>
      <c r="B370" s="1"/>
      <c r="C370" s="1"/>
      <c r="D370" s="1"/>
      <c r="E370" s="1"/>
      <c r="F370" s="1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ht="16.5" customHeight="1">
      <c r="A371" s="1"/>
      <c r="B371" s="1"/>
      <c r="C371" s="1"/>
      <c r="D371" s="1"/>
      <c r="E371" s="1"/>
      <c r="F371" s="1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ht="16.5" customHeight="1">
      <c r="A372" s="1"/>
      <c r="B372" s="1"/>
      <c r="C372" s="1"/>
      <c r="D372" s="1"/>
      <c r="E372" s="1"/>
      <c r="F372" s="1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ht="16.5" customHeight="1">
      <c r="A373" s="1"/>
      <c r="B373" s="1"/>
      <c r="C373" s="1"/>
      <c r="D373" s="1"/>
      <c r="E373" s="1"/>
      <c r="F373" s="1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ht="16.5" customHeight="1">
      <c r="A374" s="1"/>
      <c r="B374" s="1"/>
      <c r="C374" s="1"/>
      <c r="D374" s="1"/>
      <c r="E374" s="1"/>
      <c r="F374" s="1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ht="16.5" customHeight="1">
      <c r="A375" s="1"/>
      <c r="B375" s="1"/>
      <c r="C375" s="1"/>
      <c r="D375" s="1"/>
      <c r="E375" s="1"/>
      <c r="F375" s="1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ht="16.5" customHeight="1">
      <c r="A376" s="1"/>
      <c r="B376" s="1"/>
      <c r="C376" s="1"/>
      <c r="D376" s="1"/>
      <c r="E376" s="1"/>
      <c r="F376" s="1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ht="16.5" customHeight="1">
      <c r="A377" s="1"/>
      <c r="B377" s="1"/>
      <c r="C377" s="1"/>
      <c r="D377" s="1"/>
      <c r="E377" s="1"/>
      <c r="F377" s="1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ht="16.5" customHeight="1">
      <c r="A378" s="1"/>
      <c r="B378" s="1"/>
      <c r="C378" s="1"/>
      <c r="D378" s="1"/>
      <c r="E378" s="1"/>
      <c r="F378" s="1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ht="16.5" customHeight="1">
      <c r="A379" s="1"/>
      <c r="B379" s="1"/>
      <c r="C379" s="1"/>
      <c r="D379" s="1"/>
      <c r="E379" s="1"/>
      <c r="F379" s="1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ht="16.5" customHeight="1">
      <c r="A380" s="1"/>
      <c r="B380" s="1"/>
      <c r="C380" s="1"/>
      <c r="D380" s="1"/>
      <c r="E380" s="1"/>
      <c r="F380" s="1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ht="16.5" customHeight="1">
      <c r="A381" s="1"/>
      <c r="B381" s="1"/>
      <c r="C381" s="1"/>
      <c r="D381" s="1"/>
      <c r="E381" s="1"/>
      <c r="F381" s="1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ht="16.5" customHeight="1">
      <c r="A382" s="1"/>
      <c r="B382" s="1"/>
      <c r="C382" s="1"/>
      <c r="D382" s="1"/>
      <c r="E382" s="1"/>
      <c r="F382" s="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ht="16.5" customHeight="1">
      <c r="A383" s="1"/>
      <c r="B383" s="1"/>
      <c r="C383" s="1"/>
      <c r="D383" s="1"/>
      <c r="E383" s="1"/>
      <c r="F383" s="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ht="16.5" customHeight="1">
      <c r="A384" s="1"/>
      <c r="B384" s="1"/>
      <c r="C384" s="1"/>
      <c r="D384" s="1"/>
      <c r="E384" s="1"/>
      <c r="F384" s="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ht="16.5" customHeight="1">
      <c r="A385" s="1"/>
      <c r="B385" s="1"/>
      <c r="C385" s="1"/>
      <c r="D385" s="1"/>
      <c r="E385" s="1"/>
      <c r="F385" s="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ht="16.5" customHeight="1">
      <c r="A386" s="1"/>
      <c r="B386" s="1"/>
      <c r="C386" s="1"/>
      <c r="D386" s="1"/>
      <c r="E386" s="1"/>
      <c r="F386" s="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ht="16.5" customHeight="1">
      <c r="A387" s="1"/>
      <c r="B387" s="1"/>
      <c r="C387" s="1"/>
      <c r="D387" s="1"/>
      <c r="E387" s="1"/>
      <c r="F387" s="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ht="16.5" customHeight="1">
      <c r="A388" s="1"/>
      <c r="B388" s="1"/>
      <c r="C388" s="1"/>
      <c r="D388" s="1"/>
      <c r="E388" s="1"/>
      <c r="F388" s="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ht="16.5" customHeight="1">
      <c r="A389" s="1"/>
      <c r="B389" s="1"/>
      <c r="C389" s="1"/>
      <c r="D389" s="1"/>
      <c r="E389" s="1"/>
      <c r="F389" s="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ht="16.5" customHeight="1">
      <c r="A390" s="1"/>
      <c r="B390" s="1"/>
      <c r="C390" s="1"/>
      <c r="D390" s="1"/>
      <c r="E390" s="1"/>
      <c r="F390" s="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ht="16.5" customHeight="1">
      <c r="A391" s="1"/>
      <c r="B391" s="1"/>
      <c r="C391" s="1"/>
      <c r="D391" s="1"/>
      <c r="E391" s="1"/>
      <c r="F391" s="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ht="16.5" customHeight="1">
      <c r="A392" s="1"/>
      <c r="B392" s="1"/>
      <c r="C392" s="1"/>
      <c r="D392" s="1"/>
      <c r="E392" s="1"/>
      <c r="F392" s="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ht="16.5" customHeight="1">
      <c r="A393" s="1"/>
      <c r="B393" s="1"/>
      <c r="C393" s="1"/>
      <c r="D393" s="1"/>
      <c r="E393" s="1"/>
      <c r="F393" s="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ht="16.5" customHeight="1">
      <c r="A394" s="1"/>
      <c r="B394" s="1"/>
      <c r="C394" s="1"/>
      <c r="D394" s="1"/>
      <c r="E394" s="1"/>
      <c r="F394" s="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ht="16.5" customHeight="1">
      <c r="A395" s="1"/>
      <c r="B395" s="1"/>
      <c r="C395" s="1"/>
      <c r="D395" s="1"/>
      <c r="E395" s="1"/>
      <c r="F395" s="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ht="16.5" customHeight="1">
      <c r="A396" s="1"/>
      <c r="B396" s="1"/>
      <c r="C396" s="1"/>
      <c r="D396" s="1"/>
      <c r="E396" s="1"/>
      <c r="F396" s="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ht="16.5" customHeight="1">
      <c r="A397" s="1"/>
      <c r="B397" s="1"/>
      <c r="C397" s="1"/>
      <c r="D397" s="1"/>
      <c r="E397" s="1"/>
      <c r="F397" s="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ht="16.5" customHeight="1">
      <c r="A398" s="1"/>
      <c r="B398" s="1"/>
      <c r="C398" s="1"/>
      <c r="D398" s="1"/>
      <c r="E398" s="1"/>
      <c r="F398" s="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ht="16.5" customHeight="1">
      <c r="A399" s="1"/>
      <c r="B399" s="1"/>
      <c r="C399" s="1"/>
      <c r="D399" s="1"/>
      <c r="E399" s="1"/>
      <c r="F399" s="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ht="16.5" customHeight="1">
      <c r="A400" s="1"/>
      <c r="B400" s="1"/>
      <c r="C400" s="1"/>
      <c r="D400" s="1"/>
      <c r="E400" s="1"/>
      <c r="F400" s="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ht="16.5" customHeight="1">
      <c r="A401" s="1"/>
      <c r="B401" s="1"/>
      <c r="C401" s="1"/>
      <c r="D401" s="1"/>
      <c r="E401" s="1"/>
      <c r="F401" s="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ht="16.5" customHeight="1">
      <c r="A402" s="1"/>
      <c r="B402" s="1"/>
      <c r="C402" s="1"/>
      <c r="D402" s="1"/>
      <c r="E402" s="1"/>
      <c r="F402" s="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ht="16.5" customHeight="1">
      <c r="A403" s="1"/>
      <c r="B403" s="1"/>
      <c r="C403" s="1"/>
      <c r="D403" s="1"/>
      <c r="E403" s="1"/>
      <c r="F403" s="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ht="16.5" customHeight="1">
      <c r="A404" s="1"/>
      <c r="B404" s="1"/>
      <c r="C404" s="1"/>
      <c r="D404" s="1"/>
      <c r="E404" s="1"/>
      <c r="F404" s="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ht="16.5" customHeight="1">
      <c r="A405" s="1"/>
      <c r="B405" s="1"/>
      <c r="C405" s="1"/>
      <c r="D405" s="1"/>
      <c r="E405" s="1"/>
      <c r="F405" s="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ht="16.5" customHeight="1">
      <c r="A406" s="1"/>
      <c r="B406" s="1"/>
      <c r="C406" s="1"/>
      <c r="D406" s="1"/>
      <c r="E406" s="1"/>
      <c r="F406" s="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ht="16.5" customHeight="1">
      <c r="A407" s="1"/>
      <c r="B407" s="1"/>
      <c r="C407" s="1"/>
      <c r="D407" s="1"/>
      <c r="E407" s="1"/>
      <c r="F407" s="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ht="16.5" customHeight="1">
      <c r="A408" s="1"/>
      <c r="B408" s="1"/>
      <c r="C408" s="1"/>
      <c r="D408" s="1"/>
      <c r="E408" s="1"/>
      <c r="F408" s="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ht="16.5" customHeight="1">
      <c r="A409" s="1"/>
      <c r="B409" s="1"/>
      <c r="C409" s="1"/>
      <c r="D409" s="1"/>
      <c r="E409" s="1"/>
      <c r="F409" s="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ht="16.5" customHeight="1">
      <c r="A410" s="1"/>
      <c r="B410" s="1"/>
      <c r="C410" s="1"/>
      <c r="D410" s="1"/>
      <c r="E410" s="1"/>
      <c r="F410" s="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ht="16.5" customHeight="1">
      <c r="A411" s="1"/>
      <c r="B411" s="1"/>
      <c r="C411" s="1"/>
      <c r="D411" s="1"/>
      <c r="E411" s="1"/>
      <c r="F411" s="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ht="16.5" customHeight="1">
      <c r="A412" s="1"/>
      <c r="B412" s="1"/>
      <c r="C412" s="1"/>
      <c r="D412" s="1"/>
      <c r="E412" s="1"/>
      <c r="F412" s="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ht="16.5" customHeight="1">
      <c r="A413" s="1"/>
      <c r="B413" s="1"/>
      <c r="C413" s="1"/>
      <c r="D413" s="1"/>
      <c r="E413" s="1"/>
      <c r="F413" s="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ht="16.5" customHeight="1">
      <c r="A414" s="1"/>
      <c r="B414" s="1"/>
      <c r="C414" s="1"/>
      <c r="D414" s="1"/>
      <c r="E414" s="1"/>
      <c r="F414" s="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ht="16.5" customHeight="1">
      <c r="A415" s="1"/>
      <c r="B415" s="1"/>
      <c r="C415" s="1"/>
      <c r="D415" s="1"/>
      <c r="E415" s="1"/>
      <c r="F415" s="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ht="16.5" customHeight="1">
      <c r="A416" s="1"/>
      <c r="B416" s="1"/>
      <c r="C416" s="1"/>
      <c r="D416" s="1"/>
      <c r="E416" s="1"/>
      <c r="F416" s="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ht="16.5" customHeight="1">
      <c r="A417" s="1"/>
      <c r="B417" s="1"/>
      <c r="C417" s="1"/>
      <c r="D417" s="1"/>
      <c r="E417" s="1"/>
      <c r="F417" s="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ht="16.5" customHeight="1">
      <c r="A418" s="1"/>
      <c r="B418" s="1"/>
      <c r="C418" s="1"/>
      <c r="D418" s="1"/>
      <c r="E418" s="1"/>
      <c r="F418" s="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ht="16.5" customHeight="1">
      <c r="A419" s="1"/>
      <c r="B419" s="1"/>
      <c r="C419" s="1"/>
      <c r="D419" s="1"/>
      <c r="E419" s="1"/>
      <c r="F419" s="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ht="16.5" customHeight="1">
      <c r="A420" s="1"/>
      <c r="B420" s="1"/>
      <c r="C420" s="1"/>
      <c r="D420" s="1"/>
      <c r="E420" s="1"/>
      <c r="F420" s="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ht="16.5" customHeight="1">
      <c r="A421" s="1"/>
      <c r="B421" s="1"/>
      <c r="C421" s="1"/>
      <c r="D421" s="1"/>
      <c r="E421" s="1"/>
      <c r="F421" s="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ht="16.5" customHeight="1">
      <c r="A422" s="1"/>
      <c r="B422" s="1"/>
      <c r="C422" s="1"/>
      <c r="D422" s="1"/>
      <c r="E422" s="1"/>
      <c r="F422" s="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ht="16.5" customHeight="1">
      <c r="A423" s="1"/>
      <c r="B423" s="1"/>
      <c r="C423" s="1"/>
      <c r="D423" s="1"/>
      <c r="E423" s="1"/>
      <c r="F423" s="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ht="16.5" customHeight="1">
      <c r="A424" s="1"/>
      <c r="B424" s="1"/>
      <c r="C424" s="1"/>
      <c r="D424" s="1"/>
      <c r="E424" s="1"/>
      <c r="F424" s="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ht="16.5" customHeight="1">
      <c r="A425" s="1"/>
      <c r="B425" s="1"/>
      <c r="C425" s="1"/>
      <c r="D425" s="1"/>
      <c r="E425" s="1"/>
      <c r="F425" s="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ht="16.5" customHeight="1">
      <c r="A426" s="1"/>
      <c r="B426" s="1"/>
      <c r="C426" s="1"/>
      <c r="D426" s="1"/>
      <c r="E426" s="1"/>
      <c r="F426" s="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ht="16.5" customHeight="1">
      <c r="A427" s="1"/>
      <c r="B427" s="1"/>
      <c r="C427" s="1"/>
      <c r="D427" s="1"/>
      <c r="E427" s="1"/>
      <c r="F427" s="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ht="16.5" customHeight="1">
      <c r="A428" s="1"/>
      <c r="B428" s="1"/>
      <c r="C428" s="1"/>
      <c r="D428" s="1"/>
      <c r="E428" s="1"/>
      <c r="F428" s="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ht="16.5" customHeight="1">
      <c r="A429" s="1"/>
      <c r="B429" s="1"/>
      <c r="C429" s="1"/>
      <c r="D429" s="1"/>
      <c r="E429" s="1"/>
      <c r="F429" s="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ht="16.5" customHeight="1">
      <c r="A430" s="1"/>
      <c r="B430" s="1"/>
      <c r="C430" s="1"/>
      <c r="D430" s="1"/>
      <c r="E430" s="1"/>
      <c r="F430" s="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ht="16.5" customHeight="1">
      <c r="A431" s="1"/>
      <c r="B431" s="1"/>
      <c r="C431" s="1"/>
      <c r="D431" s="1"/>
      <c r="E431" s="1"/>
      <c r="F431" s="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ht="16.5" customHeight="1">
      <c r="A432" s="1"/>
      <c r="B432" s="1"/>
      <c r="C432" s="1"/>
      <c r="D432" s="1"/>
      <c r="E432" s="1"/>
      <c r="F432" s="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ht="16.5" customHeight="1">
      <c r="A433" s="1"/>
      <c r="B433" s="1"/>
      <c r="C433" s="1"/>
      <c r="D433" s="1"/>
      <c r="E433" s="1"/>
      <c r="F433" s="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ht="16.5" customHeight="1">
      <c r="A434" s="1"/>
      <c r="B434" s="1"/>
      <c r="C434" s="1"/>
      <c r="D434" s="1"/>
      <c r="E434" s="1"/>
      <c r="F434" s="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ht="16.5" customHeight="1">
      <c r="A435" s="1"/>
      <c r="B435" s="1"/>
      <c r="C435" s="1"/>
      <c r="D435" s="1"/>
      <c r="E435" s="1"/>
      <c r="F435" s="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ht="16.5" customHeight="1">
      <c r="A436" s="1"/>
      <c r="B436" s="1"/>
      <c r="C436" s="1"/>
      <c r="D436" s="1"/>
      <c r="E436" s="1"/>
      <c r="F436" s="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ht="16.5" customHeight="1">
      <c r="A437" s="1"/>
      <c r="B437" s="1"/>
      <c r="C437" s="1"/>
      <c r="D437" s="1"/>
      <c r="E437" s="1"/>
      <c r="F437" s="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ht="16.5" customHeight="1">
      <c r="A438" s="1"/>
      <c r="B438" s="1"/>
      <c r="C438" s="1"/>
      <c r="D438" s="1"/>
      <c r="E438" s="1"/>
      <c r="F438" s="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ht="16.5" customHeight="1">
      <c r="A439" s="1"/>
      <c r="B439" s="1"/>
      <c r="C439" s="1"/>
      <c r="D439" s="1"/>
      <c r="E439" s="1"/>
      <c r="F439" s="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ht="16.5" customHeight="1">
      <c r="A440" s="1"/>
      <c r="B440" s="1"/>
      <c r="C440" s="1"/>
      <c r="D440" s="1"/>
      <c r="E440" s="1"/>
      <c r="F440" s="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ht="16.5" customHeight="1">
      <c r="A441" s="1"/>
      <c r="B441" s="1"/>
      <c r="C441" s="1"/>
      <c r="D441" s="1"/>
      <c r="E441" s="1"/>
      <c r="F441" s="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ht="16.5" customHeight="1">
      <c r="A442" s="1"/>
      <c r="B442" s="1"/>
      <c r="C442" s="1"/>
      <c r="D442" s="1"/>
      <c r="E442" s="1"/>
      <c r="F442" s="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ht="16.5" customHeight="1">
      <c r="A443" s="1"/>
      <c r="B443" s="1"/>
      <c r="C443" s="1"/>
      <c r="D443" s="1"/>
      <c r="E443" s="1"/>
      <c r="F443" s="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ht="16.5" customHeight="1">
      <c r="A444" s="1"/>
      <c r="B444" s="1"/>
      <c r="C444" s="1"/>
      <c r="D444" s="1"/>
      <c r="E444" s="1"/>
      <c r="F444" s="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ht="16.5" customHeight="1">
      <c r="A445" s="1"/>
      <c r="B445" s="1"/>
      <c r="C445" s="1"/>
      <c r="D445" s="1"/>
      <c r="E445" s="1"/>
      <c r="F445" s="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ht="16.5" customHeight="1">
      <c r="A446" s="1"/>
      <c r="B446" s="1"/>
      <c r="C446" s="1"/>
      <c r="D446" s="1"/>
      <c r="E446" s="1"/>
      <c r="F446" s="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ht="16.5" customHeight="1">
      <c r="A447" s="1"/>
      <c r="B447" s="1"/>
      <c r="C447" s="1"/>
      <c r="D447" s="1"/>
      <c r="E447" s="1"/>
      <c r="F447" s="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ht="16.5" customHeight="1">
      <c r="A448" s="1"/>
      <c r="B448" s="1"/>
      <c r="C448" s="1"/>
      <c r="D448" s="1"/>
      <c r="E448" s="1"/>
      <c r="F448" s="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ht="16.5" customHeight="1">
      <c r="A449" s="1"/>
      <c r="B449" s="1"/>
      <c r="C449" s="1"/>
      <c r="D449" s="1"/>
      <c r="E449" s="1"/>
      <c r="F449" s="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ht="16.5" customHeight="1">
      <c r="A450" s="1"/>
      <c r="B450" s="1"/>
      <c r="C450" s="1"/>
      <c r="D450" s="1"/>
      <c r="E450" s="1"/>
      <c r="F450" s="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ht="16.5" customHeight="1">
      <c r="A451" s="1"/>
      <c r="B451" s="1"/>
      <c r="C451" s="1"/>
      <c r="D451" s="1"/>
      <c r="E451" s="1"/>
      <c r="F451" s="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ht="16.5" customHeight="1">
      <c r="A452" s="1"/>
      <c r="B452" s="1"/>
      <c r="C452" s="1"/>
      <c r="D452" s="1"/>
      <c r="E452" s="1"/>
      <c r="F452" s="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ht="16.5" customHeight="1">
      <c r="A453" s="1"/>
      <c r="B453" s="1"/>
      <c r="C453" s="1"/>
      <c r="D453" s="1"/>
      <c r="E453" s="1"/>
      <c r="F453" s="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ht="16.5" customHeight="1">
      <c r="A454" s="1"/>
      <c r="B454" s="1"/>
      <c r="C454" s="1"/>
      <c r="D454" s="1"/>
      <c r="E454" s="1"/>
      <c r="F454" s="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ht="16.5" customHeight="1">
      <c r="A455" s="1"/>
      <c r="B455" s="1"/>
      <c r="C455" s="1"/>
      <c r="D455" s="1"/>
      <c r="E455" s="1"/>
      <c r="F455" s="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ht="16.5" customHeight="1">
      <c r="A456" s="1"/>
      <c r="B456" s="1"/>
      <c r="C456" s="1"/>
      <c r="D456" s="1"/>
      <c r="E456" s="1"/>
      <c r="F456" s="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ht="16.5" customHeight="1">
      <c r="A457" s="1"/>
      <c r="B457" s="1"/>
      <c r="C457" s="1"/>
      <c r="D457" s="1"/>
      <c r="E457" s="1"/>
      <c r="F457" s="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ht="16.5" customHeight="1">
      <c r="A458" s="1"/>
      <c r="B458" s="1"/>
      <c r="C458" s="1"/>
      <c r="D458" s="1"/>
      <c r="E458" s="1"/>
      <c r="F458" s="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ht="16.5" customHeight="1">
      <c r="A459" s="1"/>
      <c r="B459" s="1"/>
      <c r="C459" s="1"/>
      <c r="D459" s="1"/>
      <c r="E459" s="1"/>
      <c r="F459" s="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ht="16.5" customHeight="1">
      <c r="A460" s="1"/>
      <c r="B460" s="1"/>
      <c r="C460" s="1"/>
      <c r="D460" s="1"/>
      <c r="E460" s="1"/>
      <c r="F460" s="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ht="16.5" customHeight="1">
      <c r="A461" s="1"/>
      <c r="B461" s="1"/>
      <c r="C461" s="1"/>
      <c r="D461" s="1"/>
      <c r="E461" s="1"/>
      <c r="F461" s="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ht="16.5" customHeight="1">
      <c r="A462" s="1"/>
      <c r="B462" s="1"/>
      <c r="C462" s="1"/>
      <c r="D462" s="1"/>
      <c r="E462" s="1"/>
      <c r="F462" s="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ht="16.5" customHeight="1">
      <c r="A463" s="1"/>
      <c r="B463" s="1"/>
      <c r="C463" s="1"/>
      <c r="D463" s="1"/>
      <c r="E463" s="1"/>
      <c r="F463" s="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ht="16.5" customHeight="1">
      <c r="A464" s="1"/>
      <c r="B464" s="1"/>
      <c r="C464" s="1"/>
      <c r="D464" s="1"/>
      <c r="E464" s="1"/>
      <c r="F464" s="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ht="16.5" customHeight="1">
      <c r="A465" s="1"/>
      <c r="B465" s="1"/>
      <c r="C465" s="1"/>
      <c r="D465" s="1"/>
      <c r="E465" s="1"/>
      <c r="F465" s="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ht="16.5" customHeight="1">
      <c r="A466" s="1"/>
      <c r="B466" s="1"/>
      <c r="C466" s="1"/>
      <c r="D466" s="1"/>
      <c r="E466" s="1"/>
      <c r="F466" s="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ht="16.5" customHeight="1">
      <c r="A467" s="1"/>
      <c r="B467" s="1"/>
      <c r="C467" s="1"/>
      <c r="D467" s="1"/>
      <c r="E467" s="1"/>
      <c r="F467" s="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ht="16.5" customHeight="1">
      <c r="A468" s="1"/>
      <c r="B468" s="1"/>
      <c r="C468" s="1"/>
      <c r="D468" s="1"/>
      <c r="E468" s="1"/>
      <c r="F468" s="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ht="16.5" customHeight="1">
      <c r="A469" s="1"/>
      <c r="B469" s="1"/>
      <c r="C469" s="1"/>
      <c r="D469" s="1"/>
      <c r="E469" s="1"/>
      <c r="F469" s="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ht="16.5" customHeight="1">
      <c r="A470" s="1"/>
      <c r="B470" s="1"/>
      <c r="C470" s="1"/>
      <c r="D470" s="1"/>
      <c r="E470" s="1"/>
      <c r="F470" s="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ht="16.5" customHeight="1">
      <c r="A471" s="1"/>
      <c r="B471" s="1"/>
      <c r="C471" s="1"/>
      <c r="D471" s="1"/>
      <c r="E471" s="1"/>
      <c r="F471" s="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ht="16.5" customHeight="1">
      <c r="A472" s="1"/>
      <c r="B472" s="1"/>
      <c r="C472" s="1"/>
      <c r="D472" s="1"/>
      <c r="E472" s="1"/>
      <c r="F472" s="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ht="16.5" customHeight="1">
      <c r="A473" s="1"/>
      <c r="B473" s="1"/>
      <c r="C473" s="1"/>
      <c r="D473" s="1"/>
      <c r="E473" s="1"/>
      <c r="F473" s="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ht="16.5" customHeight="1">
      <c r="A474" s="1"/>
      <c r="B474" s="1"/>
      <c r="C474" s="1"/>
      <c r="D474" s="1"/>
      <c r="E474" s="1"/>
      <c r="F474" s="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ht="16.5" customHeight="1">
      <c r="A475" s="1"/>
      <c r="B475" s="1"/>
      <c r="C475" s="1"/>
      <c r="D475" s="1"/>
      <c r="E475" s="1"/>
      <c r="F475" s="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ht="16.5" customHeight="1">
      <c r="A476" s="1"/>
      <c r="B476" s="1"/>
      <c r="C476" s="1"/>
      <c r="D476" s="1"/>
      <c r="E476" s="1"/>
      <c r="F476" s="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ht="16.5" customHeight="1">
      <c r="A477" s="1"/>
      <c r="B477" s="1"/>
      <c r="C477" s="1"/>
      <c r="D477" s="1"/>
      <c r="E477" s="1"/>
      <c r="F477" s="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ht="16.5" customHeight="1">
      <c r="A478" s="1"/>
      <c r="B478" s="1"/>
      <c r="C478" s="1"/>
      <c r="D478" s="1"/>
      <c r="E478" s="1"/>
      <c r="F478" s="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ht="16.5" customHeight="1">
      <c r="A479" s="1"/>
      <c r="B479" s="1"/>
      <c r="C479" s="1"/>
      <c r="D479" s="1"/>
      <c r="E479" s="1"/>
      <c r="F479" s="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ht="16.5" customHeight="1">
      <c r="A480" s="1"/>
      <c r="B480" s="1"/>
      <c r="C480" s="1"/>
      <c r="D480" s="1"/>
      <c r="E480" s="1"/>
      <c r="F480" s="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ht="16.5" customHeight="1">
      <c r="A481" s="1"/>
      <c r="B481" s="1"/>
      <c r="C481" s="1"/>
      <c r="D481" s="1"/>
      <c r="E481" s="1"/>
      <c r="F481" s="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ht="16.5" customHeight="1">
      <c r="A482" s="1"/>
      <c r="B482" s="1"/>
      <c r="C482" s="1"/>
      <c r="D482" s="1"/>
      <c r="E482" s="1"/>
      <c r="F482" s="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ht="16.5" customHeight="1">
      <c r="A483" s="1"/>
      <c r="B483" s="1"/>
      <c r="C483" s="1"/>
      <c r="D483" s="1"/>
      <c r="E483" s="1"/>
      <c r="F483" s="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ht="16.5" customHeight="1">
      <c r="A484" s="1"/>
      <c r="B484" s="1"/>
      <c r="C484" s="1"/>
      <c r="D484" s="1"/>
      <c r="E484" s="1"/>
      <c r="F484" s="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ht="16.5" customHeight="1">
      <c r="A485" s="1"/>
      <c r="B485" s="1"/>
      <c r="C485" s="1"/>
      <c r="D485" s="1"/>
      <c r="E485" s="1"/>
      <c r="F485" s="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ht="16.5" customHeight="1">
      <c r="A486" s="1"/>
      <c r="B486" s="1"/>
      <c r="C486" s="1"/>
      <c r="D486" s="1"/>
      <c r="E486" s="1"/>
      <c r="F486" s="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ht="16.5" customHeight="1">
      <c r="A487" s="1"/>
      <c r="B487" s="1"/>
      <c r="C487" s="1"/>
      <c r="D487" s="1"/>
      <c r="E487" s="1"/>
      <c r="F487" s="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ht="16.5" customHeight="1">
      <c r="A488" s="1"/>
      <c r="B488" s="1"/>
      <c r="C488" s="1"/>
      <c r="D488" s="1"/>
      <c r="E488" s="1"/>
      <c r="F488" s="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ht="16.5" customHeight="1">
      <c r="A489" s="1"/>
      <c r="B489" s="1"/>
      <c r="C489" s="1"/>
      <c r="D489" s="1"/>
      <c r="E489" s="1"/>
      <c r="F489" s="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ht="16.5" customHeight="1">
      <c r="A490" s="1"/>
      <c r="B490" s="1"/>
      <c r="C490" s="1"/>
      <c r="D490" s="1"/>
      <c r="E490" s="1"/>
      <c r="F490" s="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ht="16.5" customHeight="1">
      <c r="A491" s="1"/>
      <c r="B491" s="1"/>
      <c r="C491" s="1"/>
      <c r="D491" s="1"/>
      <c r="E491" s="1"/>
      <c r="F491" s="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ht="16.5" customHeight="1">
      <c r="A492" s="1"/>
      <c r="B492" s="1"/>
      <c r="C492" s="1"/>
      <c r="D492" s="1"/>
      <c r="E492" s="1"/>
      <c r="F492" s="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ht="16.5" customHeight="1">
      <c r="A493" s="1"/>
      <c r="B493" s="1"/>
      <c r="C493" s="1"/>
      <c r="D493" s="1"/>
      <c r="E493" s="1"/>
      <c r="F493" s="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ht="16.5" customHeight="1">
      <c r="A494" s="1"/>
      <c r="B494" s="1"/>
      <c r="C494" s="1"/>
      <c r="D494" s="1"/>
      <c r="E494" s="1"/>
      <c r="F494" s="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ht="16.5" customHeight="1">
      <c r="A495" s="1"/>
      <c r="B495" s="1"/>
      <c r="C495" s="1"/>
      <c r="D495" s="1"/>
      <c r="E495" s="1"/>
      <c r="F495" s="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ht="16.5" customHeight="1">
      <c r="A496" s="1"/>
      <c r="B496" s="1"/>
      <c r="C496" s="1"/>
      <c r="D496" s="1"/>
      <c r="E496" s="1"/>
      <c r="F496" s="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ht="16.5" customHeight="1">
      <c r="A497" s="1"/>
      <c r="B497" s="1"/>
      <c r="C497" s="1"/>
      <c r="D497" s="1"/>
      <c r="E497" s="1"/>
      <c r="F497" s="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ht="16.5" customHeight="1">
      <c r="A498" s="1"/>
      <c r="B498" s="1"/>
      <c r="C498" s="1"/>
      <c r="D498" s="1"/>
      <c r="E498" s="1"/>
      <c r="F498" s="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ht="16.5" customHeight="1">
      <c r="A499" s="1"/>
      <c r="B499" s="1"/>
      <c r="C499" s="1"/>
      <c r="D499" s="1"/>
      <c r="E499" s="1"/>
      <c r="F499" s="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ht="16.5" customHeight="1">
      <c r="A500" s="1"/>
      <c r="B500" s="1"/>
      <c r="C500" s="1"/>
      <c r="D500" s="1"/>
      <c r="E500" s="1"/>
      <c r="F500" s="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ht="16.5" customHeight="1">
      <c r="A501" s="1"/>
      <c r="B501" s="1"/>
      <c r="C501" s="1"/>
      <c r="D501" s="1"/>
      <c r="E501" s="1"/>
      <c r="F501" s="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ht="16.5" customHeight="1">
      <c r="A502" s="1"/>
      <c r="B502" s="1"/>
      <c r="C502" s="1"/>
      <c r="D502" s="1"/>
      <c r="E502" s="1"/>
      <c r="F502" s="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ht="16.5" customHeight="1">
      <c r="A503" s="1"/>
      <c r="B503" s="1"/>
      <c r="C503" s="1"/>
      <c r="D503" s="1"/>
      <c r="E503" s="1"/>
      <c r="F503" s="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ht="16.5" customHeight="1">
      <c r="A504" s="1"/>
      <c r="B504" s="1"/>
      <c r="C504" s="1"/>
      <c r="D504" s="1"/>
      <c r="E504" s="1"/>
      <c r="F504" s="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ht="16.5" customHeight="1">
      <c r="A505" s="1"/>
      <c r="B505" s="1"/>
      <c r="C505" s="1"/>
      <c r="D505" s="1"/>
      <c r="E505" s="1"/>
      <c r="F505" s="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ht="16.5" customHeight="1">
      <c r="A506" s="1"/>
      <c r="B506" s="1"/>
      <c r="C506" s="1"/>
      <c r="D506" s="1"/>
      <c r="E506" s="1"/>
      <c r="F506" s="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ht="16.5" customHeight="1">
      <c r="A507" s="1"/>
      <c r="B507" s="1"/>
      <c r="C507" s="1"/>
      <c r="D507" s="1"/>
      <c r="E507" s="1"/>
      <c r="F507" s="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ht="16.5" customHeight="1">
      <c r="A508" s="1"/>
      <c r="B508" s="1"/>
      <c r="C508" s="1"/>
      <c r="D508" s="1"/>
      <c r="E508" s="1"/>
      <c r="F508" s="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ht="16.5" customHeight="1">
      <c r="A509" s="1"/>
      <c r="B509" s="1"/>
      <c r="C509" s="1"/>
      <c r="D509" s="1"/>
      <c r="E509" s="1"/>
      <c r="F509" s="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ht="16.5" customHeight="1">
      <c r="A510" s="1"/>
      <c r="B510" s="1"/>
      <c r="C510" s="1"/>
      <c r="D510" s="1"/>
      <c r="E510" s="1"/>
      <c r="F510" s="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ht="16.5" customHeight="1">
      <c r="A511" s="1"/>
      <c r="B511" s="1"/>
      <c r="C511" s="1"/>
      <c r="D511" s="1"/>
      <c r="E511" s="1"/>
      <c r="F511" s="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ht="16.5" customHeight="1">
      <c r="A512" s="1"/>
      <c r="B512" s="1"/>
      <c r="C512" s="1"/>
      <c r="D512" s="1"/>
      <c r="E512" s="1"/>
      <c r="F512" s="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ht="16.5" customHeight="1">
      <c r="A513" s="1"/>
      <c r="B513" s="1"/>
      <c r="C513" s="1"/>
      <c r="D513" s="1"/>
      <c r="E513" s="1"/>
      <c r="F513" s="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ht="16.5" customHeight="1">
      <c r="A514" s="1"/>
      <c r="B514" s="1"/>
      <c r="C514" s="1"/>
      <c r="D514" s="1"/>
      <c r="E514" s="1"/>
      <c r="F514" s="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ht="16.5" customHeight="1">
      <c r="A515" s="1"/>
      <c r="B515" s="1"/>
      <c r="C515" s="1"/>
      <c r="D515" s="1"/>
      <c r="E515" s="1"/>
      <c r="F515" s="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ht="16.5" customHeight="1">
      <c r="A516" s="1"/>
      <c r="B516" s="1"/>
      <c r="C516" s="1"/>
      <c r="D516" s="1"/>
      <c r="E516" s="1"/>
      <c r="F516" s="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ht="16.5" customHeight="1">
      <c r="A517" s="1"/>
      <c r="B517" s="1"/>
      <c r="C517" s="1"/>
      <c r="D517" s="1"/>
      <c r="E517" s="1"/>
      <c r="F517" s="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ht="16.5" customHeight="1">
      <c r="A518" s="1"/>
      <c r="B518" s="1"/>
      <c r="C518" s="1"/>
      <c r="D518" s="1"/>
      <c r="E518" s="1"/>
      <c r="F518" s="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ht="16.5" customHeight="1">
      <c r="A519" s="1"/>
      <c r="B519" s="1"/>
      <c r="C519" s="1"/>
      <c r="D519" s="1"/>
      <c r="E519" s="1"/>
      <c r="F519" s="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ht="16.5" customHeight="1">
      <c r="A520" s="1"/>
      <c r="B520" s="1"/>
      <c r="C520" s="1"/>
      <c r="D520" s="1"/>
      <c r="E520" s="1"/>
      <c r="F520" s="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ht="16.5" customHeight="1">
      <c r="A521" s="1"/>
      <c r="B521" s="1"/>
      <c r="C521" s="1"/>
      <c r="D521" s="1"/>
      <c r="E521" s="1"/>
      <c r="F521" s="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ht="16.5" customHeight="1">
      <c r="A522" s="1"/>
      <c r="B522" s="1"/>
      <c r="C522" s="1"/>
      <c r="D522" s="1"/>
      <c r="E522" s="1"/>
      <c r="F522" s="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ht="16.5" customHeight="1">
      <c r="A523" s="1"/>
      <c r="B523" s="1"/>
      <c r="C523" s="1"/>
      <c r="D523" s="1"/>
      <c r="E523" s="1"/>
      <c r="F523" s="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ht="16.5" customHeight="1">
      <c r="A524" s="1"/>
      <c r="B524" s="1"/>
      <c r="C524" s="1"/>
      <c r="D524" s="1"/>
      <c r="E524" s="1"/>
      <c r="F524" s="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ht="16.5" customHeight="1">
      <c r="A525" s="1"/>
      <c r="B525" s="1"/>
      <c r="C525" s="1"/>
      <c r="D525" s="1"/>
      <c r="E525" s="1"/>
      <c r="F525" s="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ht="16.5" customHeight="1">
      <c r="A526" s="1"/>
      <c r="B526" s="1"/>
      <c r="C526" s="1"/>
      <c r="D526" s="1"/>
      <c r="E526" s="1"/>
      <c r="F526" s="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ht="16.5" customHeight="1">
      <c r="A527" s="1"/>
      <c r="B527" s="1"/>
      <c r="C527" s="1"/>
      <c r="D527" s="1"/>
      <c r="E527" s="1"/>
      <c r="F527" s="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ht="16.5" customHeight="1">
      <c r="A528" s="1"/>
      <c r="B528" s="1"/>
      <c r="C528" s="1"/>
      <c r="D528" s="1"/>
      <c r="E528" s="1"/>
      <c r="F528" s="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ht="16.5" customHeight="1">
      <c r="A529" s="1"/>
      <c r="B529" s="1"/>
      <c r="C529" s="1"/>
      <c r="D529" s="1"/>
      <c r="E529" s="1"/>
      <c r="F529" s="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ht="16.5" customHeight="1">
      <c r="A530" s="1"/>
      <c r="B530" s="1"/>
      <c r="C530" s="1"/>
      <c r="D530" s="1"/>
      <c r="E530" s="1"/>
      <c r="F530" s="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ht="16.5" customHeight="1">
      <c r="A531" s="1"/>
      <c r="B531" s="1"/>
      <c r="C531" s="1"/>
      <c r="D531" s="1"/>
      <c r="E531" s="1"/>
      <c r="F531" s="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ht="16.5" customHeight="1">
      <c r="A532" s="1"/>
      <c r="B532" s="1"/>
      <c r="C532" s="1"/>
      <c r="D532" s="1"/>
      <c r="E532" s="1"/>
      <c r="F532" s="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ht="16.5" customHeight="1">
      <c r="A533" s="1"/>
      <c r="B533" s="1"/>
      <c r="C533" s="1"/>
      <c r="D533" s="1"/>
      <c r="E533" s="1"/>
      <c r="F533" s="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ht="16.5" customHeight="1">
      <c r="A534" s="1"/>
      <c r="B534" s="1"/>
      <c r="C534" s="1"/>
      <c r="D534" s="1"/>
      <c r="E534" s="1"/>
      <c r="F534" s="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ht="16.5" customHeight="1">
      <c r="A535" s="1"/>
      <c r="B535" s="1"/>
      <c r="C535" s="1"/>
      <c r="D535" s="1"/>
      <c r="E535" s="1"/>
      <c r="F535" s="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ht="16.5" customHeight="1">
      <c r="A536" s="1"/>
      <c r="B536" s="1"/>
      <c r="C536" s="1"/>
      <c r="D536" s="1"/>
      <c r="E536" s="1"/>
      <c r="F536" s="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ht="16.5" customHeight="1">
      <c r="A537" s="1"/>
      <c r="B537" s="1"/>
      <c r="C537" s="1"/>
      <c r="D537" s="1"/>
      <c r="E537" s="1"/>
      <c r="F537" s="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ht="16.5" customHeight="1">
      <c r="A538" s="1"/>
      <c r="B538" s="1"/>
      <c r="C538" s="1"/>
      <c r="D538" s="1"/>
      <c r="E538" s="1"/>
      <c r="F538" s="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ht="16.5" customHeight="1">
      <c r="A539" s="1"/>
      <c r="B539" s="1"/>
      <c r="C539" s="1"/>
      <c r="D539" s="1"/>
      <c r="E539" s="1"/>
      <c r="F539" s="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ht="16.5" customHeight="1">
      <c r="A540" s="1"/>
      <c r="B540" s="1"/>
      <c r="C540" s="1"/>
      <c r="D540" s="1"/>
      <c r="E540" s="1"/>
      <c r="F540" s="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ht="16.5" customHeight="1">
      <c r="A541" s="1"/>
      <c r="B541" s="1"/>
      <c r="C541" s="1"/>
      <c r="D541" s="1"/>
      <c r="E541" s="1"/>
      <c r="F541" s="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ht="16.5" customHeight="1">
      <c r="A542" s="1"/>
      <c r="B542" s="1"/>
      <c r="C542" s="1"/>
      <c r="D542" s="1"/>
      <c r="E542" s="1"/>
      <c r="F542" s="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ht="16.5" customHeight="1">
      <c r="A543" s="1"/>
      <c r="B543" s="1"/>
      <c r="C543" s="1"/>
      <c r="D543" s="1"/>
      <c r="E543" s="1"/>
      <c r="F543" s="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ht="16.5" customHeight="1">
      <c r="A544" s="1"/>
      <c r="B544" s="1"/>
      <c r="C544" s="1"/>
      <c r="D544" s="1"/>
      <c r="E544" s="1"/>
      <c r="F544" s="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ht="16.5" customHeight="1">
      <c r="A545" s="1"/>
      <c r="B545" s="1"/>
      <c r="C545" s="1"/>
      <c r="D545" s="1"/>
      <c r="E545" s="1"/>
      <c r="F545" s="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ht="16.5" customHeight="1">
      <c r="A546" s="1"/>
      <c r="B546" s="1"/>
      <c r="C546" s="1"/>
      <c r="D546" s="1"/>
      <c r="E546" s="1"/>
      <c r="F546" s="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ht="16.5" customHeight="1">
      <c r="A547" s="1"/>
      <c r="B547" s="1"/>
      <c r="C547" s="1"/>
      <c r="D547" s="1"/>
      <c r="E547" s="1"/>
      <c r="F547" s="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ht="16.5" customHeight="1">
      <c r="A548" s="1"/>
      <c r="B548" s="1"/>
      <c r="C548" s="1"/>
      <c r="D548" s="1"/>
      <c r="E548" s="1"/>
      <c r="F548" s="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ht="16.5" customHeight="1">
      <c r="A549" s="1"/>
      <c r="B549" s="1"/>
      <c r="C549" s="1"/>
      <c r="D549" s="1"/>
      <c r="E549" s="1"/>
      <c r="F549" s="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ht="16.5" customHeight="1">
      <c r="A550" s="1"/>
      <c r="B550" s="1"/>
      <c r="C550" s="1"/>
      <c r="D550" s="1"/>
      <c r="E550" s="1"/>
      <c r="F550" s="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ht="16.5" customHeight="1">
      <c r="A551" s="1"/>
      <c r="B551" s="1"/>
      <c r="C551" s="1"/>
      <c r="D551" s="1"/>
      <c r="E551" s="1"/>
      <c r="F551" s="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ht="16.5" customHeight="1">
      <c r="A552" s="1"/>
      <c r="B552" s="1"/>
      <c r="C552" s="1"/>
      <c r="D552" s="1"/>
      <c r="E552" s="1"/>
      <c r="F552" s="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ht="16.5" customHeight="1">
      <c r="A553" s="1"/>
      <c r="B553" s="1"/>
      <c r="C553" s="1"/>
      <c r="D553" s="1"/>
      <c r="E553" s="1"/>
      <c r="F553" s="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ht="16.5" customHeight="1">
      <c r="A554" s="1"/>
      <c r="B554" s="1"/>
      <c r="C554" s="1"/>
      <c r="D554" s="1"/>
      <c r="E554" s="1"/>
      <c r="F554" s="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ht="16.5" customHeight="1">
      <c r="A555" s="1"/>
      <c r="B555" s="1"/>
      <c r="C555" s="1"/>
      <c r="D555" s="1"/>
      <c r="E555" s="1"/>
      <c r="F555" s="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ht="16.5" customHeight="1">
      <c r="A556" s="1"/>
      <c r="B556" s="1"/>
      <c r="C556" s="1"/>
      <c r="D556" s="1"/>
      <c r="E556" s="1"/>
      <c r="F556" s="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ht="16.5" customHeight="1">
      <c r="A557" s="1"/>
      <c r="B557" s="1"/>
      <c r="C557" s="1"/>
      <c r="D557" s="1"/>
      <c r="E557" s="1"/>
      <c r="F557" s="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ht="16.5" customHeight="1">
      <c r="A558" s="1"/>
      <c r="B558" s="1"/>
      <c r="C558" s="1"/>
      <c r="D558" s="1"/>
      <c r="E558" s="1"/>
      <c r="F558" s="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ht="16.5" customHeight="1">
      <c r="A559" s="1"/>
      <c r="B559" s="1"/>
      <c r="C559" s="1"/>
      <c r="D559" s="1"/>
      <c r="E559" s="1"/>
      <c r="F559" s="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ht="16.5" customHeight="1">
      <c r="A560" s="1"/>
      <c r="B560" s="1"/>
      <c r="C560" s="1"/>
      <c r="D560" s="1"/>
      <c r="E560" s="1"/>
      <c r="F560" s="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ht="16.5" customHeight="1">
      <c r="A561" s="1"/>
      <c r="B561" s="1"/>
      <c r="C561" s="1"/>
      <c r="D561" s="1"/>
      <c r="E561" s="1"/>
      <c r="F561" s="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ht="16.5" customHeight="1">
      <c r="A562" s="1"/>
      <c r="B562" s="1"/>
      <c r="C562" s="1"/>
      <c r="D562" s="1"/>
      <c r="E562" s="1"/>
      <c r="F562" s="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ht="16.5" customHeight="1">
      <c r="A563" s="1"/>
      <c r="B563" s="1"/>
      <c r="C563" s="1"/>
      <c r="D563" s="1"/>
      <c r="E563" s="1"/>
      <c r="F563" s="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ht="16.5" customHeight="1">
      <c r="A564" s="1"/>
      <c r="B564" s="1"/>
      <c r="C564" s="1"/>
      <c r="D564" s="1"/>
      <c r="E564" s="1"/>
      <c r="F564" s="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ht="16.5" customHeight="1">
      <c r="A565" s="1"/>
      <c r="B565" s="1"/>
      <c r="C565" s="1"/>
      <c r="D565" s="1"/>
      <c r="E565" s="1"/>
      <c r="F565" s="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ht="16.5" customHeight="1">
      <c r="A566" s="1"/>
      <c r="B566" s="1"/>
      <c r="C566" s="1"/>
      <c r="D566" s="1"/>
      <c r="E566" s="1"/>
      <c r="F566" s="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ht="16.5" customHeight="1">
      <c r="A567" s="1"/>
      <c r="B567" s="1"/>
      <c r="C567" s="1"/>
      <c r="D567" s="1"/>
      <c r="E567" s="1"/>
      <c r="F567" s="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ht="16.5" customHeight="1">
      <c r="A568" s="1"/>
      <c r="B568" s="1"/>
      <c r="C568" s="1"/>
      <c r="D568" s="1"/>
      <c r="E568" s="1"/>
      <c r="F568" s="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ht="16.5" customHeight="1">
      <c r="A569" s="1"/>
      <c r="B569" s="1"/>
      <c r="C569" s="1"/>
      <c r="D569" s="1"/>
      <c r="E569" s="1"/>
      <c r="F569" s="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ht="16.5" customHeight="1">
      <c r="A570" s="1"/>
      <c r="B570" s="1"/>
      <c r="C570" s="1"/>
      <c r="D570" s="1"/>
      <c r="E570" s="1"/>
      <c r="F570" s="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ht="16.5" customHeight="1">
      <c r="A571" s="1"/>
      <c r="B571" s="1"/>
      <c r="C571" s="1"/>
      <c r="D571" s="1"/>
      <c r="E571" s="1"/>
      <c r="F571" s="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ht="16.5" customHeight="1">
      <c r="A572" s="1"/>
      <c r="B572" s="1"/>
      <c r="C572" s="1"/>
      <c r="D572" s="1"/>
      <c r="E572" s="1"/>
      <c r="F572" s="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ht="16.5" customHeight="1">
      <c r="A573" s="1"/>
      <c r="B573" s="1"/>
      <c r="C573" s="1"/>
      <c r="D573" s="1"/>
      <c r="E573" s="1"/>
      <c r="F573" s="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ht="16.5" customHeight="1">
      <c r="A574" s="1"/>
      <c r="B574" s="1"/>
      <c r="C574" s="1"/>
      <c r="D574" s="1"/>
      <c r="E574" s="1"/>
      <c r="F574" s="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ht="16.5" customHeight="1">
      <c r="A575" s="1"/>
      <c r="B575" s="1"/>
      <c r="C575" s="1"/>
      <c r="D575" s="1"/>
      <c r="E575" s="1"/>
      <c r="F575" s="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ht="16.5" customHeight="1">
      <c r="A576" s="1"/>
      <c r="B576" s="1"/>
      <c r="C576" s="1"/>
      <c r="D576" s="1"/>
      <c r="E576" s="1"/>
      <c r="F576" s="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ht="16.5" customHeight="1">
      <c r="A577" s="1"/>
      <c r="B577" s="1"/>
      <c r="C577" s="1"/>
      <c r="D577" s="1"/>
      <c r="E577" s="1"/>
      <c r="F577" s="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ht="16.5" customHeight="1">
      <c r="A578" s="1"/>
      <c r="B578" s="1"/>
      <c r="C578" s="1"/>
      <c r="D578" s="1"/>
      <c r="E578" s="1"/>
      <c r="F578" s="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ht="16.5" customHeight="1">
      <c r="A579" s="1"/>
      <c r="B579" s="1"/>
      <c r="C579" s="1"/>
      <c r="D579" s="1"/>
      <c r="E579" s="1"/>
      <c r="F579" s="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ht="16.5" customHeight="1">
      <c r="A580" s="1"/>
      <c r="B580" s="1"/>
      <c r="C580" s="1"/>
      <c r="D580" s="1"/>
      <c r="E580" s="1"/>
      <c r="F580" s="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ht="16.5" customHeight="1">
      <c r="A581" s="1"/>
      <c r="B581" s="1"/>
      <c r="C581" s="1"/>
      <c r="D581" s="1"/>
      <c r="E581" s="1"/>
      <c r="F581" s="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ht="16.5" customHeight="1">
      <c r="A582" s="1"/>
      <c r="B582" s="1"/>
      <c r="C582" s="1"/>
      <c r="D582" s="1"/>
      <c r="E582" s="1"/>
      <c r="F582" s="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ht="16.5" customHeight="1">
      <c r="A583" s="1"/>
      <c r="B583" s="1"/>
      <c r="C583" s="1"/>
      <c r="D583" s="1"/>
      <c r="E583" s="1"/>
      <c r="F583" s="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ht="16.5" customHeight="1">
      <c r="A584" s="1"/>
      <c r="B584" s="1"/>
      <c r="C584" s="1"/>
      <c r="D584" s="1"/>
      <c r="E584" s="1"/>
      <c r="F584" s="1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ht="16.5" customHeight="1">
      <c r="A585" s="1"/>
      <c r="B585" s="1"/>
      <c r="C585" s="1"/>
      <c r="D585" s="1"/>
      <c r="E585" s="1"/>
      <c r="F585" s="1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ht="16.5" customHeight="1">
      <c r="A586" s="1"/>
      <c r="B586" s="1"/>
      <c r="C586" s="1"/>
      <c r="D586" s="1"/>
      <c r="E586" s="1"/>
      <c r="F586" s="1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ht="16.5" customHeight="1">
      <c r="A587" s="1"/>
      <c r="B587" s="1"/>
      <c r="C587" s="1"/>
      <c r="D587" s="1"/>
      <c r="E587" s="1"/>
      <c r="F587" s="1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ht="16.5" customHeight="1">
      <c r="A588" s="1"/>
      <c r="B588" s="1"/>
      <c r="C588" s="1"/>
      <c r="D588" s="1"/>
      <c r="E588" s="1"/>
      <c r="F588" s="1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ht="16.5" customHeight="1">
      <c r="A589" s="1"/>
      <c r="B589" s="1"/>
      <c r="C589" s="1"/>
      <c r="D589" s="1"/>
      <c r="E589" s="1"/>
      <c r="F589" s="1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ht="16.5" customHeight="1">
      <c r="A590" s="1"/>
      <c r="B590" s="1"/>
      <c r="C590" s="1"/>
      <c r="D590" s="1"/>
      <c r="E590" s="1"/>
      <c r="F590" s="1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ht="16.5" customHeight="1">
      <c r="A591" s="1"/>
      <c r="B591" s="1"/>
      <c r="C591" s="1"/>
      <c r="D591" s="1"/>
      <c r="E591" s="1"/>
      <c r="F591" s="1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ht="16.5" customHeight="1">
      <c r="A592" s="1"/>
      <c r="B592" s="1"/>
      <c r="C592" s="1"/>
      <c r="D592" s="1"/>
      <c r="E592" s="1"/>
      <c r="F592" s="1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ht="16.5" customHeight="1">
      <c r="A593" s="1"/>
      <c r="B593" s="1"/>
      <c r="C593" s="1"/>
      <c r="D593" s="1"/>
      <c r="E593" s="1"/>
      <c r="F593" s="1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ht="16.5" customHeight="1">
      <c r="A594" s="1"/>
      <c r="B594" s="1"/>
      <c r="C594" s="1"/>
      <c r="D594" s="1"/>
      <c r="E594" s="1"/>
      <c r="F594" s="1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ht="16.5" customHeight="1">
      <c r="A595" s="1"/>
      <c r="B595" s="1"/>
      <c r="C595" s="1"/>
      <c r="D595" s="1"/>
      <c r="E595" s="1"/>
      <c r="F595" s="1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ht="16.5" customHeight="1">
      <c r="A596" s="1"/>
      <c r="B596" s="1"/>
      <c r="C596" s="1"/>
      <c r="D596" s="1"/>
      <c r="E596" s="1"/>
      <c r="F596" s="1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ht="16.5" customHeight="1">
      <c r="A597" s="1"/>
      <c r="B597" s="1"/>
      <c r="C597" s="1"/>
      <c r="D597" s="1"/>
      <c r="E597" s="1"/>
      <c r="F597" s="1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ht="16.5" customHeight="1">
      <c r="A598" s="1"/>
      <c r="B598" s="1"/>
      <c r="C598" s="1"/>
      <c r="D598" s="1"/>
      <c r="E598" s="1"/>
      <c r="F598" s="1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ht="16.5" customHeight="1">
      <c r="A599" s="1"/>
      <c r="B599" s="1"/>
      <c r="C599" s="1"/>
      <c r="D599" s="1"/>
      <c r="E599" s="1"/>
      <c r="F599" s="1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ht="16.5" customHeight="1">
      <c r="A600" s="1"/>
      <c r="B600" s="1"/>
      <c r="C600" s="1"/>
      <c r="D600" s="1"/>
      <c r="E600" s="1"/>
      <c r="F600" s="1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ht="16.5" customHeight="1">
      <c r="A601" s="1"/>
      <c r="B601" s="1"/>
      <c r="C601" s="1"/>
      <c r="D601" s="1"/>
      <c r="E601" s="1"/>
      <c r="F601" s="1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ht="16.5" customHeight="1">
      <c r="A602" s="1"/>
      <c r="B602" s="1"/>
      <c r="C602" s="1"/>
      <c r="D602" s="1"/>
      <c r="E602" s="1"/>
      <c r="F602" s="1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ht="16.5" customHeight="1">
      <c r="A603" s="1"/>
      <c r="B603" s="1"/>
      <c r="C603" s="1"/>
      <c r="D603" s="1"/>
      <c r="E603" s="1"/>
      <c r="F603" s="1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ht="16.5" customHeight="1">
      <c r="A604" s="1"/>
      <c r="B604" s="1"/>
      <c r="C604" s="1"/>
      <c r="D604" s="1"/>
      <c r="E604" s="1"/>
      <c r="F604" s="1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ht="16.5" customHeight="1">
      <c r="A605" s="1"/>
      <c r="B605" s="1"/>
      <c r="C605" s="1"/>
      <c r="D605" s="1"/>
      <c r="E605" s="1"/>
      <c r="F605" s="1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ht="16.5" customHeight="1">
      <c r="A606" s="1"/>
      <c r="B606" s="1"/>
      <c r="C606" s="1"/>
      <c r="D606" s="1"/>
      <c r="E606" s="1"/>
      <c r="F606" s="1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ht="16.5" customHeight="1">
      <c r="A607" s="1"/>
      <c r="B607" s="1"/>
      <c r="C607" s="1"/>
      <c r="D607" s="1"/>
      <c r="E607" s="1"/>
      <c r="F607" s="1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ht="16.5" customHeight="1">
      <c r="A608" s="1"/>
      <c r="B608" s="1"/>
      <c r="C608" s="1"/>
      <c r="D608" s="1"/>
      <c r="E608" s="1"/>
      <c r="F608" s="1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ht="16.5" customHeight="1">
      <c r="A609" s="1"/>
      <c r="B609" s="1"/>
      <c r="C609" s="1"/>
      <c r="D609" s="1"/>
      <c r="E609" s="1"/>
      <c r="F609" s="1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ht="16.5" customHeight="1">
      <c r="A610" s="1"/>
      <c r="B610" s="1"/>
      <c r="C610" s="1"/>
      <c r="D610" s="1"/>
      <c r="E610" s="1"/>
      <c r="F610" s="1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ht="16.5" customHeight="1">
      <c r="A611" s="1"/>
      <c r="B611" s="1"/>
      <c r="C611" s="1"/>
      <c r="D611" s="1"/>
      <c r="E611" s="1"/>
      <c r="F611" s="1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ht="16.5" customHeight="1">
      <c r="A612" s="1"/>
      <c r="B612" s="1"/>
      <c r="C612" s="1"/>
      <c r="D612" s="1"/>
      <c r="E612" s="1"/>
      <c r="F612" s="1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ht="16.5" customHeight="1">
      <c r="A613" s="1"/>
      <c r="B613" s="1"/>
      <c r="C613" s="1"/>
      <c r="D613" s="1"/>
      <c r="E613" s="1"/>
      <c r="F613" s="1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ht="16.5" customHeight="1">
      <c r="A614" s="1"/>
      <c r="B614" s="1"/>
      <c r="C614" s="1"/>
      <c r="D614" s="1"/>
      <c r="E614" s="1"/>
      <c r="F614" s="1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ht="16.5" customHeight="1">
      <c r="A615" s="1"/>
      <c r="B615" s="1"/>
      <c r="C615" s="1"/>
      <c r="D615" s="1"/>
      <c r="E615" s="1"/>
      <c r="F615" s="1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ht="16.5" customHeight="1">
      <c r="A616" s="1"/>
      <c r="B616" s="1"/>
      <c r="C616" s="1"/>
      <c r="D616" s="1"/>
      <c r="E616" s="1"/>
      <c r="F616" s="1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ht="16.5" customHeight="1">
      <c r="A617" s="1"/>
      <c r="B617" s="1"/>
      <c r="C617" s="1"/>
      <c r="D617" s="1"/>
      <c r="E617" s="1"/>
      <c r="F617" s="1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ht="16.5" customHeight="1">
      <c r="A618" s="1"/>
      <c r="B618" s="1"/>
      <c r="C618" s="1"/>
      <c r="D618" s="1"/>
      <c r="E618" s="1"/>
      <c r="F618" s="1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ht="16.5" customHeight="1">
      <c r="A619" s="1"/>
      <c r="B619" s="1"/>
      <c r="C619" s="1"/>
      <c r="D619" s="1"/>
      <c r="E619" s="1"/>
      <c r="F619" s="1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ht="16.5" customHeight="1">
      <c r="A620" s="1"/>
      <c r="B620" s="1"/>
      <c r="C620" s="1"/>
      <c r="D620" s="1"/>
      <c r="E620" s="1"/>
      <c r="F620" s="1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ht="16.5" customHeight="1">
      <c r="A621" s="1"/>
      <c r="B621" s="1"/>
      <c r="C621" s="1"/>
      <c r="D621" s="1"/>
      <c r="E621" s="1"/>
      <c r="F621" s="1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ht="16.5" customHeight="1">
      <c r="A622" s="1"/>
      <c r="B622" s="1"/>
      <c r="C622" s="1"/>
      <c r="D622" s="1"/>
      <c r="E622" s="1"/>
      <c r="F622" s="1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ht="16.5" customHeight="1">
      <c r="A623" s="1"/>
      <c r="B623" s="1"/>
      <c r="C623" s="1"/>
      <c r="D623" s="1"/>
      <c r="E623" s="1"/>
      <c r="F623" s="1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ht="16.5" customHeight="1">
      <c r="A624" s="1"/>
      <c r="B624" s="1"/>
      <c r="C624" s="1"/>
      <c r="D624" s="1"/>
      <c r="E624" s="1"/>
      <c r="F624" s="1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ht="16.5" customHeight="1">
      <c r="A625" s="1"/>
      <c r="B625" s="1"/>
      <c r="C625" s="1"/>
      <c r="D625" s="1"/>
      <c r="E625" s="1"/>
      <c r="F625" s="1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ht="16.5" customHeight="1">
      <c r="A626" s="1"/>
      <c r="B626" s="1"/>
      <c r="C626" s="1"/>
      <c r="D626" s="1"/>
      <c r="E626" s="1"/>
      <c r="F626" s="1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ht="16.5" customHeight="1">
      <c r="A627" s="1"/>
      <c r="B627" s="1"/>
      <c r="C627" s="1"/>
      <c r="D627" s="1"/>
      <c r="E627" s="1"/>
      <c r="F627" s="1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ht="16.5" customHeight="1">
      <c r="A628" s="1"/>
      <c r="B628" s="1"/>
      <c r="C628" s="1"/>
      <c r="D628" s="1"/>
      <c r="E628" s="1"/>
      <c r="F628" s="1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ht="16.5" customHeight="1">
      <c r="A629" s="1"/>
      <c r="B629" s="1"/>
      <c r="C629" s="1"/>
      <c r="D629" s="1"/>
      <c r="E629" s="1"/>
      <c r="F629" s="1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ht="16.5" customHeight="1">
      <c r="A630" s="1"/>
      <c r="B630" s="1"/>
      <c r="C630" s="1"/>
      <c r="D630" s="1"/>
      <c r="E630" s="1"/>
      <c r="F630" s="1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ht="16.5" customHeight="1">
      <c r="A631" s="1"/>
      <c r="B631" s="1"/>
      <c r="C631" s="1"/>
      <c r="D631" s="1"/>
      <c r="E631" s="1"/>
      <c r="F631" s="1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ht="16.5" customHeight="1">
      <c r="A632" s="1"/>
      <c r="B632" s="1"/>
      <c r="C632" s="1"/>
      <c r="D632" s="1"/>
      <c r="E632" s="1"/>
      <c r="F632" s="1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ht="16.5" customHeight="1">
      <c r="A633" s="1"/>
      <c r="B633" s="1"/>
      <c r="C633" s="1"/>
      <c r="D633" s="1"/>
      <c r="E633" s="1"/>
      <c r="F633" s="1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ht="16.5" customHeight="1">
      <c r="A634" s="1"/>
      <c r="B634" s="1"/>
      <c r="C634" s="1"/>
      <c r="D634" s="1"/>
      <c r="E634" s="1"/>
      <c r="F634" s="1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ht="16.5" customHeight="1">
      <c r="A635" s="1"/>
      <c r="B635" s="1"/>
      <c r="C635" s="1"/>
      <c r="D635" s="1"/>
      <c r="E635" s="1"/>
      <c r="F635" s="1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ht="16.5" customHeight="1">
      <c r="A636" s="1"/>
      <c r="B636" s="1"/>
      <c r="C636" s="1"/>
      <c r="D636" s="1"/>
      <c r="E636" s="1"/>
      <c r="F636" s="1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ht="16.5" customHeight="1">
      <c r="A637" s="1"/>
      <c r="B637" s="1"/>
      <c r="C637" s="1"/>
      <c r="D637" s="1"/>
      <c r="E637" s="1"/>
      <c r="F637" s="1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ht="16.5" customHeight="1">
      <c r="A638" s="1"/>
      <c r="B638" s="1"/>
      <c r="C638" s="1"/>
      <c r="D638" s="1"/>
      <c r="E638" s="1"/>
      <c r="F638" s="1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ht="16.5" customHeight="1">
      <c r="A639" s="1"/>
      <c r="B639" s="1"/>
      <c r="C639" s="1"/>
      <c r="D639" s="1"/>
      <c r="E639" s="1"/>
      <c r="F639" s="1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ht="16.5" customHeight="1">
      <c r="A640" s="1"/>
      <c r="B640" s="1"/>
      <c r="C640" s="1"/>
      <c r="D640" s="1"/>
      <c r="E640" s="1"/>
      <c r="F640" s="1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ht="16.5" customHeight="1">
      <c r="A641" s="1"/>
      <c r="B641" s="1"/>
      <c r="C641" s="1"/>
      <c r="D641" s="1"/>
      <c r="E641" s="1"/>
      <c r="F641" s="1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ht="16.5" customHeight="1">
      <c r="A642" s="1"/>
      <c r="B642" s="1"/>
      <c r="C642" s="1"/>
      <c r="D642" s="1"/>
      <c r="E642" s="1"/>
      <c r="F642" s="1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ht="16.5" customHeight="1">
      <c r="A643" s="1"/>
      <c r="B643" s="1"/>
      <c r="C643" s="1"/>
      <c r="D643" s="1"/>
      <c r="E643" s="1"/>
      <c r="F643" s="1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ht="16.5" customHeight="1">
      <c r="A644" s="1"/>
      <c r="B644" s="1"/>
      <c r="C644" s="1"/>
      <c r="D644" s="1"/>
      <c r="E644" s="1"/>
      <c r="F644" s="1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ht="16.5" customHeight="1">
      <c r="A645" s="1"/>
      <c r="B645" s="1"/>
      <c r="C645" s="1"/>
      <c r="D645" s="1"/>
      <c r="E645" s="1"/>
      <c r="F645" s="1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ht="16.5" customHeight="1">
      <c r="A646" s="1"/>
      <c r="B646" s="1"/>
      <c r="C646" s="1"/>
      <c r="D646" s="1"/>
      <c r="E646" s="1"/>
      <c r="F646" s="1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ht="16.5" customHeight="1">
      <c r="A647" s="1"/>
      <c r="B647" s="1"/>
      <c r="C647" s="1"/>
      <c r="D647" s="1"/>
      <c r="E647" s="1"/>
      <c r="F647" s="1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ht="16.5" customHeight="1">
      <c r="A648" s="1"/>
      <c r="B648" s="1"/>
      <c r="C648" s="1"/>
      <c r="D648" s="1"/>
      <c r="E648" s="1"/>
      <c r="F648" s="1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ht="16.5" customHeight="1">
      <c r="A649" s="1"/>
      <c r="B649" s="1"/>
      <c r="C649" s="1"/>
      <c r="D649" s="1"/>
      <c r="E649" s="1"/>
      <c r="F649" s="1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ht="16.5" customHeight="1">
      <c r="A650" s="1"/>
      <c r="B650" s="1"/>
      <c r="C650" s="1"/>
      <c r="D650" s="1"/>
      <c r="E650" s="1"/>
      <c r="F650" s="1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ht="16.5" customHeight="1">
      <c r="A651" s="1"/>
      <c r="B651" s="1"/>
      <c r="C651" s="1"/>
      <c r="D651" s="1"/>
      <c r="E651" s="1"/>
      <c r="F651" s="1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ht="16.5" customHeight="1">
      <c r="A652" s="1"/>
      <c r="B652" s="1"/>
      <c r="C652" s="1"/>
      <c r="D652" s="1"/>
      <c r="E652" s="1"/>
      <c r="F652" s="1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ht="16.5" customHeight="1">
      <c r="A653" s="1"/>
      <c r="B653" s="1"/>
      <c r="C653" s="1"/>
      <c r="D653" s="1"/>
      <c r="E653" s="1"/>
      <c r="F653" s="1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ht="16.5" customHeight="1">
      <c r="A654" s="1"/>
      <c r="B654" s="1"/>
      <c r="C654" s="1"/>
      <c r="D654" s="1"/>
      <c r="E654" s="1"/>
      <c r="F654" s="1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ht="16.5" customHeight="1">
      <c r="A655" s="1"/>
      <c r="B655" s="1"/>
      <c r="C655" s="1"/>
      <c r="D655" s="1"/>
      <c r="E655" s="1"/>
      <c r="F655" s="1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ht="16.5" customHeight="1">
      <c r="A656" s="1"/>
      <c r="B656" s="1"/>
      <c r="C656" s="1"/>
      <c r="D656" s="1"/>
      <c r="E656" s="1"/>
      <c r="F656" s="1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ht="16.5" customHeight="1">
      <c r="A657" s="1"/>
      <c r="B657" s="1"/>
      <c r="C657" s="1"/>
      <c r="D657" s="1"/>
      <c r="E657" s="1"/>
      <c r="F657" s="1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ht="16.5" customHeight="1">
      <c r="A658" s="1"/>
      <c r="B658" s="1"/>
      <c r="C658" s="1"/>
      <c r="D658" s="1"/>
      <c r="E658" s="1"/>
      <c r="F658" s="1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ht="16.5" customHeight="1">
      <c r="A659" s="1"/>
      <c r="B659" s="1"/>
      <c r="C659" s="1"/>
      <c r="D659" s="1"/>
      <c r="E659" s="1"/>
      <c r="F659" s="1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ht="16.5" customHeight="1">
      <c r="A660" s="1"/>
      <c r="B660" s="1"/>
      <c r="C660" s="1"/>
      <c r="D660" s="1"/>
      <c r="E660" s="1"/>
      <c r="F660" s="1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ht="16.5" customHeight="1">
      <c r="A661" s="1"/>
      <c r="B661" s="1"/>
      <c r="C661" s="1"/>
      <c r="D661" s="1"/>
      <c r="E661" s="1"/>
      <c r="F661" s="1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ht="16.5" customHeight="1">
      <c r="A662" s="1"/>
      <c r="B662" s="1"/>
      <c r="C662" s="1"/>
      <c r="D662" s="1"/>
      <c r="E662" s="1"/>
      <c r="F662" s="1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ht="16.5" customHeight="1">
      <c r="A663" s="1"/>
      <c r="B663" s="1"/>
      <c r="C663" s="1"/>
      <c r="D663" s="1"/>
      <c r="E663" s="1"/>
      <c r="F663" s="1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ht="16.5" customHeight="1">
      <c r="A664" s="1"/>
      <c r="B664" s="1"/>
      <c r="C664" s="1"/>
      <c r="D664" s="1"/>
      <c r="E664" s="1"/>
      <c r="F664" s="1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ht="16.5" customHeight="1">
      <c r="A665" s="1"/>
      <c r="B665" s="1"/>
      <c r="C665" s="1"/>
      <c r="D665" s="1"/>
      <c r="E665" s="1"/>
      <c r="F665" s="1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ht="16.5" customHeight="1">
      <c r="A666" s="1"/>
      <c r="B666" s="1"/>
      <c r="C666" s="1"/>
      <c r="D666" s="1"/>
      <c r="E666" s="1"/>
      <c r="F666" s="1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ht="16.5" customHeight="1">
      <c r="A667" s="1"/>
      <c r="B667" s="1"/>
      <c r="C667" s="1"/>
      <c r="D667" s="1"/>
      <c r="E667" s="1"/>
      <c r="F667" s="1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ht="16.5" customHeight="1">
      <c r="A668" s="1"/>
      <c r="B668" s="1"/>
      <c r="C668" s="1"/>
      <c r="D668" s="1"/>
      <c r="E668" s="1"/>
      <c r="F668" s="1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ht="16.5" customHeight="1">
      <c r="A669" s="1"/>
      <c r="B669" s="1"/>
      <c r="C669" s="1"/>
      <c r="D669" s="1"/>
      <c r="E669" s="1"/>
      <c r="F669" s="1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ht="16.5" customHeight="1">
      <c r="A670" s="1"/>
      <c r="B670" s="1"/>
      <c r="C670" s="1"/>
      <c r="D670" s="1"/>
      <c r="E670" s="1"/>
      <c r="F670" s="1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ht="16.5" customHeight="1">
      <c r="A671" s="1"/>
      <c r="B671" s="1"/>
      <c r="C671" s="1"/>
      <c r="D671" s="1"/>
      <c r="E671" s="1"/>
      <c r="F671" s="1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ht="16.5" customHeight="1">
      <c r="A672" s="1"/>
      <c r="B672" s="1"/>
      <c r="C672" s="1"/>
      <c r="D672" s="1"/>
      <c r="E672" s="1"/>
      <c r="F672" s="1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ht="16.5" customHeight="1">
      <c r="A673" s="1"/>
      <c r="B673" s="1"/>
      <c r="C673" s="1"/>
      <c r="D673" s="1"/>
      <c r="E673" s="1"/>
      <c r="F673" s="1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ht="16.5" customHeight="1">
      <c r="A674" s="1"/>
      <c r="B674" s="1"/>
      <c r="C674" s="1"/>
      <c r="D674" s="1"/>
      <c r="E674" s="1"/>
      <c r="F674" s="1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ht="16.5" customHeight="1">
      <c r="A675" s="1"/>
      <c r="B675" s="1"/>
      <c r="C675" s="1"/>
      <c r="D675" s="1"/>
      <c r="E675" s="1"/>
      <c r="F675" s="1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ht="16.5" customHeight="1">
      <c r="A676" s="1"/>
      <c r="B676" s="1"/>
      <c r="C676" s="1"/>
      <c r="D676" s="1"/>
      <c r="E676" s="1"/>
      <c r="F676" s="1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ht="16.5" customHeight="1">
      <c r="A677" s="1"/>
      <c r="B677" s="1"/>
      <c r="C677" s="1"/>
      <c r="D677" s="1"/>
      <c r="E677" s="1"/>
      <c r="F677" s="1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ht="16.5" customHeight="1">
      <c r="A678" s="1"/>
      <c r="B678" s="1"/>
      <c r="C678" s="1"/>
      <c r="D678" s="1"/>
      <c r="E678" s="1"/>
      <c r="F678" s="1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ht="16.5" customHeight="1">
      <c r="A679" s="1"/>
      <c r="B679" s="1"/>
      <c r="C679" s="1"/>
      <c r="D679" s="1"/>
      <c r="E679" s="1"/>
      <c r="F679" s="1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ht="16.5" customHeight="1">
      <c r="A680" s="1"/>
      <c r="B680" s="1"/>
      <c r="C680" s="1"/>
      <c r="D680" s="1"/>
      <c r="E680" s="1"/>
      <c r="F680" s="1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ht="16.5" customHeight="1">
      <c r="A681" s="1"/>
      <c r="B681" s="1"/>
      <c r="C681" s="1"/>
      <c r="D681" s="1"/>
      <c r="E681" s="1"/>
      <c r="F681" s="1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ht="16.5" customHeight="1">
      <c r="A682" s="1"/>
      <c r="B682" s="1"/>
      <c r="C682" s="1"/>
      <c r="D682" s="1"/>
      <c r="E682" s="1"/>
      <c r="F682" s="1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ht="16.5" customHeight="1">
      <c r="A683" s="1"/>
      <c r="B683" s="1"/>
      <c r="C683" s="1"/>
      <c r="D683" s="1"/>
      <c r="E683" s="1"/>
      <c r="F683" s="1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ht="16.5" customHeight="1">
      <c r="A684" s="1"/>
      <c r="B684" s="1"/>
      <c r="C684" s="1"/>
      <c r="D684" s="1"/>
      <c r="E684" s="1"/>
      <c r="F684" s="1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ht="16.5" customHeight="1">
      <c r="A685" s="1"/>
      <c r="B685" s="1"/>
      <c r="C685" s="1"/>
      <c r="D685" s="1"/>
      <c r="E685" s="1"/>
      <c r="F685" s="1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ht="16.5" customHeight="1">
      <c r="A686" s="1"/>
      <c r="B686" s="1"/>
      <c r="C686" s="1"/>
      <c r="D686" s="1"/>
      <c r="E686" s="1"/>
      <c r="F686" s="1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ht="16.5" customHeight="1">
      <c r="A687" s="1"/>
      <c r="B687" s="1"/>
      <c r="C687" s="1"/>
      <c r="D687" s="1"/>
      <c r="E687" s="1"/>
      <c r="F687" s="1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ht="16.5" customHeight="1">
      <c r="A688" s="1"/>
      <c r="B688" s="1"/>
      <c r="C688" s="1"/>
      <c r="D688" s="1"/>
      <c r="E688" s="1"/>
      <c r="F688" s="1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ht="16.5" customHeight="1">
      <c r="A689" s="1"/>
      <c r="B689" s="1"/>
      <c r="C689" s="1"/>
      <c r="D689" s="1"/>
      <c r="E689" s="1"/>
      <c r="F689" s="1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ht="16.5" customHeight="1">
      <c r="A690" s="1"/>
      <c r="B690" s="1"/>
      <c r="C690" s="1"/>
      <c r="D690" s="1"/>
      <c r="E690" s="1"/>
      <c r="F690" s="1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ht="16.5" customHeight="1">
      <c r="A691" s="1"/>
      <c r="B691" s="1"/>
      <c r="C691" s="1"/>
      <c r="D691" s="1"/>
      <c r="E691" s="1"/>
      <c r="F691" s="1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ht="16.5" customHeight="1">
      <c r="A692" s="1"/>
      <c r="B692" s="1"/>
      <c r="C692" s="1"/>
      <c r="D692" s="1"/>
      <c r="E692" s="1"/>
      <c r="F692" s="1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ht="16.5" customHeight="1">
      <c r="A693" s="1"/>
      <c r="B693" s="1"/>
      <c r="C693" s="1"/>
      <c r="D693" s="1"/>
      <c r="E693" s="1"/>
      <c r="F693" s="1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ht="16.5" customHeight="1">
      <c r="A694" s="1"/>
      <c r="B694" s="1"/>
      <c r="C694" s="1"/>
      <c r="D694" s="1"/>
      <c r="E694" s="1"/>
      <c r="F694" s="1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ht="16.5" customHeight="1">
      <c r="A695" s="1"/>
      <c r="B695" s="1"/>
      <c r="C695" s="1"/>
      <c r="D695" s="1"/>
      <c r="E695" s="1"/>
      <c r="F695" s="1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ht="16.5" customHeight="1">
      <c r="A696" s="1"/>
      <c r="B696" s="1"/>
      <c r="C696" s="1"/>
      <c r="D696" s="1"/>
      <c r="E696" s="1"/>
      <c r="F696" s="1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ht="16.5" customHeight="1">
      <c r="A697" s="1"/>
      <c r="B697" s="1"/>
      <c r="C697" s="1"/>
      <c r="D697" s="1"/>
      <c r="E697" s="1"/>
      <c r="F697" s="1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ht="16.5" customHeight="1">
      <c r="A698" s="1"/>
      <c r="B698" s="1"/>
      <c r="C698" s="1"/>
      <c r="D698" s="1"/>
      <c r="E698" s="1"/>
      <c r="F698" s="1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ht="16.5" customHeight="1">
      <c r="A699" s="1"/>
      <c r="B699" s="1"/>
      <c r="C699" s="1"/>
      <c r="D699" s="1"/>
      <c r="E699" s="1"/>
      <c r="F699" s="1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ht="16.5" customHeight="1">
      <c r="A700" s="1"/>
      <c r="B700" s="1"/>
      <c r="C700" s="1"/>
      <c r="D700" s="1"/>
      <c r="E700" s="1"/>
      <c r="F700" s="1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ht="16.5" customHeight="1">
      <c r="A701" s="1"/>
      <c r="B701" s="1"/>
      <c r="C701" s="1"/>
      <c r="D701" s="1"/>
      <c r="E701" s="1"/>
      <c r="F701" s="1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ht="16.5" customHeight="1">
      <c r="A702" s="1"/>
      <c r="B702" s="1"/>
      <c r="C702" s="1"/>
      <c r="D702" s="1"/>
      <c r="E702" s="1"/>
      <c r="F702" s="1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ht="16.5" customHeight="1">
      <c r="A703" s="1"/>
      <c r="B703" s="1"/>
      <c r="C703" s="1"/>
      <c r="D703" s="1"/>
      <c r="E703" s="1"/>
      <c r="F703" s="1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ht="16.5" customHeight="1">
      <c r="A704" s="1"/>
      <c r="B704" s="1"/>
      <c r="C704" s="1"/>
      <c r="D704" s="1"/>
      <c r="E704" s="1"/>
      <c r="F704" s="1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ht="16.5" customHeight="1">
      <c r="A705" s="1"/>
      <c r="B705" s="1"/>
      <c r="C705" s="1"/>
      <c r="D705" s="1"/>
      <c r="E705" s="1"/>
      <c r="F705" s="1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ht="16.5" customHeight="1">
      <c r="A706" s="1"/>
      <c r="B706" s="1"/>
      <c r="C706" s="1"/>
      <c r="D706" s="1"/>
      <c r="E706" s="1"/>
      <c r="F706" s="1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ht="16.5" customHeight="1">
      <c r="A707" s="1"/>
      <c r="B707" s="1"/>
      <c r="C707" s="1"/>
      <c r="D707" s="1"/>
      <c r="E707" s="1"/>
      <c r="F707" s="1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ht="16.5" customHeight="1">
      <c r="A708" s="1"/>
      <c r="B708" s="1"/>
      <c r="C708" s="1"/>
      <c r="D708" s="1"/>
      <c r="E708" s="1"/>
      <c r="F708" s="1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ht="16.5" customHeight="1">
      <c r="A709" s="1"/>
      <c r="B709" s="1"/>
      <c r="C709" s="1"/>
      <c r="D709" s="1"/>
      <c r="E709" s="1"/>
      <c r="F709" s="1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ht="16.5" customHeight="1">
      <c r="A710" s="1"/>
      <c r="B710" s="1"/>
      <c r="C710" s="1"/>
      <c r="D710" s="1"/>
      <c r="E710" s="1"/>
      <c r="F710" s="1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ht="16.5" customHeight="1">
      <c r="A711" s="1"/>
      <c r="B711" s="1"/>
      <c r="C711" s="1"/>
      <c r="D711" s="1"/>
      <c r="E711" s="1"/>
      <c r="F711" s="1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ht="16.5" customHeight="1">
      <c r="A712" s="1"/>
      <c r="B712" s="1"/>
      <c r="C712" s="1"/>
      <c r="D712" s="1"/>
      <c r="E712" s="1"/>
      <c r="F712" s="1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ht="16.5" customHeight="1">
      <c r="A713" s="1"/>
      <c r="B713" s="1"/>
      <c r="C713" s="1"/>
      <c r="D713" s="1"/>
      <c r="E713" s="1"/>
      <c r="F713" s="1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ht="16.5" customHeight="1">
      <c r="A714" s="1"/>
      <c r="B714" s="1"/>
      <c r="C714" s="1"/>
      <c r="D714" s="1"/>
      <c r="E714" s="1"/>
      <c r="F714" s="1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ht="16.5" customHeight="1">
      <c r="A715" s="1"/>
      <c r="B715" s="1"/>
      <c r="C715" s="1"/>
      <c r="D715" s="1"/>
      <c r="E715" s="1"/>
      <c r="F715" s="1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ht="16.5" customHeight="1">
      <c r="A716" s="1"/>
      <c r="B716" s="1"/>
      <c r="C716" s="1"/>
      <c r="D716" s="1"/>
      <c r="E716" s="1"/>
      <c r="F716" s="1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ht="16.5" customHeight="1">
      <c r="A717" s="1"/>
      <c r="B717" s="1"/>
      <c r="C717" s="1"/>
      <c r="D717" s="1"/>
      <c r="E717" s="1"/>
      <c r="F717" s="1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ht="16.5" customHeight="1">
      <c r="A718" s="1"/>
      <c r="B718" s="1"/>
      <c r="C718" s="1"/>
      <c r="D718" s="1"/>
      <c r="E718" s="1"/>
      <c r="F718" s="1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ht="16.5" customHeight="1">
      <c r="A719" s="1"/>
      <c r="B719" s="1"/>
      <c r="C719" s="1"/>
      <c r="D719" s="1"/>
      <c r="E719" s="1"/>
      <c r="F719" s="1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ht="16.5" customHeight="1">
      <c r="A720" s="1"/>
      <c r="B720" s="1"/>
      <c r="C720" s="1"/>
      <c r="D720" s="1"/>
      <c r="E720" s="1"/>
      <c r="F720" s="1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ht="16.5" customHeight="1">
      <c r="A721" s="1"/>
      <c r="B721" s="1"/>
      <c r="C721" s="1"/>
      <c r="D721" s="1"/>
      <c r="E721" s="1"/>
      <c r="F721" s="1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ht="16.5" customHeight="1">
      <c r="A722" s="1"/>
      <c r="B722" s="1"/>
      <c r="C722" s="1"/>
      <c r="D722" s="1"/>
      <c r="E722" s="1"/>
      <c r="F722" s="1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ht="16.5" customHeight="1">
      <c r="A723" s="1"/>
      <c r="B723" s="1"/>
      <c r="C723" s="1"/>
      <c r="D723" s="1"/>
      <c r="E723" s="1"/>
      <c r="F723" s="1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ht="16.5" customHeight="1">
      <c r="A724" s="1"/>
      <c r="B724" s="1"/>
      <c r="C724" s="1"/>
      <c r="D724" s="1"/>
      <c r="E724" s="1"/>
      <c r="F724" s="1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ht="16.5" customHeight="1">
      <c r="A725" s="1"/>
      <c r="B725" s="1"/>
      <c r="C725" s="1"/>
      <c r="D725" s="1"/>
      <c r="E725" s="1"/>
      <c r="F725" s="1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ht="16.5" customHeight="1">
      <c r="A726" s="1"/>
      <c r="B726" s="1"/>
      <c r="C726" s="1"/>
      <c r="D726" s="1"/>
      <c r="E726" s="1"/>
      <c r="F726" s="1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ht="16.5" customHeight="1">
      <c r="A727" s="1"/>
      <c r="B727" s="1"/>
      <c r="C727" s="1"/>
      <c r="D727" s="1"/>
      <c r="E727" s="1"/>
      <c r="F727" s="1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ht="16.5" customHeight="1">
      <c r="A728" s="1"/>
      <c r="B728" s="1"/>
      <c r="C728" s="1"/>
      <c r="D728" s="1"/>
      <c r="E728" s="1"/>
      <c r="F728" s="1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ht="16.5" customHeight="1">
      <c r="A729" s="1"/>
      <c r="B729" s="1"/>
      <c r="C729" s="1"/>
      <c r="D729" s="1"/>
      <c r="E729" s="1"/>
      <c r="F729" s="1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ht="16.5" customHeight="1">
      <c r="A730" s="1"/>
      <c r="B730" s="1"/>
      <c r="C730" s="1"/>
      <c r="D730" s="1"/>
      <c r="E730" s="1"/>
      <c r="F730" s="1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ht="16.5" customHeight="1">
      <c r="A731" s="1"/>
      <c r="B731" s="1"/>
      <c r="C731" s="1"/>
      <c r="D731" s="1"/>
      <c r="E731" s="1"/>
      <c r="F731" s="1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ht="16.5" customHeight="1">
      <c r="A732" s="1"/>
      <c r="B732" s="1"/>
      <c r="C732" s="1"/>
      <c r="D732" s="1"/>
      <c r="E732" s="1"/>
      <c r="F732" s="1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ht="16.5" customHeight="1">
      <c r="A733" s="1"/>
      <c r="B733" s="1"/>
      <c r="C733" s="1"/>
      <c r="D733" s="1"/>
      <c r="E733" s="1"/>
      <c r="F733" s="1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ht="16.5" customHeight="1">
      <c r="A734" s="1"/>
      <c r="B734" s="1"/>
      <c r="C734" s="1"/>
      <c r="D734" s="1"/>
      <c r="E734" s="1"/>
      <c r="F734" s="1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ht="16.5" customHeight="1">
      <c r="A735" s="1"/>
      <c r="B735" s="1"/>
      <c r="C735" s="1"/>
      <c r="D735" s="1"/>
      <c r="E735" s="1"/>
      <c r="F735" s="1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ht="16.5" customHeight="1">
      <c r="A736" s="1"/>
      <c r="B736" s="1"/>
      <c r="C736" s="1"/>
      <c r="D736" s="1"/>
      <c r="E736" s="1"/>
      <c r="F736" s="1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ht="16.5" customHeight="1">
      <c r="A737" s="1"/>
      <c r="B737" s="1"/>
      <c r="C737" s="1"/>
      <c r="D737" s="1"/>
      <c r="E737" s="1"/>
      <c r="F737" s="1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ht="16.5" customHeight="1">
      <c r="A738" s="1"/>
      <c r="B738" s="1"/>
      <c r="C738" s="1"/>
      <c r="D738" s="1"/>
      <c r="E738" s="1"/>
      <c r="F738" s="1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ht="16.5" customHeight="1">
      <c r="A739" s="1"/>
      <c r="B739" s="1"/>
      <c r="C739" s="1"/>
      <c r="D739" s="1"/>
      <c r="E739" s="1"/>
      <c r="F739" s="1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ht="16.5" customHeight="1">
      <c r="A740" s="1"/>
      <c r="B740" s="1"/>
      <c r="C740" s="1"/>
      <c r="D740" s="1"/>
      <c r="E740" s="1"/>
      <c r="F740" s="1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ht="16.5" customHeight="1">
      <c r="A741" s="1"/>
      <c r="B741" s="1"/>
      <c r="C741" s="1"/>
      <c r="D741" s="1"/>
      <c r="E741" s="1"/>
      <c r="F741" s="1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ht="16.5" customHeight="1">
      <c r="A742" s="1"/>
      <c r="B742" s="1"/>
      <c r="C742" s="1"/>
      <c r="D742" s="1"/>
      <c r="E742" s="1"/>
      <c r="F742" s="1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ht="16.5" customHeight="1">
      <c r="A743" s="1"/>
      <c r="B743" s="1"/>
      <c r="C743" s="1"/>
      <c r="D743" s="1"/>
      <c r="E743" s="1"/>
      <c r="F743" s="1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ht="16.5" customHeight="1">
      <c r="A744" s="1"/>
      <c r="B744" s="1"/>
      <c r="C744" s="1"/>
      <c r="D744" s="1"/>
      <c r="E744" s="1"/>
      <c r="F744" s="1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ht="16.5" customHeight="1">
      <c r="A745" s="1"/>
      <c r="B745" s="1"/>
      <c r="C745" s="1"/>
      <c r="D745" s="1"/>
      <c r="E745" s="1"/>
      <c r="F745" s="1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ht="16.5" customHeight="1">
      <c r="A746" s="1"/>
      <c r="B746" s="1"/>
      <c r="C746" s="1"/>
      <c r="D746" s="1"/>
      <c r="E746" s="1"/>
      <c r="F746" s="1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ht="16.5" customHeight="1">
      <c r="A747" s="1"/>
      <c r="B747" s="1"/>
      <c r="C747" s="1"/>
      <c r="D747" s="1"/>
      <c r="E747" s="1"/>
      <c r="F747" s="1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ht="16.5" customHeight="1">
      <c r="A748" s="1"/>
      <c r="B748" s="1"/>
      <c r="C748" s="1"/>
      <c r="D748" s="1"/>
      <c r="E748" s="1"/>
      <c r="F748" s="1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ht="16.5" customHeight="1">
      <c r="A749" s="1"/>
      <c r="B749" s="1"/>
      <c r="C749" s="1"/>
      <c r="D749" s="1"/>
      <c r="E749" s="1"/>
      <c r="F749" s="1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ht="16.5" customHeight="1">
      <c r="A750" s="1"/>
      <c r="B750" s="1"/>
      <c r="C750" s="1"/>
      <c r="D750" s="1"/>
      <c r="E750" s="1"/>
      <c r="F750" s="1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ht="16.5" customHeight="1">
      <c r="A751" s="1"/>
      <c r="B751" s="1"/>
      <c r="C751" s="1"/>
      <c r="D751" s="1"/>
      <c r="E751" s="1"/>
      <c r="F751" s="1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ht="16.5" customHeight="1">
      <c r="A752" s="1"/>
      <c r="B752" s="1"/>
      <c r="C752" s="1"/>
      <c r="D752" s="1"/>
      <c r="E752" s="1"/>
      <c r="F752" s="1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ht="16.5" customHeight="1">
      <c r="A753" s="1"/>
      <c r="B753" s="1"/>
      <c r="C753" s="1"/>
      <c r="D753" s="1"/>
      <c r="E753" s="1"/>
      <c r="F753" s="1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ht="16.5" customHeight="1">
      <c r="A754" s="1"/>
      <c r="B754" s="1"/>
      <c r="C754" s="1"/>
      <c r="D754" s="1"/>
      <c r="E754" s="1"/>
      <c r="F754" s="1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ht="16.5" customHeight="1">
      <c r="A755" s="1"/>
      <c r="B755" s="1"/>
      <c r="C755" s="1"/>
      <c r="D755" s="1"/>
      <c r="E755" s="1"/>
      <c r="F755" s="1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ht="16.5" customHeight="1">
      <c r="A756" s="1"/>
      <c r="B756" s="1"/>
      <c r="C756" s="1"/>
      <c r="D756" s="1"/>
      <c r="E756" s="1"/>
      <c r="F756" s="1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ht="16.5" customHeight="1">
      <c r="A757" s="1"/>
      <c r="B757" s="1"/>
      <c r="C757" s="1"/>
      <c r="D757" s="1"/>
      <c r="E757" s="1"/>
      <c r="F757" s="1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ht="16.5" customHeight="1">
      <c r="A758" s="1"/>
      <c r="B758" s="1"/>
      <c r="C758" s="1"/>
      <c r="D758" s="1"/>
      <c r="E758" s="1"/>
      <c r="F758" s="1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ht="16.5" customHeight="1">
      <c r="A759" s="1"/>
      <c r="B759" s="1"/>
      <c r="C759" s="1"/>
      <c r="D759" s="1"/>
      <c r="E759" s="1"/>
      <c r="F759" s="1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ht="16.5" customHeight="1">
      <c r="A760" s="1"/>
      <c r="B760" s="1"/>
      <c r="C760" s="1"/>
      <c r="D760" s="1"/>
      <c r="E760" s="1"/>
      <c r="F760" s="1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ht="16.5" customHeight="1">
      <c r="A761" s="1"/>
      <c r="B761" s="1"/>
      <c r="C761" s="1"/>
      <c r="D761" s="1"/>
      <c r="E761" s="1"/>
      <c r="F761" s="1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ht="16.5" customHeight="1">
      <c r="A762" s="1"/>
      <c r="B762" s="1"/>
      <c r="C762" s="1"/>
      <c r="D762" s="1"/>
      <c r="E762" s="1"/>
      <c r="F762" s="1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ht="16.5" customHeight="1">
      <c r="A763" s="1"/>
      <c r="B763" s="1"/>
      <c r="C763" s="1"/>
      <c r="D763" s="1"/>
      <c r="E763" s="1"/>
      <c r="F763" s="1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ht="16.5" customHeight="1">
      <c r="A764" s="1"/>
      <c r="B764" s="1"/>
      <c r="C764" s="1"/>
      <c r="D764" s="1"/>
      <c r="E764" s="1"/>
      <c r="F764" s="1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ht="16.5" customHeight="1">
      <c r="A765" s="1"/>
      <c r="B765" s="1"/>
      <c r="C765" s="1"/>
      <c r="D765" s="1"/>
      <c r="E765" s="1"/>
      <c r="F765" s="1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ht="16.5" customHeight="1">
      <c r="A766" s="1"/>
      <c r="B766" s="1"/>
      <c r="C766" s="1"/>
      <c r="D766" s="1"/>
      <c r="E766" s="1"/>
      <c r="F766" s="1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ht="16.5" customHeight="1">
      <c r="A767" s="1"/>
      <c r="B767" s="1"/>
      <c r="C767" s="1"/>
      <c r="D767" s="1"/>
      <c r="E767" s="1"/>
      <c r="F767" s="1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ht="16.5" customHeight="1">
      <c r="A768" s="1"/>
      <c r="B768" s="1"/>
      <c r="C768" s="1"/>
      <c r="D768" s="1"/>
      <c r="E768" s="1"/>
      <c r="F768" s="1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ht="16.5" customHeight="1">
      <c r="A769" s="1"/>
      <c r="B769" s="1"/>
      <c r="C769" s="1"/>
      <c r="D769" s="1"/>
      <c r="E769" s="1"/>
      <c r="F769" s="1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ht="16.5" customHeight="1">
      <c r="A770" s="1"/>
      <c r="B770" s="1"/>
      <c r="C770" s="1"/>
      <c r="D770" s="1"/>
      <c r="E770" s="1"/>
      <c r="F770" s="1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ht="16.5" customHeight="1">
      <c r="A771" s="1"/>
      <c r="B771" s="1"/>
      <c r="C771" s="1"/>
      <c r="D771" s="1"/>
      <c r="E771" s="1"/>
      <c r="F771" s="1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ht="16.5" customHeight="1">
      <c r="A772" s="1"/>
      <c r="B772" s="1"/>
      <c r="C772" s="1"/>
      <c r="D772" s="1"/>
      <c r="E772" s="1"/>
      <c r="F772" s="1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ht="16.5" customHeight="1">
      <c r="A773" s="1"/>
      <c r="B773" s="1"/>
      <c r="C773" s="1"/>
      <c r="D773" s="1"/>
      <c r="E773" s="1"/>
      <c r="F773" s="1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ht="16.5" customHeight="1">
      <c r="A774" s="1"/>
      <c r="B774" s="1"/>
      <c r="C774" s="1"/>
      <c r="D774" s="1"/>
      <c r="E774" s="1"/>
      <c r="F774" s="1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ht="16.5" customHeight="1">
      <c r="A775" s="1"/>
      <c r="B775" s="1"/>
      <c r="C775" s="1"/>
      <c r="D775" s="1"/>
      <c r="E775" s="1"/>
      <c r="F775" s="1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ht="16.5" customHeight="1">
      <c r="A776" s="1"/>
      <c r="B776" s="1"/>
      <c r="C776" s="1"/>
      <c r="D776" s="1"/>
      <c r="E776" s="1"/>
      <c r="F776" s="1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ht="16.5" customHeight="1">
      <c r="A777" s="1"/>
      <c r="B777" s="1"/>
      <c r="C777" s="1"/>
      <c r="D777" s="1"/>
      <c r="E777" s="1"/>
      <c r="F777" s="1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ht="16.5" customHeight="1">
      <c r="A778" s="1"/>
      <c r="B778" s="1"/>
      <c r="C778" s="1"/>
      <c r="D778" s="1"/>
      <c r="E778" s="1"/>
      <c r="F778" s="1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ht="16.5" customHeight="1">
      <c r="A779" s="1"/>
      <c r="B779" s="1"/>
      <c r="C779" s="1"/>
      <c r="D779" s="1"/>
      <c r="E779" s="1"/>
      <c r="F779" s="1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ht="16.5" customHeight="1">
      <c r="A780" s="1"/>
      <c r="B780" s="1"/>
      <c r="C780" s="1"/>
      <c r="D780" s="1"/>
      <c r="E780" s="1"/>
      <c r="F780" s="1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ht="16.5" customHeight="1">
      <c r="A781" s="1"/>
      <c r="B781" s="1"/>
      <c r="C781" s="1"/>
      <c r="D781" s="1"/>
      <c r="E781" s="1"/>
      <c r="F781" s="1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ht="16.5" customHeight="1">
      <c r="A782" s="1"/>
      <c r="B782" s="1"/>
      <c r="C782" s="1"/>
      <c r="D782" s="1"/>
      <c r="E782" s="1"/>
      <c r="F782" s="1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ht="16.5" customHeight="1">
      <c r="A783" s="1"/>
      <c r="B783" s="1"/>
      <c r="C783" s="1"/>
      <c r="D783" s="1"/>
      <c r="E783" s="1"/>
      <c r="F783" s="1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ht="16.5" customHeight="1">
      <c r="A784" s="1"/>
      <c r="B784" s="1"/>
      <c r="C784" s="1"/>
      <c r="D784" s="1"/>
      <c r="E784" s="1"/>
      <c r="F784" s="1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ht="16.5" customHeight="1">
      <c r="A785" s="1"/>
      <c r="B785" s="1"/>
      <c r="C785" s="1"/>
      <c r="D785" s="1"/>
      <c r="E785" s="1"/>
      <c r="F785" s="1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ht="16.5" customHeight="1">
      <c r="A786" s="1"/>
      <c r="B786" s="1"/>
      <c r="C786" s="1"/>
      <c r="D786" s="1"/>
      <c r="E786" s="1"/>
      <c r="F786" s="1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ht="16.5" customHeight="1">
      <c r="A787" s="1"/>
      <c r="B787" s="1"/>
      <c r="C787" s="1"/>
      <c r="D787" s="1"/>
      <c r="E787" s="1"/>
      <c r="F787" s="1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ht="16.5" customHeight="1">
      <c r="A788" s="1"/>
      <c r="B788" s="1"/>
      <c r="C788" s="1"/>
      <c r="D788" s="1"/>
      <c r="E788" s="1"/>
      <c r="F788" s="1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ht="16.5" customHeight="1">
      <c r="A789" s="1"/>
      <c r="B789" s="1"/>
      <c r="C789" s="1"/>
      <c r="D789" s="1"/>
      <c r="E789" s="1"/>
      <c r="F789" s="1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ht="16.5" customHeight="1">
      <c r="A790" s="1"/>
      <c r="B790" s="1"/>
      <c r="C790" s="1"/>
      <c r="D790" s="1"/>
      <c r="E790" s="1"/>
      <c r="F790" s="1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ht="16.5" customHeight="1">
      <c r="A791" s="1"/>
      <c r="B791" s="1"/>
      <c r="C791" s="1"/>
      <c r="D791" s="1"/>
      <c r="E791" s="1"/>
      <c r="F791" s="1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ht="16.5" customHeight="1">
      <c r="A792" s="1"/>
      <c r="B792" s="1"/>
      <c r="C792" s="1"/>
      <c r="D792" s="1"/>
      <c r="E792" s="1"/>
      <c r="F792" s="1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ht="16.5" customHeight="1">
      <c r="A793" s="1"/>
      <c r="B793" s="1"/>
      <c r="C793" s="1"/>
      <c r="D793" s="1"/>
      <c r="E793" s="1"/>
      <c r="F793" s="1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ht="16.5" customHeight="1">
      <c r="A794" s="1"/>
      <c r="B794" s="1"/>
      <c r="C794" s="1"/>
      <c r="D794" s="1"/>
      <c r="E794" s="1"/>
      <c r="F794" s="1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ht="16.5" customHeight="1">
      <c r="A795" s="1"/>
      <c r="B795" s="1"/>
      <c r="C795" s="1"/>
      <c r="D795" s="1"/>
      <c r="E795" s="1"/>
      <c r="F795" s="1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ht="16.5" customHeight="1">
      <c r="A796" s="1"/>
      <c r="B796" s="1"/>
      <c r="C796" s="1"/>
      <c r="D796" s="1"/>
      <c r="E796" s="1"/>
      <c r="F796" s="1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ht="16.5" customHeight="1">
      <c r="A797" s="1"/>
      <c r="B797" s="1"/>
      <c r="C797" s="1"/>
      <c r="D797" s="1"/>
      <c r="E797" s="1"/>
      <c r="F797" s="1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ht="16.5" customHeight="1">
      <c r="A798" s="1"/>
      <c r="B798" s="1"/>
      <c r="C798" s="1"/>
      <c r="D798" s="1"/>
      <c r="E798" s="1"/>
      <c r="F798" s="1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ht="16.5" customHeight="1">
      <c r="A799" s="1"/>
      <c r="B799" s="1"/>
      <c r="C799" s="1"/>
      <c r="D799" s="1"/>
      <c r="E799" s="1"/>
      <c r="F799" s="1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ht="16.5" customHeight="1">
      <c r="A800" s="1"/>
      <c r="B800" s="1"/>
      <c r="C800" s="1"/>
      <c r="D800" s="1"/>
      <c r="E800" s="1"/>
      <c r="F800" s="1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ht="16.5" customHeight="1">
      <c r="A801" s="1"/>
      <c r="B801" s="1"/>
      <c r="C801" s="1"/>
      <c r="D801" s="1"/>
      <c r="E801" s="1"/>
      <c r="F801" s="1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ht="16.5" customHeight="1">
      <c r="A802" s="1"/>
      <c r="B802" s="1"/>
      <c r="C802" s="1"/>
      <c r="D802" s="1"/>
      <c r="E802" s="1"/>
      <c r="F802" s="1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ht="16.5" customHeight="1">
      <c r="A803" s="1"/>
      <c r="B803" s="1"/>
      <c r="C803" s="1"/>
      <c r="D803" s="1"/>
      <c r="E803" s="1"/>
      <c r="F803" s="1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ht="16.5" customHeight="1">
      <c r="A804" s="1"/>
      <c r="B804" s="1"/>
      <c r="C804" s="1"/>
      <c r="D804" s="1"/>
      <c r="E804" s="1"/>
      <c r="F804" s="1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ht="16.5" customHeight="1">
      <c r="A805" s="1"/>
      <c r="B805" s="1"/>
      <c r="C805" s="1"/>
      <c r="D805" s="1"/>
      <c r="E805" s="1"/>
      <c r="F805" s="1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ht="16.5" customHeight="1">
      <c r="A806" s="1"/>
      <c r="B806" s="1"/>
      <c r="C806" s="1"/>
      <c r="D806" s="1"/>
      <c r="E806" s="1"/>
      <c r="F806" s="1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ht="16.5" customHeight="1">
      <c r="A807" s="1"/>
      <c r="B807" s="1"/>
      <c r="C807" s="1"/>
      <c r="D807" s="1"/>
      <c r="E807" s="1"/>
      <c r="F807" s="1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ht="16.5" customHeight="1">
      <c r="A808" s="1"/>
      <c r="B808" s="1"/>
      <c r="C808" s="1"/>
      <c r="D808" s="1"/>
      <c r="E808" s="1"/>
      <c r="F808" s="1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ht="16.5" customHeight="1">
      <c r="A809" s="1"/>
      <c r="B809" s="1"/>
      <c r="C809" s="1"/>
      <c r="D809" s="1"/>
      <c r="E809" s="1"/>
      <c r="F809" s="1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ht="16.5" customHeight="1">
      <c r="A810" s="1"/>
      <c r="B810" s="1"/>
      <c r="C810" s="1"/>
      <c r="D810" s="1"/>
      <c r="E810" s="1"/>
      <c r="F810" s="1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ht="16.5" customHeight="1">
      <c r="A811" s="1"/>
      <c r="B811" s="1"/>
      <c r="C811" s="1"/>
      <c r="D811" s="1"/>
      <c r="E811" s="1"/>
      <c r="F811" s="1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ht="16.5" customHeight="1">
      <c r="A812" s="1"/>
      <c r="B812" s="1"/>
      <c r="C812" s="1"/>
      <c r="D812" s="1"/>
      <c r="E812" s="1"/>
      <c r="F812" s="1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ht="16.5" customHeight="1">
      <c r="A813" s="1"/>
      <c r="B813" s="1"/>
      <c r="C813" s="1"/>
      <c r="D813" s="1"/>
      <c r="E813" s="1"/>
      <c r="F813" s="1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ht="16.5" customHeight="1">
      <c r="A814" s="1"/>
      <c r="B814" s="1"/>
      <c r="C814" s="1"/>
      <c r="D814" s="1"/>
      <c r="E814" s="1"/>
      <c r="F814" s="1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ht="16.5" customHeight="1">
      <c r="A815" s="1"/>
      <c r="B815" s="1"/>
      <c r="C815" s="1"/>
      <c r="D815" s="1"/>
      <c r="E815" s="1"/>
      <c r="F815" s="1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ht="16.5" customHeight="1">
      <c r="A816" s="1"/>
      <c r="B816" s="1"/>
      <c r="C816" s="1"/>
      <c r="D816" s="1"/>
      <c r="E816" s="1"/>
      <c r="F816" s="1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ht="16.5" customHeight="1">
      <c r="A817" s="1"/>
      <c r="B817" s="1"/>
      <c r="C817" s="1"/>
      <c r="D817" s="1"/>
      <c r="E817" s="1"/>
      <c r="F817" s="1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ht="16.5" customHeight="1">
      <c r="A818" s="1"/>
      <c r="B818" s="1"/>
      <c r="C818" s="1"/>
      <c r="D818" s="1"/>
      <c r="E818" s="1"/>
      <c r="F818" s="1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ht="16.5" customHeight="1">
      <c r="A819" s="1"/>
      <c r="B819" s="1"/>
      <c r="C819" s="1"/>
      <c r="D819" s="1"/>
      <c r="E819" s="1"/>
      <c r="F819" s="1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ht="16.5" customHeight="1">
      <c r="A820" s="1"/>
      <c r="B820" s="1"/>
      <c r="C820" s="1"/>
      <c r="D820" s="1"/>
      <c r="E820" s="1"/>
      <c r="F820" s="1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ht="16.5" customHeight="1">
      <c r="A821" s="1"/>
      <c r="B821" s="1"/>
      <c r="C821" s="1"/>
      <c r="D821" s="1"/>
      <c r="E821" s="1"/>
      <c r="F821" s="1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ht="16.5" customHeight="1">
      <c r="A822" s="1"/>
      <c r="B822" s="1"/>
      <c r="C822" s="1"/>
      <c r="D822" s="1"/>
      <c r="E822" s="1"/>
      <c r="F822" s="1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ht="16.5" customHeight="1">
      <c r="A823" s="1"/>
      <c r="B823" s="1"/>
      <c r="C823" s="1"/>
      <c r="D823" s="1"/>
      <c r="E823" s="1"/>
      <c r="F823" s="1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ht="16.5" customHeight="1">
      <c r="A824" s="1"/>
      <c r="B824" s="1"/>
      <c r="C824" s="1"/>
      <c r="D824" s="1"/>
      <c r="E824" s="1"/>
      <c r="F824" s="1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ht="16.5" customHeight="1">
      <c r="A825" s="1"/>
      <c r="B825" s="1"/>
      <c r="C825" s="1"/>
      <c r="D825" s="1"/>
      <c r="E825" s="1"/>
      <c r="F825" s="1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ht="16.5" customHeight="1">
      <c r="A826" s="1"/>
      <c r="B826" s="1"/>
      <c r="C826" s="1"/>
      <c r="D826" s="1"/>
      <c r="E826" s="1"/>
      <c r="F826" s="1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ht="16.5" customHeight="1">
      <c r="A827" s="1"/>
      <c r="B827" s="1"/>
      <c r="C827" s="1"/>
      <c r="D827" s="1"/>
      <c r="E827" s="1"/>
      <c r="F827" s="1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ht="16.5" customHeight="1">
      <c r="A828" s="1"/>
      <c r="B828" s="1"/>
      <c r="C828" s="1"/>
      <c r="D828" s="1"/>
      <c r="E828" s="1"/>
      <c r="F828" s="1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ht="16.5" customHeight="1">
      <c r="A829" s="1"/>
      <c r="B829" s="1"/>
      <c r="C829" s="1"/>
      <c r="D829" s="1"/>
      <c r="E829" s="1"/>
      <c r="F829" s="1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ht="16.5" customHeight="1">
      <c r="A830" s="1"/>
      <c r="B830" s="1"/>
      <c r="C830" s="1"/>
      <c r="D830" s="1"/>
      <c r="E830" s="1"/>
      <c r="F830" s="1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ht="16.5" customHeight="1">
      <c r="A831" s="1"/>
      <c r="B831" s="1"/>
      <c r="C831" s="1"/>
      <c r="D831" s="1"/>
      <c r="E831" s="1"/>
      <c r="F831" s="1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ht="16.5" customHeight="1">
      <c r="A832" s="1"/>
      <c r="B832" s="1"/>
      <c r="C832" s="1"/>
      <c r="D832" s="1"/>
      <c r="E832" s="1"/>
      <c r="F832" s="1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ht="16.5" customHeight="1">
      <c r="A833" s="1"/>
      <c r="B833" s="1"/>
      <c r="C833" s="1"/>
      <c r="D833" s="1"/>
      <c r="E833" s="1"/>
      <c r="F833" s="1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ht="16.5" customHeight="1">
      <c r="A834" s="1"/>
      <c r="B834" s="1"/>
      <c r="C834" s="1"/>
      <c r="D834" s="1"/>
      <c r="E834" s="1"/>
      <c r="F834" s="1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ht="16.5" customHeight="1">
      <c r="A835" s="1"/>
      <c r="B835" s="1"/>
      <c r="C835" s="1"/>
      <c r="D835" s="1"/>
      <c r="E835" s="1"/>
      <c r="F835" s="1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ht="16.5" customHeight="1">
      <c r="A836" s="1"/>
      <c r="B836" s="1"/>
      <c r="C836" s="1"/>
      <c r="D836" s="1"/>
      <c r="E836" s="1"/>
      <c r="F836" s="1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ht="16.5" customHeight="1">
      <c r="A837" s="1"/>
      <c r="B837" s="1"/>
      <c r="C837" s="1"/>
      <c r="D837" s="1"/>
      <c r="E837" s="1"/>
      <c r="F837" s="1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ht="16.5" customHeight="1">
      <c r="A838" s="1"/>
      <c r="B838" s="1"/>
      <c r="C838" s="1"/>
      <c r="D838" s="1"/>
      <c r="E838" s="1"/>
      <c r="F838" s="1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ht="16.5" customHeight="1">
      <c r="A839" s="1"/>
      <c r="B839" s="1"/>
      <c r="C839" s="1"/>
      <c r="D839" s="1"/>
      <c r="E839" s="1"/>
      <c r="F839" s="1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ht="16.5" customHeight="1">
      <c r="A840" s="1"/>
      <c r="B840" s="1"/>
      <c r="C840" s="1"/>
      <c r="D840" s="1"/>
      <c r="E840" s="1"/>
      <c r="F840" s="1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ht="16.5" customHeight="1">
      <c r="A841" s="1"/>
      <c r="B841" s="1"/>
      <c r="C841" s="1"/>
      <c r="D841" s="1"/>
      <c r="E841" s="1"/>
      <c r="F841" s="1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ht="16.5" customHeight="1">
      <c r="A842" s="1"/>
      <c r="B842" s="1"/>
      <c r="C842" s="1"/>
      <c r="D842" s="1"/>
      <c r="E842" s="1"/>
      <c r="F842" s="1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ht="16.5" customHeight="1">
      <c r="A843" s="1"/>
      <c r="B843" s="1"/>
      <c r="C843" s="1"/>
      <c r="D843" s="1"/>
      <c r="E843" s="1"/>
      <c r="F843" s="1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ht="16.5" customHeight="1">
      <c r="A844" s="1"/>
      <c r="B844" s="1"/>
      <c r="C844" s="1"/>
      <c r="D844" s="1"/>
      <c r="E844" s="1"/>
      <c r="F844" s="1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ht="16.5" customHeight="1">
      <c r="A845" s="1"/>
      <c r="B845" s="1"/>
      <c r="C845" s="1"/>
      <c r="D845" s="1"/>
      <c r="E845" s="1"/>
      <c r="F845" s="1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ht="16.5" customHeight="1">
      <c r="A846" s="1"/>
      <c r="B846" s="1"/>
      <c r="C846" s="1"/>
      <c r="D846" s="1"/>
      <c r="E846" s="1"/>
      <c r="F846" s="1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ht="16.5" customHeight="1">
      <c r="A847" s="1"/>
      <c r="B847" s="1"/>
      <c r="C847" s="1"/>
      <c r="D847" s="1"/>
      <c r="E847" s="1"/>
      <c r="F847" s="1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ht="16.5" customHeight="1">
      <c r="A848" s="1"/>
      <c r="B848" s="1"/>
      <c r="C848" s="1"/>
      <c r="D848" s="1"/>
      <c r="E848" s="1"/>
      <c r="F848" s="1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ht="16.5" customHeight="1">
      <c r="A849" s="1"/>
      <c r="B849" s="1"/>
      <c r="C849" s="1"/>
      <c r="D849" s="1"/>
      <c r="E849" s="1"/>
      <c r="F849" s="1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ht="16.5" customHeight="1">
      <c r="A850" s="1"/>
      <c r="B850" s="1"/>
      <c r="C850" s="1"/>
      <c r="D850" s="1"/>
      <c r="E850" s="1"/>
      <c r="F850" s="1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ht="16.5" customHeight="1">
      <c r="A851" s="1"/>
      <c r="B851" s="1"/>
      <c r="C851" s="1"/>
      <c r="D851" s="1"/>
      <c r="E851" s="1"/>
      <c r="F851" s="1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ht="16.5" customHeight="1">
      <c r="A852" s="1"/>
      <c r="B852" s="1"/>
      <c r="C852" s="1"/>
      <c r="D852" s="1"/>
      <c r="E852" s="1"/>
      <c r="F852" s="1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ht="16.5" customHeight="1">
      <c r="A853" s="1"/>
      <c r="B853" s="1"/>
      <c r="C853" s="1"/>
      <c r="D853" s="1"/>
      <c r="E853" s="1"/>
      <c r="F853" s="1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ht="16.5" customHeight="1">
      <c r="A854" s="1"/>
      <c r="B854" s="1"/>
      <c r="C854" s="1"/>
      <c r="D854" s="1"/>
      <c r="E854" s="1"/>
      <c r="F854" s="1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ht="16.5" customHeight="1">
      <c r="A855" s="1"/>
      <c r="B855" s="1"/>
      <c r="C855" s="1"/>
      <c r="D855" s="1"/>
      <c r="E855" s="1"/>
      <c r="F855" s="1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ht="16.5" customHeight="1">
      <c r="A856" s="1"/>
      <c r="B856" s="1"/>
      <c r="C856" s="1"/>
      <c r="D856" s="1"/>
      <c r="E856" s="1"/>
      <c r="F856" s="1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ht="16.5" customHeight="1">
      <c r="A857" s="1"/>
      <c r="B857" s="1"/>
      <c r="C857" s="1"/>
      <c r="D857" s="1"/>
      <c r="E857" s="1"/>
      <c r="F857" s="1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ht="16.5" customHeight="1">
      <c r="A858" s="1"/>
      <c r="B858" s="1"/>
      <c r="C858" s="1"/>
      <c r="D858" s="1"/>
      <c r="E858" s="1"/>
      <c r="F858" s="1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ht="16.5" customHeight="1">
      <c r="A859" s="1"/>
      <c r="B859" s="1"/>
      <c r="C859" s="1"/>
      <c r="D859" s="1"/>
      <c r="E859" s="1"/>
      <c r="F859" s="1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ht="16.5" customHeight="1">
      <c r="A860" s="1"/>
      <c r="B860" s="1"/>
      <c r="C860" s="1"/>
      <c r="D860" s="1"/>
      <c r="E860" s="1"/>
      <c r="F860" s="1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ht="16.5" customHeight="1">
      <c r="A861" s="1"/>
      <c r="B861" s="1"/>
      <c r="C861" s="1"/>
      <c r="D861" s="1"/>
      <c r="E861" s="1"/>
      <c r="F861" s="1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ht="16.5" customHeight="1">
      <c r="A862" s="1"/>
      <c r="B862" s="1"/>
      <c r="C862" s="1"/>
      <c r="D862" s="1"/>
      <c r="E862" s="1"/>
      <c r="F862" s="1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ht="16.5" customHeight="1">
      <c r="A863" s="1"/>
      <c r="B863" s="1"/>
      <c r="C863" s="1"/>
      <c r="D863" s="1"/>
      <c r="E863" s="1"/>
      <c r="F863" s="1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ht="16.5" customHeight="1">
      <c r="A864" s="1"/>
      <c r="B864" s="1"/>
      <c r="C864" s="1"/>
      <c r="D864" s="1"/>
      <c r="E864" s="1"/>
      <c r="F864" s="1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ht="16.5" customHeight="1">
      <c r="A865" s="1"/>
      <c r="B865" s="1"/>
      <c r="C865" s="1"/>
      <c r="D865" s="1"/>
      <c r="E865" s="1"/>
      <c r="F865" s="1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ht="16.5" customHeight="1">
      <c r="A866" s="1"/>
      <c r="B866" s="1"/>
      <c r="C866" s="1"/>
      <c r="D866" s="1"/>
      <c r="E866" s="1"/>
      <c r="F866" s="1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ht="16.5" customHeight="1">
      <c r="A867" s="1"/>
      <c r="B867" s="1"/>
      <c r="C867" s="1"/>
      <c r="D867" s="1"/>
      <c r="E867" s="1"/>
      <c r="F867" s="1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ht="16.5" customHeight="1">
      <c r="A868" s="1"/>
      <c r="B868" s="1"/>
      <c r="C868" s="1"/>
      <c r="D868" s="1"/>
      <c r="E868" s="1"/>
      <c r="F868" s="1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ht="16.5" customHeight="1">
      <c r="A869" s="1"/>
      <c r="B869" s="1"/>
      <c r="C869" s="1"/>
      <c r="D869" s="1"/>
      <c r="E869" s="1"/>
      <c r="F869" s="1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ht="16.5" customHeight="1">
      <c r="A870" s="1"/>
      <c r="B870" s="1"/>
      <c r="C870" s="1"/>
      <c r="D870" s="1"/>
      <c r="E870" s="1"/>
      <c r="F870" s="1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ht="16.5" customHeight="1">
      <c r="A871" s="1"/>
      <c r="B871" s="1"/>
      <c r="C871" s="1"/>
      <c r="D871" s="1"/>
      <c r="E871" s="1"/>
      <c r="F871" s="1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ht="16.5" customHeight="1">
      <c r="A872" s="1"/>
      <c r="B872" s="1"/>
      <c r="C872" s="1"/>
      <c r="D872" s="1"/>
      <c r="E872" s="1"/>
      <c r="F872" s="1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ht="16.5" customHeight="1">
      <c r="A873" s="1"/>
      <c r="B873" s="1"/>
      <c r="C873" s="1"/>
      <c r="D873" s="1"/>
      <c r="E873" s="1"/>
      <c r="F873" s="1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ht="16.5" customHeight="1">
      <c r="A874" s="1"/>
      <c r="B874" s="1"/>
      <c r="C874" s="1"/>
      <c r="D874" s="1"/>
      <c r="E874" s="1"/>
      <c r="F874" s="1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ht="16.5" customHeight="1">
      <c r="A875" s="1"/>
      <c r="B875" s="1"/>
      <c r="C875" s="1"/>
      <c r="D875" s="1"/>
      <c r="E875" s="1"/>
      <c r="F875" s="1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ht="16.5" customHeight="1">
      <c r="A876" s="1"/>
      <c r="B876" s="1"/>
      <c r="C876" s="1"/>
      <c r="D876" s="1"/>
      <c r="E876" s="1"/>
      <c r="F876" s="1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ht="16.5" customHeight="1">
      <c r="A877" s="1"/>
      <c r="B877" s="1"/>
      <c r="C877" s="1"/>
      <c r="D877" s="1"/>
      <c r="E877" s="1"/>
      <c r="F877" s="1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ht="16.5" customHeight="1">
      <c r="A878" s="1"/>
      <c r="B878" s="1"/>
      <c r="C878" s="1"/>
      <c r="D878" s="1"/>
      <c r="E878" s="1"/>
      <c r="F878" s="1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ht="16.5" customHeight="1">
      <c r="A879" s="1"/>
      <c r="B879" s="1"/>
      <c r="C879" s="1"/>
      <c r="D879" s="1"/>
      <c r="E879" s="1"/>
      <c r="F879" s="1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ht="16.5" customHeight="1">
      <c r="A880" s="1"/>
      <c r="B880" s="1"/>
      <c r="C880" s="1"/>
      <c r="D880" s="1"/>
      <c r="E880" s="1"/>
      <c r="F880" s="1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ht="16.5" customHeight="1">
      <c r="A881" s="1"/>
      <c r="B881" s="1"/>
      <c r="C881" s="1"/>
      <c r="D881" s="1"/>
      <c r="E881" s="1"/>
      <c r="F881" s="1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ht="16.5" customHeight="1">
      <c r="A882" s="1"/>
      <c r="B882" s="1"/>
      <c r="C882" s="1"/>
      <c r="D882" s="1"/>
      <c r="E882" s="1"/>
      <c r="F882" s="1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ht="16.5" customHeight="1">
      <c r="A883" s="1"/>
      <c r="B883" s="1"/>
      <c r="C883" s="1"/>
      <c r="D883" s="1"/>
      <c r="E883" s="1"/>
      <c r="F883" s="1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ht="16.5" customHeight="1">
      <c r="A884" s="1"/>
      <c r="B884" s="1"/>
      <c r="C884" s="1"/>
      <c r="D884" s="1"/>
      <c r="E884" s="1"/>
      <c r="F884" s="1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ht="16.5" customHeight="1">
      <c r="A885" s="1"/>
      <c r="B885" s="1"/>
      <c r="C885" s="1"/>
      <c r="D885" s="1"/>
      <c r="E885" s="1"/>
      <c r="F885" s="1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ht="16.5" customHeight="1">
      <c r="A886" s="1"/>
      <c r="B886" s="1"/>
      <c r="C886" s="1"/>
      <c r="D886" s="1"/>
      <c r="E886" s="1"/>
      <c r="F886" s="1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ht="16.5" customHeight="1">
      <c r="A887" s="1"/>
      <c r="B887" s="1"/>
      <c r="C887" s="1"/>
      <c r="D887" s="1"/>
      <c r="E887" s="1"/>
      <c r="F887" s="1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ht="16.5" customHeight="1">
      <c r="A888" s="1"/>
      <c r="B888" s="1"/>
      <c r="C888" s="1"/>
      <c r="D888" s="1"/>
      <c r="E888" s="1"/>
      <c r="F888" s="1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ht="16.5" customHeight="1">
      <c r="A889" s="1"/>
      <c r="B889" s="1"/>
      <c r="C889" s="1"/>
      <c r="D889" s="1"/>
      <c r="E889" s="1"/>
      <c r="F889" s="1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ht="16.5" customHeight="1">
      <c r="A890" s="1"/>
      <c r="B890" s="1"/>
      <c r="C890" s="1"/>
      <c r="D890" s="1"/>
      <c r="E890" s="1"/>
      <c r="F890" s="1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ht="16.5" customHeight="1">
      <c r="A891" s="1"/>
      <c r="B891" s="1"/>
      <c r="C891" s="1"/>
      <c r="D891" s="1"/>
      <c r="E891" s="1"/>
      <c r="F891" s="1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ht="16.5" customHeight="1">
      <c r="A892" s="1"/>
      <c r="B892" s="1"/>
      <c r="C892" s="1"/>
      <c r="D892" s="1"/>
      <c r="E892" s="1"/>
      <c r="F892" s="1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ht="16.5" customHeight="1">
      <c r="A893" s="1"/>
      <c r="B893" s="1"/>
      <c r="C893" s="1"/>
      <c r="D893" s="1"/>
      <c r="E893" s="1"/>
      <c r="F893" s="1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ht="16.5" customHeight="1">
      <c r="A894" s="1"/>
      <c r="B894" s="1"/>
      <c r="C894" s="1"/>
      <c r="D894" s="1"/>
      <c r="E894" s="1"/>
      <c r="F894" s="1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ht="16.5" customHeight="1">
      <c r="A895" s="1"/>
      <c r="B895" s="1"/>
      <c r="C895" s="1"/>
      <c r="D895" s="1"/>
      <c r="E895" s="1"/>
      <c r="F895" s="1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ht="16.5" customHeight="1">
      <c r="A896" s="1"/>
      <c r="B896" s="1"/>
      <c r="C896" s="1"/>
      <c r="D896" s="1"/>
      <c r="E896" s="1"/>
      <c r="F896" s="1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ht="16.5" customHeight="1">
      <c r="A897" s="1"/>
      <c r="B897" s="1"/>
      <c r="C897" s="1"/>
      <c r="D897" s="1"/>
      <c r="E897" s="1"/>
      <c r="F897" s="1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ht="16.5" customHeight="1">
      <c r="A898" s="1"/>
      <c r="B898" s="1"/>
      <c r="C898" s="1"/>
      <c r="D898" s="1"/>
      <c r="E898" s="1"/>
      <c r="F898" s="1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ht="16.5" customHeight="1">
      <c r="A899" s="1"/>
      <c r="B899" s="1"/>
      <c r="C899" s="1"/>
      <c r="D899" s="1"/>
      <c r="E899" s="1"/>
      <c r="F899" s="1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ht="16.5" customHeight="1">
      <c r="A900" s="1"/>
      <c r="B900" s="1"/>
      <c r="C900" s="1"/>
      <c r="D900" s="1"/>
      <c r="E900" s="1"/>
      <c r="F900" s="1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ht="16.5" customHeight="1">
      <c r="A901" s="1"/>
      <c r="B901" s="1"/>
      <c r="C901" s="1"/>
      <c r="D901" s="1"/>
      <c r="E901" s="1"/>
      <c r="F901" s="1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ht="16.5" customHeight="1">
      <c r="A902" s="1"/>
      <c r="B902" s="1"/>
      <c r="C902" s="1"/>
      <c r="D902" s="1"/>
      <c r="E902" s="1"/>
      <c r="F902" s="1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ht="16.5" customHeight="1">
      <c r="A903" s="1"/>
      <c r="B903" s="1"/>
      <c r="C903" s="1"/>
      <c r="D903" s="1"/>
      <c r="E903" s="1"/>
      <c r="F903" s="1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ht="16.5" customHeight="1">
      <c r="A904" s="1"/>
      <c r="B904" s="1"/>
      <c r="C904" s="1"/>
      <c r="D904" s="1"/>
      <c r="E904" s="1"/>
      <c r="F904" s="1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ht="16.5" customHeight="1">
      <c r="A905" s="1"/>
      <c r="B905" s="1"/>
      <c r="C905" s="1"/>
      <c r="D905" s="1"/>
      <c r="E905" s="1"/>
      <c r="F905" s="1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ht="16.5" customHeight="1">
      <c r="A906" s="1"/>
      <c r="B906" s="1"/>
      <c r="C906" s="1"/>
      <c r="D906" s="1"/>
      <c r="E906" s="1"/>
      <c r="F906" s="1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ht="16.5" customHeight="1">
      <c r="A907" s="1"/>
      <c r="B907" s="1"/>
      <c r="C907" s="1"/>
      <c r="D907" s="1"/>
      <c r="E907" s="1"/>
      <c r="F907" s="1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ht="16.5" customHeight="1">
      <c r="A908" s="1"/>
      <c r="B908" s="1"/>
      <c r="C908" s="1"/>
      <c r="D908" s="1"/>
      <c r="E908" s="1"/>
      <c r="F908" s="1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ht="16.5" customHeight="1">
      <c r="A909" s="1"/>
      <c r="B909" s="1"/>
      <c r="C909" s="1"/>
      <c r="D909" s="1"/>
      <c r="E909" s="1"/>
      <c r="F909" s="1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ht="16.5" customHeight="1">
      <c r="A910" s="1"/>
      <c r="B910" s="1"/>
      <c r="C910" s="1"/>
      <c r="D910" s="1"/>
      <c r="E910" s="1"/>
      <c r="F910" s="1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ht="16.5" customHeight="1">
      <c r="A911" s="1"/>
      <c r="B911" s="1"/>
      <c r="C911" s="1"/>
      <c r="D911" s="1"/>
      <c r="E911" s="1"/>
      <c r="F911" s="1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ht="16.5" customHeight="1">
      <c r="A912" s="1"/>
      <c r="B912" s="1"/>
      <c r="C912" s="1"/>
      <c r="D912" s="1"/>
      <c r="E912" s="1"/>
      <c r="F912" s="1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ht="16.5" customHeight="1">
      <c r="A913" s="1"/>
      <c r="B913" s="1"/>
      <c r="C913" s="1"/>
      <c r="D913" s="1"/>
      <c r="E913" s="1"/>
      <c r="F913" s="1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ht="16.5" customHeight="1">
      <c r="A914" s="1"/>
      <c r="B914" s="1"/>
      <c r="C914" s="1"/>
      <c r="D914" s="1"/>
      <c r="E914" s="1"/>
      <c r="F914" s="1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ht="16.5" customHeight="1">
      <c r="A915" s="1"/>
      <c r="B915" s="1"/>
      <c r="C915" s="1"/>
      <c r="D915" s="1"/>
      <c r="E915" s="1"/>
      <c r="F915" s="1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ht="16.5" customHeight="1">
      <c r="A916" s="1"/>
      <c r="B916" s="1"/>
      <c r="C916" s="1"/>
      <c r="D916" s="1"/>
      <c r="E916" s="1"/>
      <c r="F916" s="1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ht="16.5" customHeight="1">
      <c r="A917" s="1"/>
      <c r="B917" s="1"/>
      <c r="C917" s="1"/>
      <c r="D917" s="1"/>
      <c r="E917" s="1"/>
      <c r="F917" s="1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ht="16.5" customHeight="1">
      <c r="A918" s="1"/>
      <c r="B918" s="1"/>
      <c r="C918" s="1"/>
      <c r="D918" s="1"/>
      <c r="E918" s="1"/>
      <c r="F918" s="1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ht="16.5" customHeight="1">
      <c r="A919" s="1"/>
      <c r="B919" s="1"/>
      <c r="C919" s="1"/>
      <c r="D919" s="1"/>
      <c r="E919" s="1"/>
      <c r="F919" s="1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ht="16.5" customHeight="1">
      <c r="A920" s="1"/>
      <c r="B920" s="1"/>
      <c r="C920" s="1"/>
      <c r="D920" s="1"/>
      <c r="E920" s="1"/>
      <c r="F920" s="1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ht="16.5" customHeight="1">
      <c r="A921" s="1"/>
      <c r="B921" s="1"/>
      <c r="C921" s="1"/>
      <c r="D921" s="1"/>
      <c r="E921" s="1"/>
      <c r="F921" s="1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ht="16.5" customHeight="1">
      <c r="A922" s="1"/>
      <c r="B922" s="1"/>
      <c r="C922" s="1"/>
      <c r="D922" s="1"/>
      <c r="E922" s="1"/>
      <c r="F922" s="1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ht="16.5" customHeight="1">
      <c r="A923" s="1"/>
      <c r="B923" s="1"/>
      <c r="C923" s="1"/>
      <c r="D923" s="1"/>
      <c r="E923" s="1"/>
      <c r="F923" s="1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ht="16.5" customHeight="1">
      <c r="A924" s="1"/>
      <c r="B924" s="1"/>
      <c r="C924" s="1"/>
      <c r="D924" s="1"/>
      <c r="E924" s="1"/>
      <c r="F924" s="1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ht="16.5" customHeight="1">
      <c r="A925" s="1"/>
      <c r="B925" s="1"/>
      <c r="C925" s="1"/>
      <c r="D925" s="1"/>
      <c r="E925" s="1"/>
      <c r="F925" s="1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ht="16.5" customHeight="1">
      <c r="A926" s="1"/>
      <c r="B926" s="1"/>
      <c r="C926" s="1"/>
      <c r="D926" s="1"/>
      <c r="E926" s="1"/>
      <c r="F926" s="1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ht="16.5" customHeight="1">
      <c r="A927" s="1"/>
      <c r="B927" s="1"/>
      <c r="C927" s="1"/>
      <c r="D927" s="1"/>
      <c r="E927" s="1"/>
      <c r="F927" s="1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ht="16.5" customHeight="1">
      <c r="A928" s="1"/>
      <c r="B928" s="1"/>
      <c r="C928" s="1"/>
      <c r="D928" s="1"/>
      <c r="E928" s="1"/>
      <c r="F928" s="1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ht="16.5" customHeight="1">
      <c r="A929" s="1"/>
      <c r="B929" s="1"/>
      <c r="C929" s="1"/>
      <c r="D929" s="1"/>
      <c r="E929" s="1"/>
      <c r="F929" s="1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ht="16.5" customHeight="1">
      <c r="A930" s="1"/>
      <c r="B930" s="1"/>
      <c r="C930" s="1"/>
      <c r="D930" s="1"/>
      <c r="E930" s="1"/>
      <c r="F930" s="1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ht="16.5" customHeight="1">
      <c r="A931" s="1"/>
      <c r="B931" s="1"/>
      <c r="C931" s="1"/>
      <c r="D931" s="1"/>
      <c r="E931" s="1"/>
      <c r="F931" s="1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ht="16.5" customHeight="1">
      <c r="A932" s="1"/>
      <c r="B932" s="1"/>
      <c r="C932" s="1"/>
      <c r="D932" s="1"/>
      <c r="E932" s="1"/>
      <c r="F932" s="1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ht="16.5" customHeight="1">
      <c r="A933" s="1"/>
      <c r="B933" s="1"/>
      <c r="C933" s="1"/>
      <c r="D933" s="1"/>
      <c r="E933" s="1"/>
      <c r="F933" s="1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ht="16.5" customHeight="1">
      <c r="A934" s="1"/>
      <c r="B934" s="1"/>
      <c r="C934" s="1"/>
      <c r="D934" s="1"/>
      <c r="E934" s="1"/>
      <c r="F934" s="1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ht="16.5" customHeight="1">
      <c r="A935" s="1"/>
      <c r="B935" s="1"/>
      <c r="C935" s="1"/>
      <c r="D935" s="1"/>
      <c r="E935" s="1"/>
      <c r="F935" s="1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ht="16.5" customHeight="1">
      <c r="A936" s="1"/>
      <c r="B936" s="1"/>
      <c r="C936" s="1"/>
      <c r="D936" s="1"/>
      <c r="E936" s="1"/>
      <c r="F936" s="1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ht="16.5" customHeight="1">
      <c r="A937" s="1"/>
      <c r="B937" s="1"/>
      <c r="C937" s="1"/>
      <c r="D937" s="1"/>
      <c r="E937" s="1"/>
      <c r="F937" s="1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ht="16.5" customHeight="1">
      <c r="A938" s="1"/>
      <c r="B938" s="1"/>
      <c r="C938" s="1"/>
      <c r="D938" s="1"/>
      <c r="E938" s="1"/>
      <c r="F938" s="1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ht="16.5" customHeight="1">
      <c r="A939" s="1"/>
      <c r="B939" s="1"/>
      <c r="C939" s="1"/>
      <c r="D939" s="1"/>
      <c r="E939" s="1"/>
      <c r="F939" s="1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ht="16.5" customHeight="1">
      <c r="A940" s="1"/>
      <c r="B940" s="1"/>
      <c r="C940" s="1"/>
      <c r="D940" s="1"/>
      <c r="E940" s="1"/>
      <c r="F940" s="1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ht="16.5" customHeight="1">
      <c r="A941" s="1"/>
      <c r="B941" s="1"/>
      <c r="C941" s="1"/>
      <c r="D941" s="1"/>
      <c r="E941" s="1"/>
      <c r="F941" s="1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ht="16.5" customHeight="1">
      <c r="A942" s="1"/>
      <c r="B942" s="1"/>
      <c r="C942" s="1"/>
      <c r="D942" s="1"/>
      <c r="E942" s="1"/>
      <c r="F942" s="1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ht="16.5" customHeight="1">
      <c r="A943" s="1"/>
      <c r="B943" s="1"/>
      <c r="C943" s="1"/>
      <c r="D943" s="1"/>
      <c r="E943" s="1"/>
      <c r="F943" s="1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ht="16.5" customHeight="1">
      <c r="A944" s="1"/>
      <c r="B944" s="1"/>
      <c r="C944" s="1"/>
      <c r="D944" s="1"/>
      <c r="E944" s="1"/>
      <c r="F944" s="1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ht="16.5" customHeight="1">
      <c r="A945" s="1"/>
      <c r="B945" s="1"/>
      <c r="C945" s="1"/>
      <c r="D945" s="1"/>
      <c r="E945" s="1"/>
      <c r="F945" s="1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ht="16.5" customHeight="1">
      <c r="A946" s="1"/>
      <c r="B946" s="1"/>
      <c r="C946" s="1"/>
      <c r="D946" s="1"/>
      <c r="E946" s="1"/>
      <c r="F946" s="1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ht="16.5" customHeight="1">
      <c r="A947" s="1"/>
      <c r="B947" s="1"/>
      <c r="C947" s="1"/>
      <c r="D947" s="1"/>
      <c r="E947" s="1"/>
      <c r="F947" s="1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ht="16.5" customHeight="1">
      <c r="A948" s="1"/>
      <c r="B948" s="1"/>
      <c r="C948" s="1"/>
      <c r="D948" s="1"/>
      <c r="E948" s="1"/>
      <c r="F948" s="1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ht="16.5" customHeight="1">
      <c r="A949" s="1"/>
      <c r="B949" s="1"/>
      <c r="C949" s="1"/>
      <c r="D949" s="1"/>
      <c r="E949" s="1"/>
      <c r="F949" s="1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ht="16.5" customHeight="1">
      <c r="A950" s="1"/>
      <c r="B950" s="1"/>
      <c r="C950" s="1"/>
      <c r="D950" s="1"/>
      <c r="E950" s="1"/>
      <c r="F950" s="1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ht="16.5" customHeight="1">
      <c r="A951" s="1"/>
      <c r="B951" s="1"/>
      <c r="C951" s="1"/>
      <c r="D951" s="1"/>
      <c r="E951" s="1"/>
      <c r="F951" s="1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ht="16.5" customHeight="1">
      <c r="A952" s="1"/>
      <c r="B952" s="1"/>
      <c r="C952" s="1"/>
      <c r="D952" s="1"/>
      <c r="E952" s="1"/>
      <c r="F952" s="1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ht="16.5" customHeight="1">
      <c r="A953" s="1"/>
      <c r="B953" s="1"/>
      <c r="C953" s="1"/>
      <c r="D953" s="1"/>
      <c r="E953" s="1"/>
      <c r="F953" s="1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ht="16.5" customHeight="1">
      <c r="A954" s="1"/>
      <c r="B954" s="1"/>
      <c r="C954" s="1"/>
      <c r="D954" s="1"/>
      <c r="E954" s="1"/>
      <c r="F954" s="1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ht="16.5" customHeight="1">
      <c r="A955" s="1"/>
      <c r="B955" s="1"/>
      <c r="C955" s="1"/>
      <c r="D955" s="1"/>
      <c r="E955" s="1"/>
      <c r="F955" s="1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ht="16.5" customHeight="1">
      <c r="A956" s="1"/>
      <c r="B956" s="1"/>
      <c r="C956" s="1"/>
      <c r="D956" s="1"/>
      <c r="E956" s="1"/>
      <c r="F956" s="1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ht="16.5" customHeight="1">
      <c r="A957" s="1"/>
      <c r="B957" s="1"/>
      <c r="C957" s="1"/>
      <c r="D957" s="1"/>
      <c r="E957" s="1"/>
      <c r="F957" s="1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ht="16.5" customHeight="1">
      <c r="A958" s="1"/>
      <c r="B958" s="1"/>
      <c r="C958" s="1"/>
      <c r="D958" s="1"/>
      <c r="E958" s="1"/>
      <c r="F958" s="1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ht="16.5" customHeight="1">
      <c r="A959" s="1"/>
      <c r="B959" s="1"/>
      <c r="C959" s="1"/>
      <c r="D959" s="1"/>
      <c r="E959" s="1"/>
      <c r="F959" s="1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ht="16.5" customHeight="1">
      <c r="A960" s="1"/>
      <c r="B960" s="1"/>
      <c r="C960" s="1"/>
      <c r="D960" s="1"/>
      <c r="E960" s="1"/>
      <c r="F960" s="1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ht="16.5" customHeight="1">
      <c r="A961" s="1"/>
      <c r="B961" s="1"/>
      <c r="C961" s="1"/>
      <c r="D961" s="1"/>
      <c r="E961" s="1"/>
      <c r="F961" s="1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ht="16.5" customHeight="1">
      <c r="A962" s="1"/>
      <c r="B962" s="1"/>
      <c r="C962" s="1"/>
      <c r="D962" s="1"/>
      <c r="E962" s="1"/>
      <c r="F962" s="1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ht="16.5" customHeight="1">
      <c r="A963" s="1"/>
      <c r="B963" s="1"/>
      <c r="C963" s="1"/>
      <c r="D963" s="1"/>
      <c r="E963" s="1"/>
      <c r="F963" s="1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ht="16.5" customHeight="1">
      <c r="A964" s="1"/>
      <c r="B964" s="1"/>
      <c r="C964" s="1"/>
      <c r="D964" s="1"/>
      <c r="E964" s="1"/>
      <c r="F964" s="1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ht="16.5" customHeight="1">
      <c r="A965" s="1"/>
      <c r="B965" s="1"/>
      <c r="C965" s="1"/>
      <c r="D965" s="1"/>
      <c r="E965" s="1"/>
      <c r="F965" s="1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ht="16.5" customHeight="1">
      <c r="A966" s="1"/>
      <c r="B966" s="1"/>
      <c r="C966" s="1"/>
      <c r="D966" s="1"/>
      <c r="E966" s="1"/>
      <c r="F966" s="1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ht="16.5" customHeight="1">
      <c r="A967" s="1"/>
      <c r="B967" s="1"/>
      <c r="C967" s="1"/>
      <c r="D967" s="1"/>
      <c r="E967" s="1"/>
      <c r="F967" s="1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ht="16.5" customHeight="1">
      <c r="A968" s="1"/>
      <c r="B968" s="1"/>
      <c r="C968" s="1"/>
      <c r="D968" s="1"/>
      <c r="E968" s="1"/>
      <c r="F968" s="1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ht="16.5" customHeight="1">
      <c r="A969" s="1"/>
      <c r="B969" s="1"/>
      <c r="C969" s="1"/>
      <c r="D969" s="1"/>
      <c r="E969" s="1"/>
      <c r="F969" s="1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ht="16.5" customHeight="1">
      <c r="A970" s="1"/>
      <c r="B970" s="1"/>
      <c r="C970" s="1"/>
      <c r="D970" s="1"/>
      <c r="E970" s="1"/>
      <c r="F970" s="1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ht="16.5" customHeight="1">
      <c r="A971" s="1"/>
      <c r="B971" s="1"/>
      <c r="C971" s="1"/>
      <c r="D971" s="1"/>
      <c r="E971" s="1"/>
      <c r="F971" s="1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ht="16.5" customHeight="1">
      <c r="A972" s="1"/>
      <c r="B972" s="1"/>
      <c r="C972" s="1"/>
      <c r="D972" s="1"/>
      <c r="E972" s="1"/>
      <c r="F972" s="1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ht="16.5" customHeight="1">
      <c r="A973" s="1"/>
      <c r="B973" s="1"/>
      <c r="C973" s="1"/>
      <c r="D973" s="1"/>
      <c r="E973" s="1"/>
      <c r="F973" s="1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ht="16.5" customHeight="1">
      <c r="A974" s="1"/>
      <c r="B974" s="1"/>
      <c r="C974" s="1"/>
      <c r="D974" s="1"/>
      <c r="E974" s="1"/>
      <c r="F974" s="1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ht="16.5" customHeight="1">
      <c r="A975" s="1"/>
      <c r="B975" s="1"/>
      <c r="C975" s="1"/>
      <c r="D975" s="1"/>
      <c r="E975" s="1"/>
      <c r="F975" s="1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ht="16.5" customHeight="1">
      <c r="A976" s="1"/>
      <c r="B976" s="1"/>
      <c r="C976" s="1"/>
      <c r="D976" s="1"/>
      <c r="E976" s="1"/>
      <c r="F976" s="1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ht="16.5" customHeight="1">
      <c r="A977" s="1"/>
      <c r="B977" s="1"/>
      <c r="C977" s="1"/>
      <c r="D977" s="1"/>
      <c r="E977" s="1"/>
      <c r="F977" s="1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ht="16.5" customHeight="1">
      <c r="A978" s="1"/>
      <c r="B978" s="1"/>
      <c r="C978" s="1"/>
      <c r="D978" s="1"/>
      <c r="E978" s="1"/>
      <c r="F978" s="1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ht="16.5" customHeight="1">
      <c r="A979" s="1"/>
      <c r="B979" s="1"/>
      <c r="C979" s="1"/>
      <c r="D979" s="1"/>
      <c r="E979" s="1"/>
      <c r="F979" s="1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ht="16.5" customHeight="1">
      <c r="A980" s="1"/>
      <c r="B980" s="1"/>
      <c r="C980" s="1"/>
      <c r="D980" s="1"/>
      <c r="E980" s="1"/>
      <c r="F980" s="1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ht="16.5" customHeight="1">
      <c r="A981" s="1"/>
      <c r="B981" s="1"/>
      <c r="C981" s="1"/>
      <c r="D981" s="1"/>
      <c r="E981" s="1"/>
      <c r="F981" s="1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ht="16.5" customHeight="1">
      <c r="A982" s="1"/>
      <c r="B982" s="1"/>
      <c r="C982" s="1"/>
      <c r="D982" s="1"/>
      <c r="E982" s="1"/>
      <c r="F982" s="1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ht="16.5" customHeight="1">
      <c r="A983" s="1"/>
      <c r="B983" s="1"/>
      <c r="C983" s="1"/>
      <c r="D983" s="1"/>
      <c r="E983" s="1"/>
      <c r="F983" s="1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ht="16.5" customHeight="1">
      <c r="A984" s="1"/>
      <c r="B984" s="1"/>
      <c r="C984" s="1"/>
      <c r="D984" s="1"/>
      <c r="E984" s="1"/>
      <c r="F984" s="1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ht="16.5" customHeight="1">
      <c r="A985" s="1"/>
      <c r="B985" s="1"/>
      <c r="C985" s="1"/>
      <c r="D985" s="1"/>
      <c r="E985" s="1"/>
      <c r="F985" s="1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ht="16.5" customHeight="1">
      <c r="A986" s="1"/>
      <c r="B986" s="1"/>
      <c r="C986" s="1"/>
      <c r="D986" s="1"/>
      <c r="E986" s="1"/>
      <c r="F986" s="1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ht="16.5" customHeight="1">
      <c r="A987" s="1"/>
      <c r="B987" s="1"/>
      <c r="C987" s="1"/>
      <c r="D987" s="1"/>
      <c r="E987" s="1"/>
      <c r="F987" s="1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ht="16.5" customHeight="1">
      <c r="A988" s="1"/>
      <c r="B988" s="1"/>
      <c r="C988" s="1"/>
      <c r="D988" s="1"/>
      <c r="E988" s="1"/>
      <c r="F988" s="1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ht="16.5" customHeight="1">
      <c r="A989" s="1"/>
      <c r="B989" s="1"/>
      <c r="C989" s="1"/>
      <c r="D989" s="1"/>
      <c r="E989" s="1"/>
      <c r="F989" s="1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ht="16.5" customHeight="1">
      <c r="A990" s="1"/>
      <c r="B990" s="1"/>
      <c r="C990" s="1"/>
      <c r="D990" s="1"/>
      <c r="E990" s="1"/>
      <c r="F990" s="1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ht="16.5" customHeight="1">
      <c r="A991" s="1"/>
      <c r="B991" s="1"/>
      <c r="C991" s="1"/>
      <c r="D991" s="1"/>
      <c r="E991" s="1"/>
      <c r="F991" s="1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ht="16.5" customHeight="1">
      <c r="A992" s="1"/>
      <c r="B992" s="1"/>
      <c r="C992" s="1"/>
      <c r="D992" s="1"/>
      <c r="E992" s="1"/>
      <c r="F992" s="1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ht="16.5" customHeight="1">
      <c r="A993" s="1"/>
      <c r="B993" s="1"/>
      <c r="C993" s="1"/>
      <c r="D993" s="1"/>
      <c r="E993" s="1"/>
      <c r="F993" s="1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ht="16.5" customHeight="1">
      <c r="A994" s="1"/>
      <c r="B994" s="1"/>
      <c r="C994" s="1"/>
      <c r="D994" s="1"/>
      <c r="E994" s="1"/>
      <c r="F994" s="1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ht="16.5" customHeight="1">
      <c r="A995" s="1"/>
      <c r="B995" s="1"/>
      <c r="C995" s="1"/>
      <c r="D995" s="1"/>
      <c r="E995" s="1"/>
      <c r="F995" s="1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ht="16.5" customHeight="1">
      <c r="A996" s="1"/>
      <c r="B996" s="1"/>
      <c r="C996" s="1"/>
      <c r="D996" s="1"/>
      <c r="E996" s="1"/>
      <c r="F996" s="1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ht="16.5" customHeight="1">
      <c r="A997" s="1"/>
      <c r="B997" s="1"/>
      <c r="C997" s="1"/>
      <c r="D997" s="1"/>
      <c r="E997" s="1"/>
      <c r="F997" s="1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ht="16.5" customHeight="1">
      <c r="A998" s="1"/>
      <c r="B998" s="1"/>
      <c r="C998" s="1"/>
      <c r="D998" s="1"/>
      <c r="E998" s="1"/>
      <c r="F998" s="1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ht="16.5" customHeight="1">
      <c r="A999" s="1"/>
      <c r="B999" s="1"/>
      <c r="C999" s="1"/>
      <c r="D999" s="1"/>
      <c r="E999" s="1"/>
      <c r="F999" s="1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ht="16.5" customHeight="1">
      <c r="A1000" s="1"/>
      <c r="B1000" s="1"/>
      <c r="C1000" s="1"/>
      <c r="D1000" s="1"/>
      <c r="E1000" s="1"/>
      <c r="F1000" s="1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ht="16.5" customHeight="1">
      <c r="A1001" s="1"/>
      <c r="B1001" s="1"/>
      <c r="C1001" s="1"/>
      <c r="D1001" s="1"/>
      <c r="E1001" s="1"/>
      <c r="F1001" s="1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ht="16.5" customHeight="1">
      <c r="A1002" s="1"/>
      <c r="B1002" s="1"/>
      <c r="C1002" s="1"/>
      <c r="D1002" s="1"/>
      <c r="E1002" s="1"/>
      <c r="F1002" s="1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</sheetData>
  <mergeCells count="86">
    <mergeCell ref="L37:P38"/>
    <mergeCell ref="G37:K38"/>
    <mergeCell ref="G46:K47"/>
    <mergeCell ref="G49:K50"/>
    <mergeCell ref="Q37:U38"/>
    <mergeCell ref="Q43:U44"/>
    <mergeCell ref="L43:P44"/>
    <mergeCell ref="G43:K44"/>
    <mergeCell ref="Q46:U47"/>
    <mergeCell ref="G40:K41"/>
    <mergeCell ref="Q49:U50"/>
    <mergeCell ref="AG37:AK38"/>
    <mergeCell ref="AB37:AF38"/>
    <mergeCell ref="AG43:AK44"/>
    <mergeCell ref="W43:AA44"/>
    <mergeCell ref="AB43:AF44"/>
    <mergeCell ref="AG40:AK41"/>
    <mergeCell ref="W37:AA38"/>
    <mergeCell ref="W34:AA35"/>
    <mergeCell ref="AB34:AF35"/>
    <mergeCell ref="AB31:AF32"/>
    <mergeCell ref="AB28:AF29"/>
    <mergeCell ref="AH29:AJ30"/>
    <mergeCell ref="AG34:AK35"/>
    <mergeCell ref="G24:K25"/>
    <mergeCell ref="G21:K22"/>
    <mergeCell ref="G27:I28"/>
    <mergeCell ref="L28:P29"/>
    <mergeCell ref="R29:T30"/>
    <mergeCell ref="L31:P32"/>
    <mergeCell ref="W27:Y28"/>
    <mergeCell ref="AG15:AK16"/>
    <mergeCell ref="AB15:AF16"/>
    <mergeCell ref="B36:C36"/>
    <mergeCell ref="B37:C38"/>
    <mergeCell ref="L34:P35"/>
    <mergeCell ref="G34:K35"/>
    <mergeCell ref="Q34:U35"/>
    <mergeCell ref="AB40:AF41"/>
    <mergeCell ref="W40:AA41"/>
    <mergeCell ref="L40:P41"/>
    <mergeCell ref="Q40:U41"/>
    <mergeCell ref="AB24:AF25"/>
    <mergeCell ref="AG24:AK25"/>
    <mergeCell ref="Q24:U25"/>
    <mergeCell ref="W24:AA25"/>
    <mergeCell ref="AB18:AF19"/>
    <mergeCell ref="Q21:U22"/>
    <mergeCell ref="W21:AA22"/>
    <mergeCell ref="AB21:AF22"/>
    <mergeCell ref="AG21:AK22"/>
    <mergeCell ref="W18:AA19"/>
    <mergeCell ref="W15:AA16"/>
    <mergeCell ref="Q15:U16"/>
    <mergeCell ref="L12:P13"/>
    <mergeCell ref="Q18:U19"/>
    <mergeCell ref="D18:E18"/>
    <mergeCell ref="D17:E17"/>
    <mergeCell ref="AB9:AF10"/>
    <mergeCell ref="W9:AA10"/>
    <mergeCell ref="G18:K19"/>
    <mergeCell ref="G2:I3"/>
    <mergeCell ref="W2:Y3"/>
    <mergeCell ref="AB3:AF4"/>
    <mergeCell ref="R4:T5"/>
    <mergeCell ref="L9:P10"/>
    <mergeCell ref="G9:K10"/>
    <mergeCell ref="Q9:U10"/>
    <mergeCell ref="AG18:AK19"/>
    <mergeCell ref="AG12:AK13"/>
    <mergeCell ref="AH4:AJ5"/>
    <mergeCell ref="AG9:AK10"/>
    <mergeCell ref="B17:C18"/>
    <mergeCell ref="B5:C6"/>
    <mergeCell ref="B9:C10"/>
    <mergeCell ref="B19:C19"/>
    <mergeCell ref="L3:P4"/>
    <mergeCell ref="L6:P7"/>
    <mergeCell ref="G12:K13"/>
    <mergeCell ref="G15:K16"/>
    <mergeCell ref="L18:P19"/>
    <mergeCell ref="L15:P16"/>
    <mergeCell ref="Q12:U13"/>
    <mergeCell ref="W12:AA13"/>
    <mergeCell ref="AB6:AF7"/>
    <mergeCell ref="AB12:AF13"/>
  </mergeCells>
  <conditionalFormatting sqref="D21">
    <cfRule type="expression" dxfId="0" priority="1">
      <formula>A21=0</formula>
    </cfRule>
  </conditionalFormatting>
  <conditionalFormatting sqref="D22">
    <cfRule type="expression" dxfId="0" priority="2">
      <formula>A22=0</formula>
    </cfRule>
  </conditionalFormatting>
  <conditionalFormatting sqref="D23">
    <cfRule type="expression" dxfId="0" priority="3">
      <formula>A23=0</formula>
    </cfRule>
  </conditionalFormatting>
  <conditionalFormatting sqref="D24">
    <cfRule type="expression" dxfId="0" priority="4">
      <formula>A24=0</formula>
    </cfRule>
  </conditionalFormatting>
  <conditionalFormatting sqref="D25">
    <cfRule type="expression" dxfId="0" priority="5">
      <formula>A25=0</formula>
    </cfRule>
  </conditionalFormatting>
  <conditionalFormatting sqref="D26">
    <cfRule type="expression" dxfId="0" priority="6">
      <formula>A26=0</formula>
    </cfRule>
  </conditionalFormatting>
  <conditionalFormatting sqref="D27">
    <cfRule type="expression" dxfId="0" priority="7">
      <formula>A27=0</formula>
    </cfRule>
  </conditionalFormatting>
  <conditionalFormatting sqref="D28">
    <cfRule type="expression" dxfId="0" priority="8">
      <formula>A28=0</formula>
    </cfRule>
  </conditionalFormatting>
  <conditionalFormatting sqref="D29">
    <cfRule type="expression" dxfId="0" priority="9">
      <formula>A29=0</formula>
    </cfRule>
  </conditionalFormatting>
  <conditionalFormatting sqref="D30">
    <cfRule type="expression" dxfId="0" priority="10">
      <formula>A30=0</formula>
    </cfRule>
  </conditionalFormatting>
  <conditionalFormatting sqref="D31">
    <cfRule type="expression" dxfId="0" priority="11">
      <formula>A31=0</formula>
    </cfRule>
  </conditionalFormatting>
  <conditionalFormatting sqref="D32">
    <cfRule type="expression" dxfId="0" priority="12">
      <formula>A32=0</formula>
    </cfRule>
  </conditionalFormatting>
  <conditionalFormatting sqref="D33">
    <cfRule type="expression" dxfId="0" priority="13">
      <formula>A33=0</formula>
    </cfRule>
  </conditionalFormatting>
  <conditionalFormatting sqref="D34">
    <cfRule type="expression" dxfId="0" priority="14">
      <formula>A34=0</formula>
    </cfRule>
  </conditionalFormatting>
  <conditionalFormatting sqref="D35">
    <cfRule type="expression" dxfId="0" priority="15">
      <formula>A35=0</formula>
    </cfRule>
  </conditionalFormatting>
  <conditionalFormatting sqref="I8">
    <cfRule type="notContainsBlanks" dxfId="0" priority="16">
      <formula>LEN(TRIM(I8))&gt;0</formula>
    </cfRule>
  </conditionalFormatting>
  <dataValidations>
    <dataValidation type="list" allowBlank="1" sqref="C3">
      <formula1>'skill data'!$AA$27:$AA$31</formula1>
    </dataValidation>
    <dataValidation type="list" allowBlank="1" sqref="N2 AD2 I8 N8 S8 Y8 AD8 AI8 I14 N14 S14 AD14 AI14 N27 AD27 I33 N33 S33 Y33 I39 N39 S39">
      <formula1>'skill data'!$G$82:$G$107</formula1>
    </dataValidation>
    <dataValidation type="list" allowBlank="1" sqref="C2">
      <formula1>'skill data'!$AK$15:$AK$18</formula1>
    </dataValidation>
    <dataValidation type="list" allowBlank="1" sqref="C39:C73">
      <formula1>"是,否"</formula1>
    </dataValidation>
    <dataValidation type="list" allowBlank="1" sqref="D18">
      <formula1>"開啟,關閉"</formula1>
    </dataValidation>
    <dataValidation type="list" allowBlank="1" sqref="I20 S20 Y20 AD20 AI20 I45 S45">
      <formula1>'skill data'!$G$82:$G$97</formula1>
    </dataValidation>
    <dataValidation type="list" allowBlank="1" sqref="Y14 AD33 AI33 Y39 AD39 AI39">
      <formula1>'skill data'!$G$82:$G$92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5" width="13.4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</v>
      </c>
      <c r="B2" s="6" t="s">
        <v>2</v>
      </c>
      <c r="C2" s="6" t="s">
        <v>3</v>
      </c>
      <c r="D2" s="6" t="s">
        <v>4</v>
      </c>
      <c r="E2" s="2"/>
      <c r="F2" s="6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3">
        <v>1.0</v>
      </c>
      <c r="B3" s="13"/>
      <c r="C3" s="13" t="s">
        <v>9</v>
      </c>
      <c r="D3" s="15" t="b">
        <v>0</v>
      </c>
      <c r="E3" s="2"/>
      <c r="F3" s="15" t="b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11</v>
      </c>
      <c r="B6" s="17">
        <v>1.0</v>
      </c>
      <c r="C6" s="19">
        <v>2.0</v>
      </c>
      <c r="D6" s="17">
        <v>3.0</v>
      </c>
      <c r="E6" s="21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14</v>
      </c>
      <c r="B7" s="25" t="str">
        <f>'coding(此頁勿動)'!N2</f>
        <v/>
      </c>
      <c r="C7" s="27" t="str">
        <f>'coding(此頁勿動)'!O2</f>
        <v/>
      </c>
      <c r="D7" s="25" t="str">
        <f>'coding(此頁勿動)'!P2</f>
        <v/>
      </c>
      <c r="E7" s="21" t="str">
        <f>'coding(此頁勿動)'!M2</f>
        <v/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16</v>
      </c>
      <c r="B8" s="25" t="str">
        <f>'coding(此頁勿動)'!N3</f>
        <v/>
      </c>
      <c r="C8" s="27" t="str">
        <f>'coding(此頁勿動)'!O3</f>
        <v/>
      </c>
      <c r="D8" s="25" t="str">
        <f>'coding(此頁勿動)'!P3</f>
        <v/>
      </c>
      <c r="E8" s="31" t="str">
        <f>'coding(此頁勿動)'!M3</f>
        <v/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19</v>
      </c>
      <c r="B9" s="25" t="str">
        <f>'coding(此頁勿動)'!N4</f>
        <v/>
      </c>
      <c r="C9" s="27" t="str">
        <f>'coding(此頁勿動)'!O4</f>
        <v/>
      </c>
      <c r="D9" s="25" t="str">
        <f>'coding(此頁勿動)'!P4</f>
        <v/>
      </c>
      <c r="E9" s="31" t="str">
        <f>'coding(此頁勿動)'!M4</f>
        <v/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E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 t="s">
        <v>11</v>
      </c>
      <c r="B11" s="19">
        <v>4.0</v>
      </c>
      <c r="C11" s="17">
        <v>5.0</v>
      </c>
      <c r="D11" s="19">
        <v>6.0</v>
      </c>
      <c r="E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14</v>
      </c>
      <c r="B12" s="27" t="str">
        <f>'coding(此頁勿動)'!Q2</f>
        <v/>
      </c>
      <c r="C12" s="25" t="str">
        <f>'coding(此頁勿動)'!R2</f>
        <v/>
      </c>
      <c r="D12" s="27" t="str">
        <f>'coding(此頁勿動)'!S2</f>
        <v/>
      </c>
      <c r="E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16</v>
      </c>
      <c r="B13" s="27" t="str">
        <f>'coding(此頁勿動)'!Q3</f>
        <v/>
      </c>
      <c r="C13" s="25" t="str">
        <f>'coding(此頁勿動)'!R3</f>
        <v/>
      </c>
      <c r="D13" s="27" t="str">
        <f>'coding(此頁勿動)'!S3</f>
        <v/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19</v>
      </c>
      <c r="B14" s="27" t="str">
        <f>'coding(此頁勿動)'!Q4</f>
        <v/>
      </c>
      <c r="C14" s="25" t="str">
        <f>'coding(此頁勿動)'!R4</f>
        <v/>
      </c>
      <c r="D14" s="27" t="str">
        <f>'coding(此頁勿動)'!S4</f>
        <v/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11</v>
      </c>
      <c r="B16" s="17">
        <v>7.0</v>
      </c>
      <c r="C16" s="19">
        <v>8.0</v>
      </c>
      <c r="D16" s="17">
        <v>9.0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 t="s">
        <v>14</v>
      </c>
      <c r="B17" s="25" t="str">
        <f>'coding(此頁勿動)'!T2</f>
        <v/>
      </c>
      <c r="C17" s="27" t="str">
        <f>'coding(此頁勿動)'!U2</f>
        <v/>
      </c>
      <c r="D17" s="25" t="str">
        <f>'coding(此頁勿動)'!V2</f>
        <v/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16</v>
      </c>
      <c r="B18" s="25" t="str">
        <f>'coding(此頁勿動)'!T3</f>
        <v/>
      </c>
      <c r="C18" s="27" t="str">
        <f>'coding(此頁勿動)'!U3</f>
        <v/>
      </c>
      <c r="D18" s="25" t="str">
        <f>'coding(此頁勿動)'!V3</f>
        <v/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19</v>
      </c>
      <c r="B19" s="25" t="str">
        <f>'coding(此頁勿動)'!T4</f>
        <v/>
      </c>
      <c r="C19" s="27" t="str">
        <f>'coding(此頁勿動)'!U4</f>
        <v/>
      </c>
      <c r="D19" s="25" t="str">
        <f>'coding(此頁勿動)'!V4</f>
        <v/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A3">
      <formula1>"1,2,3,4,5,6,7,8,9"</formula1>
    </dataValidation>
    <dataValidation type="list" allowBlank="1" sqref="C3">
      <formula1>"保存,讀取,刪除"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18" width="9.56"/>
    <col customWidth="1" hidden="1" min="19" max="25" width="9.56"/>
    <col customWidth="1" min="26" max="34" width="9.56"/>
    <col customWidth="1" min="35" max="35" width="6.78"/>
  </cols>
  <sheetData>
    <row r="1" ht="16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2"/>
      <c r="AI1" s="2"/>
    </row>
    <row r="2" ht="16.5" customHeight="1">
      <c r="A2" s="10"/>
      <c r="B2" s="70" t="s">
        <v>37</v>
      </c>
      <c r="C2" s="71"/>
      <c r="D2" s="71"/>
      <c r="E2" s="71"/>
      <c r="F2" s="71"/>
      <c r="G2" s="71"/>
      <c r="H2" s="71"/>
      <c r="I2" s="11"/>
      <c r="J2" s="10"/>
      <c r="K2" s="70" t="s">
        <v>39</v>
      </c>
      <c r="L2" s="71"/>
      <c r="M2" s="71"/>
      <c r="N2" s="7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74" t="s">
        <v>40</v>
      </c>
      <c r="AB2" s="71"/>
      <c r="AC2" s="71"/>
      <c r="AD2" s="71"/>
      <c r="AE2" s="71"/>
      <c r="AF2" s="71"/>
      <c r="AG2" s="10"/>
      <c r="AH2" s="2"/>
      <c r="AI2" s="2"/>
    </row>
    <row r="3" ht="16.5" customHeight="1">
      <c r="A3" s="10"/>
      <c r="B3" s="75" t="s">
        <v>20</v>
      </c>
      <c r="C3" s="77" t="s">
        <v>42</v>
      </c>
      <c r="D3" s="78" t="s">
        <v>44</v>
      </c>
      <c r="E3" s="80" t="s">
        <v>45</v>
      </c>
      <c r="F3" s="80" t="s">
        <v>46</v>
      </c>
      <c r="G3" s="78" t="s">
        <v>47</v>
      </c>
      <c r="H3" s="80" t="str">
        <f t="shared" ref="H3:I3" si="1">E3</f>
        <v>每點效益</v>
      </c>
      <c r="I3" s="80" t="str">
        <f t="shared" si="1"/>
        <v>增減</v>
      </c>
      <c r="J3" s="10"/>
      <c r="K3" s="75" t="s">
        <v>20</v>
      </c>
      <c r="L3" s="77" t="s">
        <v>42</v>
      </c>
      <c r="M3" s="78" t="s">
        <v>48</v>
      </c>
      <c r="N3" s="80" t="s">
        <v>45</v>
      </c>
      <c r="O3" s="80" t="s">
        <v>46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 t="s">
        <v>51</v>
      </c>
      <c r="AB3" s="71"/>
      <c r="AC3" s="71"/>
      <c r="AD3" s="71"/>
      <c r="AE3" s="71"/>
      <c r="AF3" s="71"/>
      <c r="AG3" s="10"/>
      <c r="AH3" s="2"/>
      <c r="AI3" s="2"/>
    </row>
    <row r="4" ht="16.5" customHeight="1">
      <c r="A4" s="10"/>
      <c r="B4" s="75">
        <v>1.0</v>
      </c>
      <c r="C4" s="77">
        <f>simulationData!AO1</f>
        <v>1</v>
      </c>
      <c r="D4" s="78">
        <f>simulationData!W1</f>
        <v>5</v>
      </c>
      <c r="E4" s="80">
        <f t="shared" ref="E4:E28" si="2">ROUND(D4/C4,2)</f>
        <v>5</v>
      </c>
      <c r="F4" s="80" t="s">
        <v>52</v>
      </c>
      <c r="G4" s="78">
        <f>simulationData!X1</f>
        <v>0.1</v>
      </c>
      <c r="H4" s="80">
        <f>G4/C4</f>
        <v>0.1</v>
      </c>
      <c r="I4" s="80"/>
      <c r="J4" s="10"/>
      <c r="K4" s="75">
        <v>1.0</v>
      </c>
      <c r="L4" s="77">
        <f>simulationData!AO51</f>
        <v>2</v>
      </c>
      <c r="M4" s="78">
        <f>simulationData!W51</f>
        <v>0.05</v>
      </c>
      <c r="N4" s="80">
        <f t="shared" ref="N4:N28" si="3">ROUND(M4/L4,4)</f>
        <v>0.025</v>
      </c>
      <c r="O4" s="80" t="s">
        <v>52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82" t="s">
        <v>54</v>
      </c>
      <c r="AB4" s="71"/>
      <c r="AC4" s="13"/>
      <c r="AD4" s="82" t="s">
        <v>57</v>
      </c>
      <c r="AE4" s="71"/>
      <c r="AF4" s="27">
        <f>IF(AC6&gt;0,AC4-VLOOKUP(AC6,mana!A16:B35,2),AC4)+0</f>
        <v>0</v>
      </c>
      <c r="AG4" s="10"/>
      <c r="AH4" s="2"/>
      <c r="AI4" s="2"/>
    </row>
    <row r="5" ht="16.5" customHeight="1">
      <c r="A5" s="10"/>
      <c r="B5" s="75">
        <v>2.0</v>
      </c>
      <c r="C5" s="77">
        <f>simulationData!AO2</f>
        <v>3</v>
      </c>
      <c r="D5" s="78">
        <f>simulationData!W2</f>
        <v>8</v>
      </c>
      <c r="E5" s="80">
        <f t="shared" si="2"/>
        <v>2.67</v>
      </c>
      <c r="F5" s="80">
        <f t="shared" ref="F5:F28" si="4">E5-E4</f>
        <v>-2.33</v>
      </c>
      <c r="G5" s="78">
        <f>simulationData!X2</f>
        <v>0.228</v>
      </c>
      <c r="H5" s="80">
        <f t="shared" ref="H5:H28" si="5">ROUND(G5/C5,3)</f>
        <v>0.076</v>
      </c>
      <c r="I5" s="80">
        <f t="shared" ref="I5:I28" si="6">H5-H4</f>
        <v>-0.024</v>
      </c>
      <c r="J5" s="10"/>
      <c r="K5" s="75">
        <v>2.0</v>
      </c>
      <c r="L5" s="77">
        <f>simulationData!AO52</f>
        <v>4</v>
      </c>
      <c r="M5" s="78">
        <f>simulationData!W52</f>
        <v>0.07</v>
      </c>
      <c r="N5" s="80">
        <f t="shared" si="3"/>
        <v>0.0175</v>
      </c>
      <c r="O5" s="80">
        <f t="shared" ref="O5:O28" si="7">ROUND(N5-N4,4)</f>
        <v>-0.0075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82" t="s">
        <v>60</v>
      </c>
      <c r="AB5" s="71"/>
      <c r="AC5" s="13"/>
      <c r="AD5" s="82" t="s">
        <v>61</v>
      </c>
      <c r="AE5" s="71"/>
      <c r="AF5" s="27">
        <f>AC5-VLOOKUP(AC6,mana!A15:C35,3)</f>
        <v>0</v>
      </c>
      <c r="AG5" s="10"/>
      <c r="AH5" s="2"/>
      <c r="AI5" s="2"/>
    </row>
    <row r="6" ht="16.5" customHeight="1">
      <c r="A6" s="10"/>
      <c r="B6" s="75">
        <v>3.0</v>
      </c>
      <c r="C6" s="77">
        <f>simulationData!AO3</f>
        <v>5</v>
      </c>
      <c r="D6" s="78">
        <f>simulationData!W3</f>
        <v>12</v>
      </c>
      <c r="E6" s="80">
        <f t="shared" si="2"/>
        <v>2.4</v>
      </c>
      <c r="F6" s="80">
        <f t="shared" si="4"/>
        <v>-0.27</v>
      </c>
      <c r="G6" s="78">
        <f>simulationData!X3</f>
        <v>0.373</v>
      </c>
      <c r="H6" s="80">
        <f t="shared" si="5"/>
        <v>0.075</v>
      </c>
      <c r="I6" s="80">
        <f t="shared" si="6"/>
        <v>-0.001</v>
      </c>
      <c r="J6" s="10"/>
      <c r="K6" s="75">
        <v>3.0</v>
      </c>
      <c r="L6" s="77">
        <f>simulationData!AO53</f>
        <v>7</v>
      </c>
      <c r="M6" s="78">
        <f>simulationData!W53</f>
        <v>0.1</v>
      </c>
      <c r="N6" s="80">
        <f t="shared" si="3"/>
        <v>0.0143</v>
      </c>
      <c r="O6" s="80">
        <f t="shared" si="7"/>
        <v>-0.0032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82" t="s">
        <v>64</v>
      </c>
      <c r="AB6" s="71"/>
      <c r="AC6" s="13"/>
      <c r="AD6" s="88" t="s">
        <v>65</v>
      </c>
      <c r="AE6" s="71"/>
      <c r="AF6" s="13">
        <v>1.0</v>
      </c>
      <c r="AG6" s="10"/>
      <c r="AH6" s="2"/>
      <c r="AI6" s="2"/>
    </row>
    <row r="7" ht="16.5" customHeight="1">
      <c r="A7" s="10"/>
      <c r="B7" s="75">
        <v>4.0</v>
      </c>
      <c r="C7" s="77">
        <f>simulationData!AO4</f>
        <v>8</v>
      </c>
      <c r="D7" s="78">
        <f>simulationData!W4</f>
        <v>19</v>
      </c>
      <c r="E7" s="80">
        <f t="shared" si="2"/>
        <v>2.38</v>
      </c>
      <c r="F7" s="80">
        <f t="shared" si="4"/>
        <v>-0.02</v>
      </c>
      <c r="G7" s="78">
        <f>simulationData!X4</f>
        <v>0.538</v>
      </c>
      <c r="H7" s="80">
        <f t="shared" si="5"/>
        <v>0.067</v>
      </c>
      <c r="I7" s="80">
        <f t="shared" si="6"/>
        <v>-0.008</v>
      </c>
      <c r="J7" s="10"/>
      <c r="K7" s="75">
        <v>4.0</v>
      </c>
      <c r="L7" s="77">
        <f>simulationData!AO54</f>
        <v>10</v>
      </c>
      <c r="M7" s="78">
        <f>simulationData!W54</f>
        <v>0.13</v>
      </c>
      <c r="N7" s="80">
        <f t="shared" si="3"/>
        <v>0.013</v>
      </c>
      <c r="O7" s="80">
        <f t="shared" si="7"/>
        <v>-0.0013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0" t="s">
        <v>68</v>
      </c>
      <c r="AB7" s="71"/>
      <c r="AC7" s="13"/>
      <c r="AD7" s="88" t="s">
        <v>69</v>
      </c>
      <c r="AE7" s="71"/>
      <c r="AF7" s="13">
        <v>20.0</v>
      </c>
      <c r="AG7" s="10"/>
      <c r="AH7" s="2"/>
      <c r="AI7" s="2"/>
    </row>
    <row r="8" ht="16.5" customHeight="1">
      <c r="A8" s="10"/>
      <c r="B8" s="75">
        <v>5.0</v>
      </c>
      <c r="C8" s="77">
        <f>simulationData!AO5</f>
        <v>11</v>
      </c>
      <c r="D8" s="78">
        <f>simulationData!W5</f>
        <v>26</v>
      </c>
      <c r="E8" s="80">
        <f t="shared" si="2"/>
        <v>2.36</v>
      </c>
      <c r="F8" s="80">
        <f t="shared" si="4"/>
        <v>-0.02</v>
      </c>
      <c r="G8" s="78">
        <f>simulationData!X5</f>
        <v>0.727</v>
      </c>
      <c r="H8" s="80">
        <f t="shared" si="5"/>
        <v>0.066</v>
      </c>
      <c r="I8" s="80">
        <f t="shared" si="6"/>
        <v>-0.001</v>
      </c>
      <c r="J8" s="10"/>
      <c r="K8" s="75">
        <v>5.0</v>
      </c>
      <c r="L8" s="77">
        <f>simulationData!AO55</f>
        <v>13</v>
      </c>
      <c r="M8" s="78">
        <f>simulationData!W55</f>
        <v>0.16</v>
      </c>
      <c r="N8" s="80">
        <f t="shared" si="3"/>
        <v>0.0123</v>
      </c>
      <c r="O8" s="80">
        <f t="shared" si="7"/>
        <v>-0.0007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9" t="s">
        <v>70</v>
      </c>
      <c r="AB8" s="71"/>
      <c r="AC8" s="92"/>
      <c r="AD8" s="89" t="s">
        <v>71</v>
      </c>
      <c r="AE8" s="5"/>
      <c r="AF8" s="7"/>
      <c r="AG8" s="10"/>
      <c r="AH8" s="2"/>
      <c r="AI8" s="2"/>
    </row>
    <row r="9" ht="16.5" customHeight="1">
      <c r="A9" s="10"/>
      <c r="B9" s="75">
        <v>6.0</v>
      </c>
      <c r="C9" s="77">
        <f>simulationData!AO6</f>
        <v>14</v>
      </c>
      <c r="D9" s="78">
        <f>simulationData!W6</f>
        <v>35</v>
      </c>
      <c r="E9" s="80">
        <f t="shared" si="2"/>
        <v>2.5</v>
      </c>
      <c r="F9" s="80">
        <f t="shared" si="4"/>
        <v>0.14</v>
      </c>
      <c r="G9" s="78">
        <f>simulationData!X6</f>
        <v>0.941</v>
      </c>
      <c r="H9" s="80">
        <f t="shared" si="5"/>
        <v>0.067</v>
      </c>
      <c r="I9" s="80">
        <f t="shared" si="6"/>
        <v>0.001</v>
      </c>
      <c r="J9" s="10"/>
      <c r="K9" s="75">
        <v>6.0</v>
      </c>
      <c r="L9" s="77">
        <f>simulationData!AO56</f>
        <v>17</v>
      </c>
      <c r="M9" s="78">
        <f>simulationData!W56</f>
        <v>0.2</v>
      </c>
      <c r="N9" s="80">
        <f t="shared" si="3"/>
        <v>0.0118</v>
      </c>
      <c r="O9" s="80">
        <f t="shared" si="7"/>
        <v>-0.0005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9" t="s">
        <v>72</v>
      </c>
      <c r="AB9" s="71"/>
      <c r="AC9" s="92"/>
      <c r="AD9" s="37"/>
      <c r="AF9" s="38"/>
      <c r="AG9" s="10"/>
      <c r="AH9" s="2"/>
      <c r="AI9" s="2"/>
    </row>
    <row r="10" ht="16.5" customHeight="1">
      <c r="A10" s="10"/>
      <c r="B10" s="75">
        <v>7.0</v>
      </c>
      <c r="C10" s="77">
        <f>simulationData!AO7</f>
        <v>18</v>
      </c>
      <c r="D10" s="78">
        <f>simulationData!W7</f>
        <v>46</v>
      </c>
      <c r="E10" s="80">
        <f t="shared" si="2"/>
        <v>2.56</v>
      </c>
      <c r="F10" s="80">
        <f t="shared" si="4"/>
        <v>0.06</v>
      </c>
      <c r="G10" s="78">
        <f>simulationData!X7</f>
        <v>1.185</v>
      </c>
      <c r="H10" s="80">
        <f t="shared" si="5"/>
        <v>0.066</v>
      </c>
      <c r="I10" s="80">
        <f t="shared" si="6"/>
        <v>-0.001</v>
      </c>
      <c r="J10" s="10"/>
      <c r="K10" s="75">
        <v>7.0</v>
      </c>
      <c r="L10" s="77">
        <f>simulationData!AO57</f>
        <v>22</v>
      </c>
      <c r="M10" s="78">
        <f>simulationData!W57</f>
        <v>0.25</v>
      </c>
      <c r="N10" s="80">
        <f t="shared" si="3"/>
        <v>0.0114</v>
      </c>
      <c r="O10" s="80">
        <f t="shared" si="7"/>
        <v>-0.0004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9" t="s">
        <v>73</v>
      </c>
      <c r="AB10" s="71"/>
      <c r="AC10" s="92"/>
      <c r="AD10" s="24"/>
      <c r="AE10" s="26"/>
      <c r="AF10" s="28"/>
      <c r="AG10" s="10"/>
      <c r="AH10" s="2"/>
      <c r="AI10" s="2"/>
    </row>
    <row r="11" ht="16.5" customHeight="1">
      <c r="A11" s="10"/>
      <c r="B11" s="75">
        <v>8.0</v>
      </c>
      <c r="C11" s="77">
        <f>simulationData!AO8</f>
        <v>23</v>
      </c>
      <c r="D11" s="78">
        <f>simulationData!W8</f>
        <v>62</v>
      </c>
      <c r="E11" s="80">
        <f t="shared" si="2"/>
        <v>2.7</v>
      </c>
      <c r="F11" s="80">
        <f t="shared" si="4"/>
        <v>0.14</v>
      </c>
      <c r="G11" s="78">
        <f>simulationData!X8</f>
        <v>1.463</v>
      </c>
      <c r="H11" s="80">
        <f t="shared" si="5"/>
        <v>0.064</v>
      </c>
      <c r="I11" s="80">
        <f t="shared" si="6"/>
        <v>-0.002</v>
      </c>
      <c r="J11" s="10"/>
      <c r="K11" s="75">
        <v>8.0</v>
      </c>
      <c r="L11" s="77">
        <f>simulationData!AO58</f>
        <v>27</v>
      </c>
      <c r="M11" s="78">
        <f>simulationData!W58</f>
        <v>0.31</v>
      </c>
      <c r="N11" s="80">
        <f t="shared" si="3"/>
        <v>0.0115</v>
      </c>
      <c r="O11" s="80">
        <f t="shared" si="7"/>
        <v>0.0001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4" t="s">
        <v>75</v>
      </c>
      <c r="AB11" s="14" t="s">
        <v>25</v>
      </c>
      <c r="AC11" s="14" t="s">
        <v>39</v>
      </c>
      <c r="AD11" s="14" t="s">
        <v>76</v>
      </c>
      <c r="AE11" s="14" t="s">
        <v>77</v>
      </c>
      <c r="AF11" s="95" t="s">
        <v>15</v>
      </c>
      <c r="AG11" s="10"/>
      <c r="AH11" s="2"/>
      <c r="AI11" s="2"/>
    </row>
    <row r="12" ht="16.5" customHeight="1">
      <c r="A12" s="10"/>
      <c r="B12" s="75">
        <v>9.0</v>
      </c>
      <c r="C12" s="77">
        <f>simulationData!AO9</f>
        <v>28</v>
      </c>
      <c r="D12" s="78">
        <f>simulationData!W9</f>
        <v>80</v>
      </c>
      <c r="E12" s="80">
        <f t="shared" si="2"/>
        <v>2.86</v>
      </c>
      <c r="F12" s="80">
        <f t="shared" si="4"/>
        <v>0.16</v>
      </c>
      <c r="G12" s="78">
        <f>simulationData!X9</f>
        <v>1.779</v>
      </c>
      <c r="H12" s="80">
        <f t="shared" si="5"/>
        <v>0.064</v>
      </c>
      <c r="I12" s="80">
        <f t="shared" si="6"/>
        <v>0</v>
      </c>
      <c r="J12" s="10"/>
      <c r="K12" s="75">
        <v>9.0</v>
      </c>
      <c r="L12" s="77">
        <f>simulationData!AO59</f>
        <v>33</v>
      </c>
      <c r="M12" s="78">
        <f>simulationData!W59</f>
        <v>0.38</v>
      </c>
      <c r="N12" s="80">
        <f t="shared" si="3"/>
        <v>0.0115</v>
      </c>
      <c r="O12" s="80">
        <f t="shared" si="7"/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21">
        <v>1.0</v>
      </c>
      <c r="AB12" s="31">
        <f>mana!J41</f>
        <v>0</v>
      </c>
      <c r="AC12" s="31">
        <f>mana!K41</f>
        <v>0</v>
      </c>
      <c r="AD12" s="31">
        <f>mana!L41</f>
        <v>0</v>
      </c>
      <c r="AE12" s="31">
        <f>ROUND(mana!M41,2)</f>
        <v>0</v>
      </c>
      <c r="AF12" s="27">
        <f t="shared" ref="AF12:AF14" si="8">IF(AB12&gt;0,VLOOKUP(AB12,B$4:C$28,2),0)+IF(AC12&gt;0,VLOOKUP(AC12,K$4:L$28,2),0)</f>
        <v>0</v>
      </c>
      <c r="AG12" s="10"/>
      <c r="AH12" s="2"/>
      <c r="AI12" s="2"/>
    </row>
    <row r="13" ht="16.5" customHeight="1">
      <c r="A13" s="10"/>
      <c r="B13" s="75">
        <v>10.0</v>
      </c>
      <c r="C13" s="77">
        <f>simulationData!AO10</f>
        <v>34</v>
      </c>
      <c r="D13" s="78">
        <f>simulationData!W10</f>
        <v>103</v>
      </c>
      <c r="E13" s="80">
        <f t="shared" si="2"/>
        <v>3.03</v>
      </c>
      <c r="F13" s="80">
        <f t="shared" si="4"/>
        <v>0.17</v>
      </c>
      <c r="G13" s="78">
        <f>simulationData!X10</f>
        <v>2.139</v>
      </c>
      <c r="H13" s="80">
        <f t="shared" si="5"/>
        <v>0.063</v>
      </c>
      <c r="I13" s="80">
        <f t="shared" si="6"/>
        <v>-0.001</v>
      </c>
      <c r="J13" s="10"/>
      <c r="K13" s="75">
        <v>10.0</v>
      </c>
      <c r="L13" s="77">
        <f>simulationData!AO60</f>
        <v>40</v>
      </c>
      <c r="M13" s="78">
        <f>simulationData!W60</f>
        <v>0.47</v>
      </c>
      <c r="N13" s="80">
        <f t="shared" si="3"/>
        <v>0.0118</v>
      </c>
      <c r="O13" s="80">
        <f t="shared" si="7"/>
        <v>0.0003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21">
        <v>2.0</v>
      </c>
      <c r="AB13" s="31">
        <f>mana!J42</f>
        <v>0</v>
      </c>
      <c r="AC13" s="31">
        <f>mana!K42</f>
        <v>0</v>
      </c>
      <c r="AD13" s="31">
        <f>mana!L42</f>
        <v>0</v>
      </c>
      <c r="AE13" s="31">
        <f>ROUND(mana!M42,2)</f>
        <v>0</v>
      </c>
      <c r="AF13" s="27">
        <f t="shared" si="8"/>
        <v>0</v>
      </c>
      <c r="AG13" s="10"/>
      <c r="AH13" s="2"/>
      <c r="AI13" s="2"/>
    </row>
    <row r="14" ht="16.5" customHeight="1">
      <c r="A14" s="10"/>
      <c r="B14" s="75">
        <v>11.0</v>
      </c>
      <c r="C14" s="77">
        <f>simulationData!AO11</f>
        <v>41</v>
      </c>
      <c r="D14" s="78">
        <f>simulationData!W11</f>
        <v>132</v>
      </c>
      <c r="E14" s="80">
        <f t="shared" si="2"/>
        <v>3.22</v>
      </c>
      <c r="F14" s="80">
        <f t="shared" si="4"/>
        <v>0.19</v>
      </c>
      <c r="G14" s="78">
        <f>simulationData!X11</f>
        <v>2.549</v>
      </c>
      <c r="H14" s="80">
        <f t="shared" si="5"/>
        <v>0.062</v>
      </c>
      <c r="I14" s="80">
        <f t="shared" si="6"/>
        <v>-0.001</v>
      </c>
      <c r="J14" s="10"/>
      <c r="K14" s="75">
        <v>11.0</v>
      </c>
      <c r="L14" s="77">
        <f>simulationData!AO61</f>
        <v>48</v>
      </c>
      <c r="M14" s="78">
        <f>simulationData!W61</f>
        <v>0.56</v>
      </c>
      <c r="N14" s="80">
        <f t="shared" si="3"/>
        <v>0.0117</v>
      </c>
      <c r="O14" s="80">
        <f t="shared" si="7"/>
        <v>-0.0001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21">
        <v>3.0</v>
      </c>
      <c r="AB14" s="31">
        <f>mana!J43</f>
        <v>0</v>
      </c>
      <c r="AC14" s="31">
        <f>mana!K43</f>
        <v>0</v>
      </c>
      <c r="AD14" s="31">
        <f>mana!L43</f>
        <v>0</v>
      </c>
      <c r="AE14" s="31">
        <f>ROUND(mana!M43,2)</f>
        <v>0</v>
      </c>
      <c r="AF14" s="27">
        <f t="shared" si="8"/>
        <v>0</v>
      </c>
      <c r="AG14" s="10"/>
      <c r="AH14" s="2"/>
      <c r="AI14" s="2"/>
    </row>
    <row r="15" ht="16.5" customHeight="1">
      <c r="A15" s="10"/>
      <c r="B15" s="75">
        <v>12.0</v>
      </c>
      <c r="C15" s="77">
        <f>simulationData!AO12</f>
        <v>49</v>
      </c>
      <c r="D15" s="78">
        <f>simulationData!W12</f>
        <v>168</v>
      </c>
      <c r="E15" s="80">
        <f t="shared" si="2"/>
        <v>3.43</v>
      </c>
      <c r="F15" s="80">
        <f t="shared" si="4"/>
        <v>0.21</v>
      </c>
      <c r="G15" s="78">
        <f>simulationData!X12</f>
        <v>3.015</v>
      </c>
      <c r="H15" s="80">
        <f t="shared" si="5"/>
        <v>0.062</v>
      </c>
      <c r="I15" s="80">
        <f t="shared" si="6"/>
        <v>0</v>
      </c>
      <c r="J15" s="10"/>
      <c r="K15" s="75">
        <v>12.0</v>
      </c>
      <c r="L15" s="77">
        <f>simulationData!AO62</f>
        <v>57</v>
      </c>
      <c r="M15" s="78">
        <f>simulationData!W62</f>
        <v>0.68</v>
      </c>
      <c r="N15" s="80">
        <f t="shared" si="3"/>
        <v>0.0119</v>
      </c>
      <c r="O15" s="80">
        <f t="shared" si="7"/>
        <v>0.0002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2"/>
      <c r="AI15" s="2"/>
    </row>
    <row r="16" ht="16.5" customHeight="1">
      <c r="A16" s="10"/>
      <c r="B16" s="75">
        <v>13.0</v>
      </c>
      <c r="C16" s="77">
        <f>simulationData!AO13</f>
        <v>58</v>
      </c>
      <c r="D16" s="78">
        <f>simulationData!W13</f>
        <v>213</v>
      </c>
      <c r="E16" s="80">
        <f t="shared" si="2"/>
        <v>3.67</v>
      </c>
      <c r="F16" s="80">
        <f t="shared" si="4"/>
        <v>0.24</v>
      </c>
      <c r="G16" s="78">
        <f>simulationData!X13</f>
        <v>3.546</v>
      </c>
      <c r="H16" s="80">
        <f t="shared" si="5"/>
        <v>0.061</v>
      </c>
      <c r="I16" s="80">
        <f t="shared" si="6"/>
        <v>-0.001</v>
      </c>
      <c r="J16" s="10"/>
      <c r="K16" s="75">
        <v>13.0</v>
      </c>
      <c r="L16" s="77">
        <f>simulationData!AO63</f>
        <v>68</v>
      </c>
      <c r="M16" s="78">
        <f>simulationData!W63</f>
        <v>0.81</v>
      </c>
      <c r="N16" s="80">
        <f t="shared" si="3"/>
        <v>0.0119</v>
      </c>
      <c r="O16" s="80">
        <f t="shared" si="7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2"/>
      <c r="AI16" s="2"/>
    </row>
    <row r="17" ht="16.5" customHeight="1">
      <c r="A17" s="10"/>
      <c r="B17" s="75">
        <v>14.0</v>
      </c>
      <c r="C17" s="77">
        <f>simulationData!AO14</f>
        <v>69</v>
      </c>
      <c r="D17" s="78">
        <f>simulationData!W14</f>
        <v>269</v>
      </c>
      <c r="E17" s="80">
        <f t="shared" si="2"/>
        <v>3.9</v>
      </c>
      <c r="F17" s="80">
        <f t="shared" si="4"/>
        <v>0.23</v>
      </c>
      <c r="G17" s="78">
        <f>simulationData!X14</f>
        <v>4.151</v>
      </c>
      <c r="H17" s="80">
        <f t="shared" si="5"/>
        <v>0.06</v>
      </c>
      <c r="I17" s="80">
        <f t="shared" si="6"/>
        <v>-0.001</v>
      </c>
      <c r="J17" s="10"/>
      <c r="K17" s="75">
        <v>14.0</v>
      </c>
      <c r="L17" s="77">
        <f>simulationData!AO64</f>
        <v>80</v>
      </c>
      <c r="M17" s="78">
        <f>simulationData!W64</f>
        <v>0.97</v>
      </c>
      <c r="N17" s="80">
        <f t="shared" si="3"/>
        <v>0.0121</v>
      </c>
      <c r="O17" s="80">
        <f t="shared" si="7"/>
        <v>0.0002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6.5" customHeight="1">
      <c r="A18" s="10"/>
      <c r="B18" s="75">
        <v>15.0</v>
      </c>
      <c r="C18" s="77">
        <f>simulationData!AO15</f>
        <v>81</v>
      </c>
      <c r="D18" s="78">
        <f>simulationData!W15</f>
        <v>337</v>
      </c>
      <c r="E18" s="80">
        <f t="shared" si="2"/>
        <v>4.16</v>
      </c>
      <c r="F18" s="80">
        <f t="shared" si="4"/>
        <v>0.26</v>
      </c>
      <c r="G18" s="78">
        <f>simulationData!X15</f>
        <v>4.839</v>
      </c>
      <c r="H18" s="80">
        <f t="shared" si="5"/>
        <v>0.06</v>
      </c>
      <c r="I18" s="80">
        <f t="shared" si="6"/>
        <v>0</v>
      </c>
      <c r="J18" s="10"/>
      <c r="K18" s="75">
        <v>15.0</v>
      </c>
      <c r="L18" s="77">
        <f>simulationData!AO65</f>
        <v>94</v>
      </c>
      <c r="M18" s="78">
        <f>simulationData!W65</f>
        <v>1.15</v>
      </c>
      <c r="N18" s="80">
        <f t="shared" si="3"/>
        <v>0.0122</v>
      </c>
      <c r="O18" s="80">
        <f t="shared" si="7"/>
        <v>0.0001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I18" s="10"/>
    </row>
    <row r="19" ht="16.5" customHeight="1">
      <c r="A19" s="10"/>
      <c r="B19" s="75">
        <v>16.0</v>
      </c>
      <c r="C19" s="77">
        <f>simulationData!AO16</f>
        <v>95</v>
      </c>
      <c r="D19" s="78">
        <f>simulationData!W16</f>
        <v>421</v>
      </c>
      <c r="E19" s="80">
        <f t="shared" si="2"/>
        <v>4.43</v>
      </c>
      <c r="F19" s="80">
        <f t="shared" si="4"/>
        <v>0.27</v>
      </c>
      <c r="G19" s="78">
        <f>simulationData!X16</f>
        <v>5.622</v>
      </c>
      <c r="H19" s="80">
        <f t="shared" si="5"/>
        <v>0.059</v>
      </c>
      <c r="I19" s="80">
        <f t="shared" si="6"/>
        <v>-0.001</v>
      </c>
      <c r="J19" s="10"/>
      <c r="K19" s="75">
        <v>16.0</v>
      </c>
      <c r="L19" s="77">
        <f>simulationData!AO66</f>
        <v>110</v>
      </c>
      <c r="M19" s="78">
        <f>simulationData!W66</f>
        <v>1.37</v>
      </c>
      <c r="N19" s="80">
        <f t="shared" si="3"/>
        <v>0.0125</v>
      </c>
      <c r="O19" s="80">
        <f t="shared" si="7"/>
        <v>0.0003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I19" s="10"/>
    </row>
    <row r="20" ht="16.5" customHeight="1">
      <c r="A20" s="10"/>
      <c r="B20" s="75">
        <v>17.0</v>
      </c>
      <c r="C20" s="77">
        <f>simulationData!AO17</f>
        <v>111</v>
      </c>
      <c r="D20" s="78">
        <f>simulationData!W17</f>
        <v>524</v>
      </c>
      <c r="E20" s="80">
        <f t="shared" si="2"/>
        <v>4.72</v>
      </c>
      <c r="F20" s="80">
        <f t="shared" si="4"/>
        <v>0.29</v>
      </c>
      <c r="G20" s="78">
        <f>simulationData!X17</f>
        <v>6.514</v>
      </c>
      <c r="H20" s="80">
        <f t="shared" si="5"/>
        <v>0.059</v>
      </c>
      <c r="I20" s="80">
        <f t="shared" si="6"/>
        <v>0</v>
      </c>
      <c r="J20" s="10"/>
      <c r="K20" s="75">
        <v>17.0</v>
      </c>
      <c r="L20" s="77">
        <f>simulationData!AO67</f>
        <v>129</v>
      </c>
      <c r="M20" s="78">
        <f>simulationData!W67</f>
        <v>1.62</v>
      </c>
      <c r="N20" s="80">
        <f t="shared" si="3"/>
        <v>0.0126</v>
      </c>
      <c r="O20" s="80">
        <f t="shared" si="7"/>
        <v>0.0001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I20" s="10"/>
    </row>
    <row r="21" ht="16.5" customHeight="1">
      <c r="A21" s="10"/>
      <c r="B21" s="75">
        <v>18.0</v>
      </c>
      <c r="C21" s="77">
        <f>simulationData!AO18</f>
        <v>130</v>
      </c>
      <c r="D21" s="78">
        <f>simulationData!W18</f>
        <v>652</v>
      </c>
      <c r="E21" s="80">
        <f t="shared" si="2"/>
        <v>5.02</v>
      </c>
      <c r="F21" s="80">
        <f t="shared" si="4"/>
        <v>0.3</v>
      </c>
      <c r="G21" s="78">
        <f>simulationData!X18</f>
        <v>7.529</v>
      </c>
      <c r="H21" s="80">
        <f t="shared" si="5"/>
        <v>0.058</v>
      </c>
      <c r="I21" s="80">
        <f t="shared" si="6"/>
        <v>-0.001</v>
      </c>
      <c r="J21" s="10"/>
      <c r="K21" s="75">
        <v>18.0</v>
      </c>
      <c r="L21" s="77">
        <f>simulationData!AO68</f>
        <v>151</v>
      </c>
      <c r="M21" s="78">
        <f>simulationData!W68</f>
        <v>1.92</v>
      </c>
      <c r="N21" s="80">
        <f t="shared" si="3"/>
        <v>0.0127</v>
      </c>
      <c r="O21" s="80">
        <f t="shared" si="7"/>
        <v>0.0001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70" t="s">
        <v>87</v>
      </c>
      <c r="AB21" s="71"/>
      <c r="AC21" s="71"/>
      <c r="AD21" s="71"/>
      <c r="AE21" s="71"/>
      <c r="AF21" s="71"/>
      <c r="AG21" s="71"/>
      <c r="AH21" s="11"/>
      <c r="AI21" s="10"/>
    </row>
    <row r="22" ht="16.5" customHeight="1">
      <c r="A22" s="10"/>
      <c r="B22" s="75">
        <v>19.0</v>
      </c>
      <c r="C22" s="77">
        <f>simulationData!AO19</f>
        <v>152</v>
      </c>
      <c r="D22" s="78">
        <f>simulationData!W19</f>
        <v>809</v>
      </c>
      <c r="E22" s="80">
        <f t="shared" si="2"/>
        <v>5.32</v>
      </c>
      <c r="F22" s="80">
        <f t="shared" si="4"/>
        <v>0.3</v>
      </c>
      <c r="G22" s="78">
        <f>simulationData!X19</f>
        <v>8.684</v>
      </c>
      <c r="H22" s="80">
        <f t="shared" si="5"/>
        <v>0.057</v>
      </c>
      <c r="I22" s="80">
        <f t="shared" si="6"/>
        <v>-0.001</v>
      </c>
      <c r="J22" s="10"/>
      <c r="K22" s="75">
        <v>19.0</v>
      </c>
      <c r="L22" s="77">
        <f>simulationData!AO69</f>
        <v>176</v>
      </c>
      <c r="M22" s="78">
        <f>simulationData!W69</f>
        <v>2.26</v>
      </c>
      <c r="N22" s="80">
        <f t="shared" si="3"/>
        <v>0.0128</v>
      </c>
      <c r="O22" s="80">
        <f t="shared" si="7"/>
        <v>0.0001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70" t="s">
        <v>73</v>
      </c>
      <c r="AB22" s="11"/>
      <c r="AC22" s="63"/>
      <c r="AD22" s="70" t="s">
        <v>70</v>
      </c>
      <c r="AE22" s="11"/>
      <c r="AF22" s="63"/>
      <c r="AG22" s="61" t="s">
        <v>88</v>
      </c>
      <c r="AH22" s="75">
        <f>IF(AC22&lt;=20,AC22,20)+IF(AND(AF22&gt;0,AF22&lt;=25),VLOOKUP(AF22,'skill data'!G83:H107,2),0)+'skill data'!G9</f>
        <v>0</v>
      </c>
      <c r="AI22" s="10"/>
    </row>
    <row r="23" ht="16.5" customHeight="1">
      <c r="A23" s="10"/>
      <c r="B23" s="75">
        <v>20.0</v>
      </c>
      <c r="C23" s="77">
        <f>simulationData!AO20</f>
        <v>177</v>
      </c>
      <c r="D23" s="78">
        <f>simulationData!W20</f>
        <v>1000</v>
      </c>
      <c r="E23" s="80">
        <f t="shared" si="2"/>
        <v>5.65</v>
      </c>
      <c r="F23" s="80">
        <f t="shared" si="4"/>
        <v>0.33</v>
      </c>
      <c r="G23" s="78">
        <f>simulationData!X20</f>
        <v>10</v>
      </c>
      <c r="H23" s="80">
        <f t="shared" si="5"/>
        <v>0.056</v>
      </c>
      <c r="I23" s="80">
        <f t="shared" si="6"/>
        <v>-0.001</v>
      </c>
      <c r="J23" s="10"/>
      <c r="K23" s="75">
        <v>20.0</v>
      </c>
      <c r="L23" s="77">
        <f>simulationData!AO70</f>
        <v>204</v>
      </c>
      <c r="M23" s="78">
        <f>simulationData!W70</f>
        <v>2.65</v>
      </c>
      <c r="N23" s="80">
        <f t="shared" si="3"/>
        <v>0.013</v>
      </c>
      <c r="O23" s="80">
        <f t="shared" si="7"/>
        <v>0.0002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70" t="s">
        <v>90</v>
      </c>
      <c r="AB23" s="11"/>
      <c r="AC23" s="63"/>
      <c r="AD23" s="70" t="s">
        <v>91</v>
      </c>
      <c r="AE23" s="11"/>
      <c r="AF23" s="75">
        <f>IF(AC23&lt;=60,30+AC23,90)</f>
        <v>30</v>
      </c>
      <c r="AG23" s="47" t="s">
        <v>94</v>
      </c>
      <c r="AH23" s="109" t="s">
        <v>95</v>
      </c>
      <c r="AI23" s="10"/>
    </row>
    <row r="24" ht="16.5" customHeight="1">
      <c r="A24" s="10"/>
      <c r="B24" s="75">
        <v>21.0</v>
      </c>
      <c r="C24" s="77">
        <f>simulationData!AO21</f>
        <v>205</v>
      </c>
      <c r="D24" s="78">
        <f>simulationData!W21</f>
        <v>1234</v>
      </c>
      <c r="E24" s="80">
        <f t="shared" si="2"/>
        <v>6.02</v>
      </c>
      <c r="F24" s="80">
        <f t="shared" si="4"/>
        <v>0.37</v>
      </c>
      <c r="G24" s="78">
        <f>simulationData!X21</f>
        <v>11.497</v>
      </c>
      <c r="H24" s="80">
        <f t="shared" si="5"/>
        <v>0.056</v>
      </c>
      <c r="I24" s="80">
        <f t="shared" si="6"/>
        <v>0</v>
      </c>
      <c r="J24" s="10"/>
      <c r="K24" s="75">
        <v>21.0</v>
      </c>
      <c r="L24" s="77">
        <f>simulationData!AO71</f>
        <v>237</v>
      </c>
      <c r="M24" s="78">
        <f>simulationData!W71</f>
        <v>3.12</v>
      </c>
      <c r="N24" s="80">
        <f t="shared" si="3"/>
        <v>0.0132</v>
      </c>
      <c r="O24" s="80">
        <f t="shared" si="7"/>
        <v>0.0002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75" t="s">
        <v>20</v>
      </c>
      <c r="AB24" s="77" t="s">
        <v>42</v>
      </c>
      <c r="AC24" s="78" t="s">
        <v>96</v>
      </c>
      <c r="AD24" s="111" t="s">
        <v>97</v>
      </c>
      <c r="AE24" s="21" t="s">
        <v>98</v>
      </c>
      <c r="AF24" s="75" t="s">
        <v>99</v>
      </c>
      <c r="AG24" s="112" t="s">
        <v>100</v>
      </c>
      <c r="AH24" s="80" t="s">
        <v>41</v>
      </c>
      <c r="AI24" s="10"/>
    </row>
    <row r="25" ht="16.5" customHeight="1">
      <c r="A25" s="10"/>
      <c r="B25" s="75">
        <v>22.0</v>
      </c>
      <c r="C25" s="77">
        <f>simulationData!AO22</f>
        <v>238</v>
      </c>
      <c r="D25" s="78">
        <f>simulationData!W22</f>
        <v>1520</v>
      </c>
      <c r="E25" s="80">
        <f t="shared" si="2"/>
        <v>6.39</v>
      </c>
      <c r="F25" s="80">
        <f t="shared" si="4"/>
        <v>0.37</v>
      </c>
      <c r="G25" s="78">
        <f>simulationData!X22</f>
        <v>13.201</v>
      </c>
      <c r="H25" s="80">
        <f t="shared" si="5"/>
        <v>0.055</v>
      </c>
      <c r="I25" s="80">
        <f t="shared" si="6"/>
        <v>-0.001</v>
      </c>
      <c r="K25" s="75">
        <v>22.0</v>
      </c>
      <c r="L25" s="77">
        <f>simulationData!AO72</f>
        <v>275</v>
      </c>
      <c r="M25" s="78">
        <f>simulationData!W72</f>
        <v>3.66</v>
      </c>
      <c r="N25" s="80">
        <f t="shared" si="3"/>
        <v>0.0133</v>
      </c>
      <c r="O25" s="80">
        <f t="shared" si="7"/>
        <v>0.0001</v>
      </c>
      <c r="S25" s="10"/>
      <c r="T25" s="10"/>
      <c r="U25" s="10"/>
      <c r="V25" s="10"/>
      <c r="W25" s="10"/>
      <c r="X25" s="10"/>
      <c r="Y25" s="10"/>
      <c r="Z25" s="10"/>
      <c r="AA25" s="75">
        <v>1.0</v>
      </c>
      <c r="AB25" s="77">
        <v>3.0</v>
      </c>
      <c r="AC25" s="78" t="str">
        <f>simulationData!W76&amp;"%"</f>
        <v>10%</v>
      </c>
      <c r="AD25" s="78" t="str">
        <f>simulationData!X76&amp;"%"</f>
        <v>93.8%</v>
      </c>
      <c r="AE25" s="113">
        <f>'skill data'!E105</f>
        <v>5.241157176</v>
      </c>
      <c r="AF25" s="75">
        <f>AF23*AH22*0.02*'skill data'!AG22*IF(AH23="是",1.5,1)</f>
        <v>0</v>
      </c>
      <c r="AG25" s="114">
        <f>'skill data'!F88</f>
        <v>1</v>
      </c>
      <c r="AH25" s="80" t="str">
        <f>ROUND(('skill data'!C88^(1/AB25)-1)*100,2)&amp;"%"</f>
        <v>0%</v>
      </c>
      <c r="AI25" s="10"/>
    </row>
    <row r="26" ht="16.5" customHeight="1">
      <c r="A26" s="2"/>
      <c r="B26" s="75">
        <v>23.0</v>
      </c>
      <c r="C26" s="77">
        <f>simulationData!AO23</f>
        <v>276</v>
      </c>
      <c r="D26" s="78">
        <f>simulationData!W23</f>
        <v>1870</v>
      </c>
      <c r="E26" s="80">
        <f t="shared" si="2"/>
        <v>6.78</v>
      </c>
      <c r="F26" s="80">
        <f t="shared" si="4"/>
        <v>0.39</v>
      </c>
      <c r="G26" s="78">
        <f>simulationData!X23</f>
        <v>15.141</v>
      </c>
      <c r="H26" s="80">
        <f t="shared" si="5"/>
        <v>0.055</v>
      </c>
      <c r="I26" s="80">
        <f t="shared" si="6"/>
        <v>0</v>
      </c>
      <c r="K26" s="75">
        <v>23.0</v>
      </c>
      <c r="L26" s="77">
        <f>simulationData!AO73</f>
        <v>318</v>
      </c>
      <c r="M26" s="78">
        <f>simulationData!W73</f>
        <v>4.28</v>
      </c>
      <c r="N26" s="80">
        <f t="shared" si="3"/>
        <v>0.0135</v>
      </c>
      <c r="O26" s="80">
        <f t="shared" si="7"/>
        <v>0.0002</v>
      </c>
      <c r="S26" s="10"/>
      <c r="T26" s="10"/>
      <c r="U26" s="10"/>
      <c r="V26" s="10"/>
      <c r="W26" s="10"/>
      <c r="X26" s="10"/>
      <c r="Y26" s="10"/>
      <c r="Z26" s="10"/>
      <c r="AA26" s="75">
        <v>2.0</v>
      </c>
      <c r="AB26" s="77">
        <v>7.0</v>
      </c>
      <c r="AC26" s="78" t="str">
        <f>simulationData!W77&amp;"%"</f>
        <v>15.32%</v>
      </c>
      <c r="AD26" s="78" t="str">
        <f>simulationData!X77&amp;"%"</f>
        <v>94.1%</v>
      </c>
      <c r="AE26" s="113">
        <f>'skill data'!E106</f>
        <v>14.9839644</v>
      </c>
      <c r="AF26" s="75">
        <f t="shared" ref="AF26:AF39" si="9">AF25</f>
        <v>0</v>
      </c>
      <c r="AG26" s="114">
        <f>'skill data'!F89</f>
        <v>1</v>
      </c>
      <c r="AH26" s="80" t="str">
        <f>ROUND((('skill data'!C89/'skill data'!C88)^(1/(AB26-AB25))-1)*100,2)&amp;"%"</f>
        <v>0%</v>
      </c>
      <c r="AI26" s="10"/>
    </row>
    <row r="27" ht="16.5" customHeight="1">
      <c r="A27" s="2"/>
      <c r="B27" s="75">
        <v>24.0</v>
      </c>
      <c r="C27" s="77">
        <f>simulationData!AO24</f>
        <v>319</v>
      </c>
      <c r="D27" s="78">
        <f>simulationData!W24</f>
        <v>2295</v>
      </c>
      <c r="E27" s="80">
        <f t="shared" si="2"/>
        <v>7.19</v>
      </c>
      <c r="F27" s="80">
        <f t="shared" si="4"/>
        <v>0.41</v>
      </c>
      <c r="G27" s="78">
        <f>simulationData!X24</f>
        <v>17.35</v>
      </c>
      <c r="H27" s="80">
        <f t="shared" si="5"/>
        <v>0.054</v>
      </c>
      <c r="I27" s="80">
        <f t="shared" si="6"/>
        <v>-0.001</v>
      </c>
      <c r="K27" s="75">
        <v>24.0</v>
      </c>
      <c r="L27" s="77">
        <f>simulationData!AO74</f>
        <v>368</v>
      </c>
      <c r="M27" s="78">
        <f>simulationData!W74</f>
        <v>5.01</v>
      </c>
      <c r="N27" s="80">
        <f t="shared" si="3"/>
        <v>0.0136</v>
      </c>
      <c r="O27" s="80">
        <f t="shared" si="7"/>
        <v>0.0001</v>
      </c>
      <c r="S27" s="10">
        <v>2.0</v>
      </c>
      <c r="T27" s="10">
        <v>3.0</v>
      </c>
      <c r="U27" s="10">
        <v>4.0</v>
      </c>
      <c r="V27" s="10">
        <v>5.0</v>
      </c>
      <c r="W27" s="10">
        <v>6.0</v>
      </c>
      <c r="X27" s="120">
        <v>7.0</v>
      </c>
      <c r="Y27" s="120">
        <v>8.0</v>
      </c>
      <c r="Z27" s="10"/>
      <c r="AA27" s="75">
        <v>3.0</v>
      </c>
      <c r="AB27" s="77">
        <v>12.0</v>
      </c>
      <c r="AC27" s="78" t="str">
        <f>simulationData!W78&amp;"%"</f>
        <v>20.72%</v>
      </c>
      <c r="AD27" s="78" t="str">
        <f>simulationData!X78&amp;"%"</f>
        <v>94.4%</v>
      </c>
      <c r="AE27" s="113">
        <f>'skill data'!E107</f>
        <v>50.3225848</v>
      </c>
      <c r="AF27" s="75">
        <f t="shared" si="9"/>
        <v>0</v>
      </c>
      <c r="AG27" s="114">
        <f>'skill data'!F90</f>
        <v>1</v>
      </c>
      <c r="AH27" s="80" t="str">
        <f>ROUND((('skill data'!C90/'skill data'!C89)^(1/(AB27-AB26))-1)*100,2)&amp;"%"</f>
        <v>0%</v>
      </c>
      <c r="AI27" s="10"/>
    </row>
    <row r="28" ht="16.5" customHeight="1">
      <c r="A28" s="10"/>
      <c r="B28" s="75">
        <v>25.0</v>
      </c>
      <c r="C28" s="77">
        <f>simulationData!AO25</f>
        <v>369</v>
      </c>
      <c r="D28" s="78">
        <f>simulationData!W25</f>
        <v>2815</v>
      </c>
      <c r="E28" s="80">
        <f t="shared" si="2"/>
        <v>7.63</v>
      </c>
      <c r="F28" s="80">
        <f t="shared" si="4"/>
        <v>0.44</v>
      </c>
      <c r="G28" s="78">
        <f>simulationData!X25</f>
        <v>19.864</v>
      </c>
      <c r="H28" s="80">
        <f t="shared" si="5"/>
        <v>0.054</v>
      </c>
      <c r="I28" s="80">
        <f t="shared" si="6"/>
        <v>0</v>
      </c>
      <c r="K28" s="75">
        <v>25.0</v>
      </c>
      <c r="L28" s="77">
        <f>simulationData!AO75</f>
        <v>425</v>
      </c>
      <c r="M28" s="78">
        <f>simulationData!W75</f>
        <v>5.84</v>
      </c>
      <c r="N28" s="80">
        <f t="shared" si="3"/>
        <v>0.0137</v>
      </c>
      <c r="O28" s="80">
        <f t="shared" si="7"/>
        <v>0.0001</v>
      </c>
      <c r="S28" s="10">
        <f t="shared" ref="S28:Y28" si="10">MIN(1,$D35/2^(S$27-2))</f>
        <v>0</v>
      </c>
      <c r="T28" s="10">
        <f t="shared" si="10"/>
        <v>0</v>
      </c>
      <c r="U28" s="10">
        <f t="shared" si="10"/>
        <v>0</v>
      </c>
      <c r="V28" s="10">
        <f t="shared" si="10"/>
        <v>0</v>
      </c>
      <c r="W28" s="10">
        <f t="shared" si="10"/>
        <v>0</v>
      </c>
      <c r="X28" s="10">
        <f t="shared" si="10"/>
        <v>0</v>
      </c>
      <c r="Y28" s="10">
        <f t="shared" si="10"/>
        <v>0</v>
      </c>
      <c r="Z28" s="10"/>
      <c r="AA28" s="75">
        <v>4.0</v>
      </c>
      <c r="AB28" s="77">
        <v>19.0</v>
      </c>
      <c r="AC28" s="78" t="str">
        <f>simulationData!W79&amp;"%"</f>
        <v>26.71%</v>
      </c>
      <c r="AD28" s="78" t="str">
        <f>simulationData!X79&amp;"%"</f>
        <v>94.7%</v>
      </c>
      <c r="AE28" s="113">
        <f>'skill data'!E108</f>
        <v>229.3756314</v>
      </c>
      <c r="AF28" s="75">
        <f t="shared" si="9"/>
        <v>0</v>
      </c>
      <c r="AG28" s="114">
        <f>'skill data'!F91</f>
        <v>1</v>
      </c>
      <c r="AH28" s="80" t="str">
        <f>ROUND((('skill data'!C91/'skill data'!C90)^(1/(AB28-AB27))-1)*100,2)&amp;"%"</f>
        <v>0%</v>
      </c>
      <c r="AI28" s="10"/>
    </row>
    <row r="29" ht="16.5" customHeight="1">
      <c r="A29" s="10"/>
      <c r="S29" s="10">
        <f t="shared" ref="S29:Y29" si="11">MIN(1,$D36/2^(S$27-2))</f>
        <v>0.04</v>
      </c>
      <c r="T29" s="10">
        <f t="shared" si="11"/>
        <v>0.02</v>
      </c>
      <c r="U29" s="10">
        <f t="shared" si="11"/>
        <v>0.01</v>
      </c>
      <c r="V29" s="10">
        <f t="shared" si="11"/>
        <v>0.005</v>
      </c>
      <c r="W29" s="10">
        <f t="shared" si="11"/>
        <v>0.0025</v>
      </c>
      <c r="X29" s="10">
        <f t="shared" si="11"/>
        <v>0.00125</v>
      </c>
      <c r="Y29" s="10">
        <f t="shared" si="11"/>
        <v>0.000625</v>
      </c>
      <c r="Z29" s="10"/>
      <c r="AA29" s="75">
        <v>5.0</v>
      </c>
      <c r="AB29" s="77">
        <v>28.0</v>
      </c>
      <c r="AC29" s="78" t="str">
        <f>simulationData!W80&amp;"%"</f>
        <v>32.88%</v>
      </c>
      <c r="AD29" s="78" t="str">
        <f>simulationData!X80&amp;"%"</f>
        <v>95%</v>
      </c>
      <c r="AE29" s="113" t="str">
        <f>'skill data'!E109</f>
        <v>1.39e3</v>
      </c>
      <c r="AF29" s="75">
        <f t="shared" si="9"/>
        <v>0</v>
      </c>
      <c r="AG29" s="114">
        <f>'skill data'!F92</f>
        <v>1</v>
      </c>
      <c r="AH29" s="80" t="str">
        <f>ROUND((('skill data'!C92/'skill data'!C91)^(1/(AB29-AB28))-1)*100,2)&amp;"%"</f>
        <v>0%</v>
      </c>
      <c r="AI29" s="10"/>
    </row>
    <row r="30" ht="16.5" customHeight="1">
      <c r="A30" s="10"/>
      <c r="S30" s="10">
        <f t="shared" ref="S30:Y30" si="12">MIN(1,$D37/2^(S$27-2))</f>
        <v>0.16</v>
      </c>
      <c r="T30" s="10">
        <f t="shared" si="12"/>
        <v>0.08</v>
      </c>
      <c r="U30" s="10">
        <f t="shared" si="12"/>
        <v>0.04</v>
      </c>
      <c r="V30" s="10">
        <f t="shared" si="12"/>
        <v>0.02</v>
      </c>
      <c r="W30" s="10">
        <f t="shared" si="12"/>
        <v>0.01</v>
      </c>
      <c r="X30" s="10">
        <f t="shared" si="12"/>
        <v>0.005</v>
      </c>
      <c r="Y30" s="10">
        <f t="shared" si="12"/>
        <v>0.0025</v>
      </c>
      <c r="Z30" s="10"/>
      <c r="AA30" s="75">
        <v>6.0</v>
      </c>
      <c r="AB30" s="77">
        <v>40.0</v>
      </c>
      <c r="AC30" s="78" t="str">
        <f>simulationData!W81&amp;"%"</f>
        <v>39.42%</v>
      </c>
      <c r="AD30" s="78" t="str">
        <f>simulationData!X81&amp;"%"</f>
        <v>95.3%</v>
      </c>
      <c r="AE30" s="21" t="str">
        <f>'skill data'!E110</f>
        <v>1.25e4</v>
      </c>
      <c r="AF30" s="75">
        <f t="shared" si="9"/>
        <v>0</v>
      </c>
      <c r="AG30" s="114">
        <f>'skill data'!F93</f>
        <v>1</v>
      </c>
      <c r="AH30" s="80" t="str">
        <f>ROUND((('skill data'!C93/'skill data'!C92)^(1/(AB30-AB29))-1)*100,2)&amp;"%"</f>
        <v>0%</v>
      </c>
      <c r="AI30" s="10"/>
    </row>
    <row r="31" ht="16.5" customHeight="1">
      <c r="A31" s="10"/>
      <c r="S31" s="10">
        <f t="shared" ref="S31:Y31" si="13">MIN(1,$D38/2^(S$27-2))</f>
        <v>0.35</v>
      </c>
      <c r="T31" s="10">
        <f t="shared" si="13"/>
        <v>0.175</v>
      </c>
      <c r="U31" s="10">
        <f t="shared" si="13"/>
        <v>0.0875</v>
      </c>
      <c r="V31" s="10">
        <f t="shared" si="13"/>
        <v>0.04375</v>
      </c>
      <c r="W31" s="10">
        <f t="shared" si="13"/>
        <v>0.021875</v>
      </c>
      <c r="X31" s="10">
        <f t="shared" si="13"/>
        <v>0.0109375</v>
      </c>
      <c r="Y31" s="10">
        <f t="shared" si="13"/>
        <v>0.00546875</v>
      </c>
      <c r="Z31" s="10"/>
      <c r="AA31" s="75">
        <v>7.0</v>
      </c>
      <c r="AB31" s="77">
        <v>56.0</v>
      </c>
      <c r="AC31" s="78" t="str">
        <f>simulationData!W82&amp;"%"</f>
        <v>46.27%</v>
      </c>
      <c r="AD31" s="78" t="str">
        <f>simulationData!X82&amp;"%"</f>
        <v>95.6%</v>
      </c>
      <c r="AE31" s="21" t="str">
        <f>'skill data'!E111</f>
        <v>1.84e5</v>
      </c>
      <c r="AF31" s="75">
        <f t="shared" si="9"/>
        <v>0</v>
      </c>
      <c r="AG31" s="114">
        <f>'skill data'!F94</f>
        <v>1</v>
      </c>
      <c r="AH31" s="80" t="str">
        <f>ROUND((('skill data'!C94/'skill data'!C93)^(1/(AB31-AB30))-1)*100,2)&amp;"%"</f>
        <v>0%</v>
      </c>
      <c r="AI31" s="10"/>
    </row>
    <row r="32" ht="16.5" customHeight="1">
      <c r="A32" s="10"/>
      <c r="B32" s="70" t="s">
        <v>84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11"/>
      <c r="S32" s="10">
        <f t="shared" ref="S32:Y32" si="14">MIN(1,$D39/2^(S$27-2))</f>
        <v>0.54</v>
      </c>
      <c r="T32" s="10">
        <f t="shared" si="14"/>
        <v>0.27</v>
      </c>
      <c r="U32" s="10">
        <f t="shared" si="14"/>
        <v>0.135</v>
      </c>
      <c r="V32" s="10">
        <f t="shared" si="14"/>
        <v>0.0675</v>
      </c>
      <c r="W32" s="10">
        <f t="shared" si="14"/>
        <v>0.03375</v>
      </c>
      <c r="X32" s="10">
        <f t="shared" si="14"/>
        <v>0.016875</v>
      </c>
      <c r="Y32" s="10">
        <f t="shared" si="14"/>
        <v>0.0084375</v>
      </c>
      <c r="Z32" s="10"/>
      <c r="AA32" s="75">
        <v>8.0</v>
      </c>
      <c r="AB32" s="77">
        <v>77.0</v>
      </c>
      <c r="AC32" s="78" t="str">
        <f>simulationData!W83&amp;"%"</f>
        <v>53.23%</v>
      </c>
      <c r="AD32" s="78" t="str">
        <f>simulationData!X83&amp;"%"</f>
        <v>95.9%</v>
      </c>
      <c r="AE32" s="21" t="str">
        <f>'skill data'!E112</f>
        <v>4.77e6</v>
      </c>
      <c r="AF32" s="75">
        <f t="shared" si="9"/>
        <v>0</v>
      </c>
      <c r="AG32" s="114">
        <f>'skill data'!F95</f>
        <v>1</v>
      </c>
      <c r="AH32" s="80" t="str">
        <f>ROUND((('skill data'!C95/'skill data'!C94)^(1/(AB32-AB31))-1)*100,2)&amp;"%"</f>
        <v>0%</v>
      </c>
      <c r="AI32" s="10"/>
    </row>
    <row r="33" ht="16.5" customHeight="1">
      <c r="A33" s="10"/>
      <c r="B33" s="70" t="s">
        <v>110</v>
      </c>
      <c r="C33" s="11"/>
      <c r="D33" s="125">
        <v>0.0</v>
      </c>
      <c r="E33" s="11"/>
      <c r="F33" s="70" t="s">
        <v>111</v>
      </c>
      <c r="G33" s="71"/>
      <c r="H33" s="71"/>
      <c r="I33" s="71"/>
      <c r="J33" s="71"/>
      <c r="K33" s="71"/>
      <c r="L33" s="71"/>
      <c r="M33" s="11"/>
      <c r="N33" s="70" t="s">
        <v>112</v>
      </c>
      <c r="O33" s="71"/>
      <c r="P33" s="71"/>
      <c r="Q33" s="71"/>
      <c r="R33" s="11"/>
      <c r="S33" s="10">
        <f t="shared" ref="S33:Y33" si="15">MIN(1,$D40/2^(S$27-2))</f>
        <v>0.75</v>
      </c>
      <c r="T33" s="10">
        <f t="shared" si="15"/>
        <v>0.375</v>
      </c>
      <c r="U33" s="10">
        <f t="shared" si="15"/>
        <v>0.1875</v>
      </c>
      <c r="V33" s="10">
        <f t="shared" si="15"/>
        <v>0.09375</v>
      </c>
      <c r="W33" s="10">
        <f t="shared" si="15"/>
        <v>0.046875</v>
      </c>
      <c r="X33" s="10">
        <f t="shared" si="15"/>
        <v>0.0234375</v>
      </c>
      <c r="Y33" s="10">
        <f t="shared" si="15"/>
        <v>0.01171875</v>
      </c>
      <c r="Z33" s="10"/>
      <c r="AA33" s="75">
        <v>9.0</v>
      </c>
      <c r="AB33" s="77">
        <v>104.0</v>
      </c>
      <c r="AC33" s="78" t="str">
        <f>simulationData!W84&amp;"%"</f>
        <v>60.03%</v>
      </c>
      <c r="AD33" s="78" t="str">
        <f>simulationData!X84&amp;"%"</f>
        <v>96.2%</v>
      </c>
      <c r="AE33" s="21" t="str">
        <f>'skill data'!E113</f>
        <v>2.31e8</v>
      </c>
      <c r="AF33" s="75">
        <f t="shared" si="9"/>
        <v>0</v>
      </c>
      <c r="AG33" s="114">
        <f>'skill data'!F96</f>
        <v>1</v>
      </c>
      <c r="AH33" s="80" t="str">
        <f>ROUND((('skill data'!C96/'skill data'!C95)^(1/(AB33-AB32))-1)*100,2)&amp;"%"</f>
        <v>0%</v>
      </c>
      <c r="AI33" s="10"/>
    </row>
    <row r="34" ht="16.5" customHeight="1">
      <c r="A34" s="10"/>
      <c r="B34" s="75" t="s">
        <v>20</v>
      </c>
      <c r="C34" s="77" t="s">
        <v>42</v>
      </c>
      <c r="D34" s="78" t="s">
        <v>113</v>
      </c>
      <c r="E34" s="78" t="s">
        <v>114</v>
      </c>
      <c r="F34" s="126" t="s">
        <v>115</v>
      </c>
      <c r="G34" s="126" t="s">
        <v>116</v>
      </c>
      <c r="H34" s="126" t="s">
        <v>117</v>
      </c>
      <c r="I34" s="126" t="s">
        <v>118</v>
      </c>
      <c r="J34" s="126" t="s">
        <v>119</v>
      </c>
      <c r="K34" s="126" t="s">
        <v>120</v>
      </c>
      <c r="L34" s="127" t="s">
        <v>121</v>
      </c>
      <c r="M34" s="127" t="s">
        <v>122</v>
      </c>
      <c r="N34" s="80" t="s">
        <v>123</v>
      </c>
      <c r="O34" s="80" t="s">
        <v>124</v>
      </c>
      <c r="P34" s="80" t="s">
        <v>125</v>
      </c>
      <c r="Q34" s="80" t="s">
        <v>45</v>
      </c>
      <c r="R34" s="80" t="s">
        <v>46</v>
      </c>
      <c r="S34" s="10">
        <f t="shared" ref="S34:Y34" si="16">MIN(1,$D41/2^(S$27-2))</f>
        <v>1</v>
      </c>
      <c r="T34" s="10">
        <f t="shared" si="16"/>
        <v>0.515</v>
      </c>
      <c r="U34" s="10">
        <f t="shared" si="16"/>
        <v>0.2575</v>
      </c>
      <c r="V34" s="10">
        <f t="shared" si="16"/>
        <v>0.12875</v>
      </c>
      <c r="W34" s="10">
        <f t="shared" si="16"/>
        <v>0.064375</v>
      </c>
      <c r="X34" s="10">
        <f t="shared" si="16"/>
        <v>0.0321875</v>
      </c>
      <c r="Y34" s="10">
        <f t="shared" si="16"/>
        <v>0.01609375</v>
      </c>
      <c r="Z34" s="10"/>
      <c r="AA34" s="75">
        <v>10.0</v>
      </c>
      <c r="AB34" s="77">
        <v>139.0</v>
      </c>
      <c r="AC34" s="78" t="str">
        <f>simulationData!W85&amp;"%"</f>
        <v>66.59%</v>
      </c>
      <c r="AD34" s="78" t="str">
        <f>simulationData!X85&amp;"%"</f>
        <v>96.5%</v>
      </c>
      <c r="AE34" s="21" t="str">
        <f>'skill data'!E114</f>
        <v>2.41e10</v>
      </c>
      <c r="AF34" s="75">
        <f t="shared" si="9"/>
        <v>0</v>
      </c>
      <c r="AG34" s="114">
        <f>'skill data'!F97</f>
        <v>1</v>
      </c>
      <c r="AH34" s="80" t="str">
        <f>ROUND((('skill data'!C97/'skill data'!C96)^(1/(AB34-AB33))-1)*100,2)&amp;"%"</f>
        <v>0%</v>
      </c>
      <c r="AI34" s="10"/>
    </row>
    <row r="35" ht="16.5" customHeight="1">
      <c r="A35" s="10"/>
      <c r="B35" s="75">
        <v>0.0</v>
      </c>
      <c r="C35" s="77">
        <v>0.0</v>
      </c>
      <c r="D35" s="130">
        <f>D33</f>
        <v>0</v>
      </c>
      <c r="E35" s="78">
        <v>120.0</v>
      </c>
      <c r="F35" s="132">
        <f t="shared" ref="F35:F45" si="19">1-SUM(G35:$M35)</f>
        <v>1</v>
      </c>
      <c r="G35" s="132">
        <f t="shared" ref="G35:L35" si="17">PRODUCT($S28:S28)-SUM(H35:$M35)</f>
        <v>0</v>
      </c>
      <c r="H35" s="132">
        <f t="shared" si="17"/>
        <v>0</v>
      </c>
      <c r="I35" s="132">
        <f t="shared" si="17"/>
        <v>0</v>
      </c>
      <c r="J35" s="132">
        <f t="shared" si="17"/>
        <v>0</v>
      </c>
      <c r="K35" s="132">
        <f t="shared" si="17"/>
        <v>0</v>
      </c>
      <c r="L35" s="132">
        <f t="shared" si="17"/>
        <v>0</v>
      </c>
      <c r="M35" s="134" t="str">
        <f t="shared" ref="M35:M45" si="21">ROUND(PRODUCT($S28:Y28)*100,2)&amp;"%"</f>
        <v>0%</v>
      </c>
      <c r="N35" s="136">
        <f t="shared" ref="N35:N45" si="22">F35+G35*2+H35*3+I35*4+J35*5+K35*6+L35*7+M35*8</f>
        <v>1</v>
      </c>
      <c r="O35" s="137">
        <f t="shared" ref="O35:O45" si="23">N35*3600/E35</f>
        <v>30</v>
      </c>
      <c r="P35" s="139">
        <f t="shared" ref="P35:P45" si="24">O35/O$35</f>
        <v>1</v>
      </c>
      <c r="Q35" s="80" t="s">
        <v>52</v>
      </c>
      <c r="R35" s="80" t="s">
        <v>52</v>
      </c>
      <c r="S35" s="10">
        <f t="shared" ref="S35:Y35" si="18">MIN(1,$D42/2^(S$27-2))</f>
        <v>1</v>
      </c>
      <c r="T35" s="10">
        <f t="shared" si="18"/>
        <v>0.69</v>
      </c>
      <c r="U35" s="10">
        <f t="shared" si="18"/>
        <v>0.345</v>
      </c>
      <c r="V35" s="10">
        <f t="shared" si="18"/>
        <v>0.1725</v>
      </c>
      <c r="W35" s="10">
        <f t="shared" si="18"/>
        <v>0.08625</v>
      </c>
      <c r="X35" s="10">
        <f t="shared" si="18"/>
        <v>0.043125</v>
      </c>
      <c r="Y35" s="10">
        <f t="shared" si="18"/>
        <v>0.0215625</v>
      </c>
      <c r="Z35" s="10"/>
      <c r="AA35" s="75">
        <v>11.0</v>
      </c>
      <c r="AB35" s="77">
        <v>185.0</v>
      </c>
      <c r="AC35" s="78" t="str">
        <f>simulationData!W86&amp;"%"</f>
        <v>72.88%</v>
      </c>
      <c r="AD35" s="78" t="str">
        <f>simulationData!X86&amp;"%"</f>
        <v>96.8%</v>
      </c>
      <c r="AE35" s="21" t="str">
        <f>'skill data'!E115</f>
        <v>6.88e12</v>
      </c>
      <c r="AF35" s="75">
        <f t="shared" si="9"/>
        <v>0</v>
      </c>
      <c r="AG35" s="114">
        <f>'skill data'!F98</f>
        <v>1</v>
      </c>
      <c r="AH35" s="80" t="str">
        <f>ROUND((('skill data'!C98/'skill data'!C97)^(1/(AB35-AB34))-1)*100,2)&amp;"%"</f>
        <v>0%</v>
      </c>
      <c r="AI35" s="10"/>
    </row>
    <row r="36" ht="16.5" customHeight="1">
      <c r="A36" s="10"/>
      <c r="B36" s="75">
        <v>1.0</v>
      </c>
      <c r="C36" s="77">
        <v>2.0</v>
      </c>
      <c r="D36" s="130">
        <f>D$33+simulationData!T51*0.01</f>
        <v>0.04</v>
      </c>
      <c r="E36" s="78">
        <f>120-simulationData!U51</f>
        <v>116</v>
      </c>
      <c r="F36" s="132">
        <f t="shared" si="19"/>
        <v>0.96</v>
      </c>
      <c r="G36" s="132">
        <f t="shared" ref="G36:L36" si="20">PRODUCT($S29:S29)-SUM(H36:$M36)</f>
        <v>0.0392</v>
      </c>
      <c r="H36" s="132">
        <f t="shared" si="20"/>
        <v>0.000792</v>
      </c>
      <c r="I36" s="132">
        <f t="shared" si="20"/>
        <v>0.00000796</v>
      </c>
      <c r="J36" s="132">
        <f t="shared" si="20"/>
        <v>0.0000000399</v>
      </c>
      <c r="K36" s="132">
        <f t="shared" si="20"/>
        <v>0</v>
      </c>
      <c r="L36" s="132">
        <f t="shared" si="20"/>
        <v>0</v>
      </c>
      <c r="M36" s="134" t="str">
        <f t="shared" si="21"/>
        <v>0%</v>
      </c>
      <c r="N36" s="136">
        <f t="shared" si="22"/>
        <v>1.04080804</v>
      </c>
      <c r="O36" s="137">
        <f t="shared" si="23"/>
        <v>32.30093918</v>
      </c>
      <c r="P36" s="139">
        <f t="shared" si="24"/>
        <v>1.076697973</v>
      </c>
      <c r="Q36" s="142">
        <f t="shared" ref="Q36:Q45" si="27">(P36-1)/C36</f>
        <v>0.03834898626</v>
      </c>
      <c r="R36" s="80" t="s">
        <v>52</v>
      </c>
      <c r="S36" s="10">
        <f t="shared" ref="S36:Y36" si="25">MIN(1,$D43/2^(S$27-2))</f>
        <v>1</v>
      </c>
      <c r="T36" s="10">
        <f t="shared" si="25"/>
        <v>0.88</v>
      </c>
      <c r="U36" s="10">
        <f t="shared" si="25"/>
        <v>0.44</v>
      </c>
      <c r="V36" s="10">
        <f t="shared" si="25"/>
        <v>0.22</v>
      </c>
      <c r="W36" s="10">
        <f t="shared" si="25"/>
        <v>0.11</v>
      </c>
      <c r="X36" s="10">
        <f t="shared" si="25"/>
        <v>0.055</v>
      </c>
      <c r="Y36" s="10">
        <f t="shared" si="25"/>
        <v>0.0275</v>
      </c>
      <c r="Z36" s="10"/>
      <c r="AA36" s="75">
        <v>12.0</v>
      </c>
      <c r="AB36" s="77">
        <v>245.0</v>
      </c>
      <c r="AC36" s="78" t="str">
        <f>simulationData!W87&amp;"%"</f>
        <v>78.67%</v>
      </c>
      <c r="AD36" s="78" t="str">
        <f>simulationData!X87&amp;"%"</f>
        <v>97.1%</v>
      </c>
      <c r="AE36" s="21" t="str">
        <f>'skill data'!E116</f>
        <v>6.46e15</v>
      </c>
      <c r="AF36" s="75">
        <f t="shared" si="9"/>
        <v>0</v>
      </c>
      <c r="AG36" s="114">
        <f>'skill data'!F99</f>
        <v>1</v>
      </c>
      <c r="AH36" s="80" t="str">
        <f>ROUND((('skill data'!C99/'skill data'!C98)^(1/(AB36-AB35))-1)*100,2)&amp;"%"</f>
        <v>0%</v>
      </c>
      <c r="AI36" s="10"/>
    </row>
    <row r="37" ht="16.5" customHeight="1">
      <c r="A37" s="10"/>
      <c r="B37" s="75">
        <v>2.0</v>
      </c>
      <c r="C37" s="77">
        <v>4.0</v>
      </c>
      <c r="D37" s="130">
        <f>D$33+simulationData!T52*0.01</f>
        <v>0.16</v>
      </c>
      <c r="E37" s="78">
        <f>120-simulationData!U52</f>
        <v>111.4</v>
      </c>
      <c r="F37" s="132">
        <f t="shared" si="19"/>
        <v>0.84</v>
      </c>
      <c r="G37" s="132">
        <f t="shared" ref="G37:L37" si="26">PRODUCT($S30:S30)-SUM(H37:$M37)</f>
        <v>0.1472</v>
      </c>
      <c r="H37" s="132">
        <f t="shared" si="26"/>
        <v>0.012288</v>
      </c>
      <c r="I37" s="132">
        <f t="shared" si="26"/>
        <v>0.00050176</v>
      </c>
      <c r="J37" s="132">
        <f t="shared" si="26"/>
        <v>0.0000101376</v>
      </c>
      <c r="K37" s="132">
        <f t="shared" si="26"/>
        <v>0.000000101888</v>
      </c>
      <c r="L37" s="132">
        <f t="shared" si="26"/>
        <v>0.000000000512</v>
      </c>
      <c r="M37" s="134" t="str">
        <f t="shared" si="21"/>
        <v>0%</v>
      </c>
      <c r="N37" s="136">
        <f t="shared" si="22"/>
        <v>1.173322343</v>
      </c>
      <c r="O37" s="137">
        <f t="shared" si="23"/>
        <v>37.91705956</v>
      </c>
      <c r="P37" s="139">
        <f t="shared" si="24"/>
        <v>1.263901985</v>
      </c>
      <c r="Q37" s="142">
        <f t="shared" si="27"/>
        <v>0.0659754963</v>
      </c>
      <c r="R37" s="142">
        <f t="shared" ref="R37:R45" si="30">Q37-Q36</f>
        <v>0.02762651004</v>
      </c>
      <c r="S37" s="10">
        <f t="shared" ref="S37:Y37" si="28">MIN(1,$D44/2^(S$27-2))</f>
        <v>1</v>
      </c>
      <c r="T37" s="10">
        <f t="shared" si="28"/>
        <v>1</v>
      </c>
      <c r="U37" s="10">
        <f t="shared" si="28"/>
        <v>0.5525</v>
      </c>
      <c r="V37" s="10">
        <f t="shared" si="28"/>
        <v>0.27625</v>
      </c>
      <c r="W37" s="10">
        <f t="shared" si="28"/>
        <v>0.138125</v>
      </c>
      <c r="X37" s="10">
        <f t="shared" si="28"/>
        <v>0.0690625</v>
      </c>
      <c r="Y37" s="10">
        <f t="shared" si="28"/>
        <v>0.03453125</v>
      </c>
      <c r="Z37" s="10"/>
      <c r="AA37" s="75">
        <v>13.0</v>
      </c>
      <c r="AB37" s="109">
        <v>323.0</v>
      </c>
      <c r="AC37" s="78" t="str">
        <f>simulationData!W88&amp;"%"</f>
        <v>83.79%</v>
      </c>
      <c r="AD37" s="78" t="str">
        <f>simulationData!X88&amp;"%"</f>
        <v>97.4%</v>
      </c>
      <c r="AE37" s="21" t="str">
        <f>'skill data'!E117</f>
        <v>2.65e19</v>
      </c>
      <c r="AF37" s="75">
        <f t="shared" si="9"/>
        <v>0</v>
      </c>
      <c r="AG37" s="114">
        <f>'skill data'!F100</f>
        <v>1</v>
      </c>
      <c r="AH37" s="80" t="str">
        <f>ROUND((('skill data'!C100/'skill data'!C99)^(1/(AB37-AB36))-1)*100,2)&amp;"%"</f>
        <v>0%</v>
      </c>
      <c r="AI37" s="10"/>
    </row>
    <row r="38" ht="16.5" customHeight="1">
      <c r="A38" s="10"/>
      <c r="B38" s="75">
        <v>3.0</v>
      </c>
      <c r="C38" s="77">
        <v>7.0</v>
      </c>
      <c r="D38" s="130">
        <f>D$33+simulationData!T53*0.01</f>
        <v>0.35</v>
      </c>
      <c r="E38" s="78">
        <f>120-simulationData!U53</f>
        <v>106.5</v>
      </c>
      <c r="F38" s="132">
        <f t="shared" si="19"/>
        <v>0.65</v>
      </c>
      <c r="G38" s="132">
        <f t="shared" ref="G38:L38" si="29">PRODUCT($S31:S31)-SUM(H38:$M38)</f>
        <v>0.28875</v>
      </c>
      <c r="H38" s="132">
        <f t="shared" si="29"/>
        <v>0.055890625</v>
      </c>
      <c r="I38" s="132">
        <f t="shared" si="29"/>
        <v>0.005124902344</v>
      </c>
      <c r="J38" s="132">
        <f t="shared" si="29"/>
        <v>0.0002293435669</v>
      </c>
      <c r="K38" s="132">
        <f t="shared" si="29"/>
        <v>0.000005072989941</v>
      </c>
      <c r="L38" s="132">
        <f t="shared" si="29"/>
        <v>0.00000005609941483</v>
      </c>
      <c r="M38" s="134" t="str">
        <f t="shared" si="21"/>
        <v>0%</v>
      </c>
      <c r="N38" s="136">
        <f t="shared" si="22"/>
        <v>1.416849033</v>
      </c>
      <c r="O38" s="137">
        <f t="shared" si="23"/>
        <v>47.89348843</v>
      </c>
      <c r="P38" s="139">
        <f t="shared" si="24"/>
        <v>1.596449614</v>
      </c>
      <c r="Q38" s="142">
        <f t="shared" si="27"/>
        <v>0.08520708778</v>
      </c>
      <c r="R38" s="142">
        <f t="shared" si="30"/>
        <v>0.01923159149</v>
      </c>
      <c r="S38" s="10">
        <f t="shared" ref="S38:Y38" si="31">MIN(1,$D45/2^(S$27-2))</f>
        <v>1</v>
      </c>
      <c r="T38" s="10">
        <f t="shared" si="31"/>
        <v>1</v>
      </c>
      <c r="U38" s="10">
        <f t="shared" si="31"/>
        <v>0.6875</v>
      </c>
      <c r="V38" s="10">
        <f t="shared" si="31"/>
        <v>0.34375</v>
      </c>
      <c r="W38" s="10">
        <f t="shared" si="31"/>
        <v>0.171875</v>
      </c>
      <c r="X38" s="10">
        <f t="shared" si="31"/>
        <v>0.0859375</v>
      </c>
      <c r="Y38" s="10">
        <f t="shared" si="31"/>
        <v>0.04296875</v>
      </c>
      <c r="Z38" s="10"/>
      <c r="AA38" s="75">
        <v>14.0</v>
      </c>
      <c r="AB38" s="109">
        <v>424.0</v>
      </c>
      <c r="AC38" s="78" t="str">
        <f>simulationData!W89&amp;"%"</f>
        <v>88.09%</v>
      </c>
      <c r="AD38" s="78" t="str">
        <f>simulationData!X89&amp;"%"</f>
        <v>97.7%</v>
      </c>
      <c r="AE38" s="21" t="str">
        <f>'skill data'!E118</f>
        <v>6.93e23</v>
      </c>
      <c r="AF38" s="75">
        <f t="shared" si="9"/>
        <v>0</v>
      </c>
      <c r="AG38" s="114">
        <f>'skill data'!F101</f>
        <v>1</v>
      </c>
      <c r="AH38" s="80" t="str">
        <f>ROUND((('skill data'!C101/'skill data'!C100)^(1/(AB38-AB37))-1)*100,2)&amp;"%"</f>
        <v>0%</v>
      </c>
      <c r="AI38" s="2"/>
    </row>
    <row r="39" ht="16.5" customHeight="1">
      <c r="A39" s="10"/>
      <c r="B39" s="75">
        <v>4.0</v>
      </c>
      <c r="C39" s="77">
        <v>10.0</v>
      </c>
      <c r="D39" s="130">
        <f>D$33+simulationData!T54*0.01</f>
        <v>0.54</v>
      </c>
      <c r="E39" s="78">
        <f>120-simulationData!U54</f>
        <v>101.2</v>
      </c>
      <c r="F39" s="132">
        <f t="shared" si="19"/>
        <v>0.46</v>
      </c>
      <c r="G39" s="132">
        <f t="shared" ref="G39:L39" si="32">PRODUCT($S32:S32)-SUM(H39:$M39)</f>
        <v>0.3942</v>
      </c>
      <c r="H39" s="132">
        <f t="shared" si="32"/>
        <v>0.126117</v>
      </c>
      <c r="I39" s="132">
        <f t="shared" si="32"/>
        <v>0.0183543975</v>
      </c>
      <c r="J39" s="132">
        <f t="shared" si="32"/>
        <v>0.001283762166</v>
      </c>
      <c r="K39" s="132">
        <f t="shared" si="32"/>
        <v>0.00004408365373</v>
      </c>
      <c r="L39" s="132">
        <f t="shared" si="32"/>
        <v>0.0000007566806426</v>
      </c>
      <c r="M39" s="134" t="str">
        <f t="shared" si="21"/>
        <v>0%</v>
      </c>
      <c r="N39" s="136">
        <f t="shared" si="22"/>
        <v>1.7068572</v>
      </c>
      <c r="O39" s="137">
        <f t="shared" si="23"/>
        <v>60.7182403</v>
      </c>
      <c r="P39" s="139">
        <f t="shared" si="24"/>
        <v>2.023941343</v>
      </c>
      <c r="Q39" s="142">
        <f t="shared" si="27"/>
        <v>0.1023941343</v>
      </c>
      <c r="R39" s="142">
        <f t="shared" si="30"/>
        <v>0.01718704655</v>
      </c>
      <c r="S39" s="10"/>
      <c r="T39" s="10"/>
      <c r="U39" s="10"/>
      <c r="V39" s="10"/>
      <c r="W39" s="10"/>
      <c r="X39" s="10"/>
      <c r="Y39" s="10"/>
      <c r="Z39" s="10"/>
      <c r="AA39" s="75">
        <v>15.0</v>
      </c>
      <c r="AB39" s="109">
        <v>555.0</v>
      </c>
      <c r="AC39" s="78" t="str">
        <f>simulationData!W90&amp;"%"</f>
        <v>91.47%</v>
      </c>
      <c r="AD39" s="78" t="str">
        <f>simulationData!X90&amp;"%"</f>
        <v>98%</v>
      </c>
      <c r="AE39" s="21" t="str">
        <f>'skill data'!E119</f>
        <v>2.04e29</v>
      </c>
      <c r="AF39" s="75">
        <f t="shared" si="9"/>
        <v>0</v>
      </c>
      <c r="AG39" s="114">
        <f>'skill data'!F102</f>
        <v>1</v>
      </c>
      <c r="AH39" s="80" t="str">
        <f>ROUND((('skill data'!C102/'skill data'!C101)^(1/(AB39-AB38))-1)*100,2)&amp;"%"</f>
        <v>0%</v>
      </c>
      <c r="AI39" s="2"/>
    </row>
    <row r="40" ht="16.5" customHeight="1">
      <c r="A40" s="10"/>
      <c r="B40" s="75">
        <v>5.0</v>
      </c>
      <c r="C40" s="77">
        <v>13.0</v>
      </c>
      <c r="D40" s="130">
        <f>D$33+simulationData!T55*0.01</f>
        <v>0.75</v>
      </c>
      <c r="E40" s="78">
        <f>120-simulationData!U55</f>
        <v>95.5</v>
      </c>
      <c r="F40" s="132">
        <f t="shared" si="19"/>
        <v>0.25</v>
      </c>
      <c r="G40" s="132">
        <f t="shared" ref="G40:L40" si="33">PRODUCT($S33:S33)-SUM(H40:$M40)</f>
        <v>0.46875</v>
      </c>
      <c r="H40" s="132">
        <f t="shared" si="33"/>
        <v>0.228515625</v>
      </c>
      <c r="I40" s="132">
        <f t="shared" si="33"/>
        <v>0.04779052734</v>
      </c>
      <c r="J40" s="132">
        <f t="shared" si="33"/>
        <v>0.004712104797</v>
      </c>
      <c r="K40" s="132">
        <f t="shared" si="33"/>
        <v>0.0002263113856</v>
      </c>
      <c r="L40" s="132">
        <f t="shared" si="33"/>
        <v>0.000005431473255</v>
      </c>
      <c r="M40" s="134" t="str">
        <f t="shared" si="21"/>
        <v>0%</v>
      </c>
      <c r="N40" s="136">
        <f t="shared" si="22"/>
        <v>2.089165397</v>
      </c>
      <c r="O40" s="137">
        <f t="shared" si="23"/>
        <v>78.75387884</v>
      </c>
      <c r="P40" s="139">
        <f t="shared" si="24"/>
        <v>2.625129295</v>
      </c>
      <c r="Q40" s="142">
        <f t="shared" si="27"/>
        <v>0.1250099457</v>
      </c>
      <c r="R40" s="142">
        <f t="shared" si="30"/>
        <v>0.02261581141</v>
      </c>
      <c r="S40" s="10"/>
      <c r="T40" s="10"/>
      <c r="U40" s="10"/>
      <c r="V40" s="10"/>
      <c r="W40" s="10"/>
      <c r="X40" s="10"/>
      <c r="Y40" s="10"/>
      <c r="Z40" s="10"/>
      <c r="AA40" s="2"/>
      <c r="AB40" s="2"/>
      <c r="AC40" s="2"/>
      <c r="AD40" s="2"/>
      <c r="AE40" s="2"/>
      <c r="AF40" s="2"/>
      <c r="AG40" s="2"/>
      <c r="AH40" s="2"/>
      <c r="AI40" s="2"/>
    </row>
    <row r="41" ht="16.5" customHeight="1">
      <c r="A41" s="10"/>
      <c r="B41" s="75">
        <v>6.0</v>
      </c>
      <c r="C41" s="77">
        <v>17.0</v>
      </c>
      <c r="D41" s="130">
        <f>D$33+simulationData!T56*0.01</f>
        <v>1.03</v>
      </c>
      <c r="E41" s="78">
        <f>120-simulationData!U56</f>
        <v>89.4</v>
      </c>
      <c r="F41" s="132">
        <f t="shared" si="19"/>
        <v>0</v>
      </c>
      <c r="G41" s="132">
        <f t="shared" ref="G41:L41" si="34">PRODUCT($S34:S34)-SUM(H41:$M41)</f>
        <v>0.485</v>
      </c>
      <c r="H41" s="132">
        <f t="shared" si="34"/>
        <v>0.3823875</v>
      </c>
      <c r="I41" s="132">
        <f t="shared" si="34"/>
        <v>0.1155386406</v>
      </c>
      <c r="J41" s="132">
        <f t="shared" si="34"/>
        <v>0.01597472968</v>
      </c>
      <c r="K41" s="132">
        <f t="shared" si="34"/>
        <v>0.00106375146</v>
      </c>
      <c r="L41" s="132">
        <f t="shared" si="34"/>
        <v>0.00003537823713</v>
      </c>
      <c r="M41" s="134" t="str">
        <f t="shared" si="21"/>
        <v>0%</v>
      </c>
      <c r="N41" s="136">
        <f t="shared" si="22"/>
        <v>2.665820867</v>
      </c>
      <c r="O41" s="137">
        <f t="shared" si="23"/>
        <v>107.3484913</v>
      </c>
      <c r="P41" s="139">
        <f t="shared" si="24"/>
        <v>3.578283043</v>
      </c>
      <c r="Q41" s="142">
        <f t="shared" si="27"/>
        <v>0.1516637084</v>
      </c>
      <c r="R41" s="142">
        <f t="shared" si="30"/>
        <v>0.02665376269</v>
      </c>
      <c r="S41" s="10"/>
      <c r="T41" s="10"/>
      <c r="U41" s="10"/>
      <c r="V41" s="10"/>
      <c r="W41" s="10"/>
      <c r="X41" s="10"/>
      <c r="Y41" s="10"/>
      <c r="Z41" s="10"/>
      <c r="AA41" s="2"/>
      <c r="AB41" s="2"/>
      <c r="AC41" s="2"/>
      <c r="AD41" s="2"/>
      <c r="AE41" s="2"/>
      <c r="AF41" s="2"/>
      <c r="AG41" s="2"/>
      <c r="AH41" s="2"/>
      <c r="AI41" s="2"/>
    </row>
    <row r="42" ht="16.5" customHeight="1">
      <c r="A42" s="10"/>
      <c r="B42" s="75">
        <v>7.0</v>
      </c>
      <c r="C42" s="77">
        <v>22.0</v>
      </c>
      <c r="D42" s="130">
        <f>D$33+simulationData!T57*0.01</f>
        <v>1.38</v>
      </c>
      <c r="E42" s="78">
        <f>120-simulationData!U57</f>
        <v>82.8</v>
      </c>
      <c r="F42" s="132">
        <f t="shared" si="19"/>
        <v>0</v>
      </c>
      <c r="G42" s="132">
        <f t="shared" ref="G42:L42" si="35">PRODUCT($S35:S35)-SUM(H42:$M42)</f>
        <v>0.31</v>
      </c>
      <c r="H42" s="132">
        <f t="shared" si="35"/>
        <v>0.45195</v>
      </c>
      <c r="I42" s="132">
        <f t="shared" si="35"/>
        <v>0.196986375</v>
      </c>
      <c r="J42" s="132">
        <f t="shared" si="35"/>
        <v>0.03752188734</v>
      </c>
      <c r="K42" s="132">
        <f t="shared" si="35"/>
        <v>0.00338900022</v>
      </c>
      <c r="L42" s="132">
        <f t="shared" si="35"/>
        <v>0.0001527374364</v>
      </c>
      <c r="M42" s="134" t="str">
        <f t="shared" si="21"/>
        <v>0%</v>
      </c>
      <c r="N42" s="136">
        <f t="shared" si="22"/>
        <v>2.9728081</v>
      </c>
      <c r="O42" s="137">
        <f t="shared" si="23"/>
        <v>129.2525261</v>
      </c>
      <c r="P42" s="139">
        <f t="shared" si="24"/>
        <v>4.308417536</v>
      </c>
      <c r="Q42" s="142">
        <f t="shared" si="27"/>
        <v>0.1503826153</v>
      </c>
      <c r="R42" s="142">
        <f t="shared" si="30"/>
        <v>-0.001281093144</v>
      </c>
      <c r="S42" s="10"/>
      <c r="T42" s="10"/>
      <c r="U42" s="10"/>
      <c r="V42" s="10"/>
      <c r="W42" s="10"/>
      <c r="X42" s="10"/>
      <c r="Y42" s="10"/>
      <c r="Z42" s="10"/>
      <c r="AA42" s="2"/>
      <c r="AB42" s="2"/>
      <c r="AC42" s="2"/>
      <c r="AD42" s="2"/>
      <c r="AE42" s="2"/>
      <c r="AF42" s="2"/>
      <c r="AG42" s="2"/>
      <c r="AH42" s="2"/>
      <c r="AI42" s="2"/>
    </row>
    <row r="43" ht="16.5" customHeight="1">
      <c r="A43" s="10"/>
      <c r="B43" s="75">
        <v>8.0</v>
      </c>
      <c r="C43" s="77">
        <v>27.0</v>
      </c>
      <c r="D43" s="130">
        <f>D$33+simulationData!T58*0.01</f>
        <v>1.76</v>
      </c>
      <c r="E43" s="78">
        <f>120-simulationData!U58</f>
        <v>75.8</v>
      </c>
      <c r="F43" s="132">
        <f t="shared" si="19"/>
        <v>0</v>
      </c>
      <c r="G43" s="132">
        <f t="shared" ref="G43:L43" si="36">PRODUCT($S36:S36)-SUM(H43:$M43)</f>
        <v>0.12</v>
      </c>
      <c r="H43" s="132">
        <f t="shared" si="36"/>
        <v>0.4928</v>
      </c>
      <c r="I43" s="132">
        <f t="shared" si="36"/>
        <v>0.302016</v>
      </c>
      <c r="J43" s="132">
        <f t="shared" si="36"/>
        <v>0.07581376</v>
      </c>
      <c r="K43" s="132">
        <f t="shared" si="36"/>
        <v>0.0088548768</v>
      </c>
      <c r="L43" s="132">
        <f t="shared" si="36"/>
        <v>0.0005153632</v>
      </c>
      <c r="M43" s="134" t="str">
        <f t="shared" si="21"/>
        <v>0%</v>
      </c>
      <c r="N43" s="136">
        <f t="shared" si="22"/>
        <v>3.362269603</v>
      </c>
      <c r="O43" s="137">
        <f t="shared" si="23"/>
        <v>159.6856276</v>
      </c>
      <c r="P43" s="139">
        <f t="shared" si="24"/>
        <v>5.322854253</v>
      </c>
      <c r="Q43" s="142">
        <f t="shared" si="27"/>
        <v>0.1601057131</v>
      </c>
      <c r="R43" s="142">
        <f t="shared" si="30"/>
        <v>0.009723097788</v>
      </c>
      <c r="S43" s="10"/>
      <c r="T43" s="10"/>
      <c r="U43" s="10"/>
      <c r="V43" s="10"/>
      <c r="W43" s="10"/>
      <c r="X43" s="10"/>
      <c r="Y43" s="10"/>
      <c r="Z43" s="10"/>
      <c r="AG43" s="2"/>
      <c r="AH43" s="2"/>
      <c r="AI43" s="2"/>
    </row>
    <row r="44" ht="16.5" customHeight="1">
      <c r="A44" s="10"/>
      <c r="B44" s="75">
        <v>9.0</v>
      </c>
      <c r="C44" s="77">
        <v>33.0</v>
      </c>
      <c r="D44" s="130">
        <f>D$33+simulationData!T59*0.01</f>
        <v>2.21</v>
      </c>
      <c r="E44" s="78">
        <f>120-simulationData!U59</f>
        <v>68.2</v>
      </c>
      <c r="F44" s="132">
        <f t="shared" si="19"/>
        <v>0</v>
      </c>
      <c r="G44" s="132">
        <f t="shared" ref="G44:L44" si="37">PRODUCT($S37:S37)-SUM(H44:$M44)</f>
        <v>0</v>
      </c>
      <c r="H44" s="132">
        <f t="shared" si="37"/>
        <v>0.4475</v>
      </c>
      <c r="I44" s="132">
        <f t="shared" si="37"/>
        <v>0.399871875</v>
      </c>
      <c r="J44" s="132">
        <f t="shared" si="37"/>
        <v>0.1315463652</v>
      </c>
      <c r="K44" s="132">
        <f t="shared" si="37"/>
        <v>0.01962580073</v>
      </c>
      <c r="L44" s="132">
        <f t="shared" si="37"/>
        <v>0.001455959034</v>
      </c>
      <c r="M44" s="134" t="str">
        <f t="shared" si="21"/>
        <v>0.01%</v>
      </c>
      <c r="N44" s="136">
        <f t="shared" si="22"/>
        <v>3.728465844</v>
      </c>
      <c r="O44" s="137">
        <f t="shared" si="23"/>
        <v>196.8105137</v>
      </c>
      <c r="P44" s="139">
        <f t="shared" si="24"/>
        <v>6.560350458</v>
      </c>
      <c r="Q44" s="142">
        <f t="shared" si="27"/>
        <v>0.1684954684</v>
      </c>
      <c r="R44" s="142">
        <f t="shared" si="30"/>
        <v>0.008389755356</v>
      </c>
      <c r="S44" s="10"/>
      <c r="T44" s="10"/>
      <c r="U44" s="10"/>
      <c r="V44" s="10"/>
      <c r="W44" s="10"/>
      <c r="X44" s="10"/>
      <c r="Y44" s="10"/>
      <c r="Z44" s="10"/>
      <c r="AG44" s="2"/>
      <c r="AH44" s="2"/>
      <c r="AI44" s="2"/>
    </row>
    <row r="45" ht="16.5" customHeight="1">
      <c r="A45" s="10"/>
      <c r="B45" s="75">
        <v>10.0</v>
      </c>
      <c r="C45" s="77">
        <v>40.0</v>
      </c>
      <c r="D45" s="130">
        <f>D$33+simulationData!T60*0.01</f>
        <v>2.75</v>
      </c>
      <c r="E45" s="78">
        <f>120-simulationData!U60</f>
        <v>60</v>
      </c>
      <c r="F45" s="132">
        <f t="shared" si="19"/>
        <v>0</v>
      </c>
      <c r="G45" s="132">
        <f t="shared" ref="G45:L45" si="38">PRODUCT($S38:S38)-SUM(H45:$M45)</f>
        <v>0</v>
      </c>
      <c r="H45" s="132">
        <f t="shared" si="38"/>
        <v>0.3125</v>
      </c>
      <c r="I45" s="132">
        <f t="shared" si="38"/>
        <v>0.451171875</v>
      </c>
      <c r="J45" s="132">
        <f t="shared" si="38"/>
        <v>0.1957092285</v>
      </c>
      <c r="K45" s="132">
        <f t="shared" si="38"/>
        <v>0.03712821007</v>
      </c>
      <c r="L45" s="132">
        <f t="shared" si="38"/>
        <v>0.003490686417</v>
      </c>
      <c r="M45" s="134" t="str">
        <f t="shared" si="21"/>
        <v>0.01%</v>
      </c>
      <c r="N45" s="136">
        <f t="shared" si="22"/>
        <v>3.968737708</v>
      </c>
      <c r="O45" s="137">
        <f t="shared" si="23"/>
        <v>238.1242625</v>
      </c>
      <c r="P45" s="139">
        <f t="shared" si="24"/>
        <v>7.937475416</v>
      </c>
      <c r="Q45" s="142">
        <f t="shared" si="27"/>
        <v>0.1734368854</v>
      </c>
      <c r="R45" s="142">
        <f t="shared" si="30"/>
        <v>0.004941416962</v>
      </c>
      <c r="S45" s="10"/>
      <c r="T45" s="10"/>
      <c r="U45" s="10"/>
      <c r="V45" s="10"/>
      <c r="W45" s="10"/>
      <c r="X45" s="10"/>
      <c r="Y45" s="10"/>
      <c r="Z45" s="10"/>
      <c r="AG45" s="2"/>
      <c r="AH45" s="2"/>
      <c r="AI45" s="2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10"/>
      <c r="S46" s="10"/>
      <c r="T46" s="10"/>
      <c r="U46" s="10"/>
      <c r="V46" s="10"/>
      <c r="W46" s="10"/>
      <c r="X46" s="10"/>
      <c r="Y46" s="10"/>
      <c r="Z46" s="10"/>
      <c r="AG46" s="2"/>
      <c r="AH46" s="2"/>
      <c r="AI46" s="2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10"/>
      <c r="S47" s="10"/>
      <c r="T47" s="10"/>
      <c r="U47" s="10"/>
      <c r="V47" s="10"/>
      <c r="W47" s="10"/>
      <c r="X47" s="10"/>
      <c r="Y47" s="10"/>
      <c r="Z47" s="10"/>
      <c r="AG47" s="2"/>
      <c r="AH47" s="2"/>
      <c r="AI47" s="2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2"/>
      <c r="N48" s="2"/>
      <c r="O48" s="2"/>
      <c r="P48" s="2"/>
      <c r="Q48" s="2"/>
      <c r="R48" s="10"/>
      <c r="S48" s="10"/>
      <c r="T48" s="10"/>
      <c r="U48" s="10"/>
      <c r="V48" s="10"/>
      <c r="W48" s="10"/>
      <c r="X48" s="10"/>
      <c r="Y48" s="10"/>
      <c r="Z48" s="10"/>
      <c r="AG48" s="2"/>
      <c r="AH48" s="2"/>
      <c r="AI48" s="2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2"/>
      <c r="N49" s="2"/>
      <c r="O49" s="2"/>
      <c r="P49" s="2"/>
      <c r="Q49" s="2"/>
      <c r="R49" s="10"/>
      <c r="S49" s="10"/>
      <c r="T49" s="10"/>
      <c r="U49" s="10"/>
      <c r="V49" s="10"/>
      <c r="W49" s="10"/>
      <c r="X49" s="10"/>
      <c r="Y49" s="10"/>
      <c r="Z49" s="10"/>
      <c r="AG49" s="2"/>
      <c r="AH49" s="2"/>
      <c r="AI49" s="2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2"/>
      <c r="N50" s="2"/>
      <c r="O50" s="2"/>
      <c r="P50" s="2"/>
      <c r="Q50" s="2"/>
      <c r="R50" s="10"/>
      <c r="S50" s="10"/>
      <c r="T50" s="10"/>
      <c r="U50" s="10"/>
      <c r="V50" s="10"/>
      <c r="W50" s="10"/>
      <c r="X50" s="10"/>
      <c r="Y50" s="10"/>
      <c r="Z50" s="10"/>
      <c r="AG50" s="2"/>
      <c r="AH50" s="2"/>
      <c r="AI50" s="2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2"/>
      <c r="P51" s="2"/>
      <c r="Q51" s="2"/>
      <c r="R51" s="10"/>
      <c r="S51" s="10"/>
      <c r="T51" s="10"/>
      <c r="U51" s="10"/>
      <c r="V51" s="10"/>
      <c r="W51" s="10"/>
      <c r="X51" s="10"/>
      <c r="Y51" s="10"/>
      <c r="Z51" s="10"/>
      <c r="AG51" s="10"/>
      <c r="AH51" s="2"/>
      <c r="AI51" s="2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"/>
      <c r="N52" s="2"/>
      <c r="O52" s="2"/>
      <c r="P52" s="2"/>
      <c r="Q52" s="2"/>
      <c r="R52" s="10"/>
      <c r="S52" s="10"/>
      <c r="T52" s="10"/>
      <c r="U52" s="10"/>
      <c r="V52" s="10"/>
      <c r="W52" s="10"/>
      <c r="X52" s="10"/>
      <c r="Y52" s="10"/>
      <c r="Z52" s="10"/>
      <c r="AG52" s="10"/>
      <c r="AH52" s="2"/>
      <c r="AI52" s="2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2"/>
      <c r="N53" s="2"/>
      <c r="O53" s="2"/>
      <c r="P53" s="2"/>
      <c r="Q53" s="2"/>
      <c r="R53" s="10"/>
      <c r="S53" s="10"/>
      <c r="T53" s="10"/>
      <c r="U53" s="10"/>
      <c r="V53" s="10"/>
      <c r="W53" s="10"/>
      <c r="X53" s="10"/>
      <c r="Y53" s="10"/>
      <c r="Z53" s="10"/>
      <c r="AG53" s="10"/>
      <c r="AH53" s="2"/>
      <c r="AI53" s="2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2"/>
      <c r="N54" s="2"/>
      <c r="O54" s="2"/>
      <c r="P54" s="2"/>
      <c r="Q54" s="2"/>
      <c r="R54" s="10"/>
      <c r="S54" s="10"/>
      <c r="T54" s="10"/>
      <c r="U54" s="10"/>
      <c r="V54" s="10"/>
      <c r="W54" s="10"/>
      <c r="X54" s="10"/>
      <c r="Y54" s="10"/>
      <c r="Z54" s="10"/>
      <c r="AG54" s="10"/>
      <c r="AH54" s="2"/>
      <c r="AI54" s="2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G55" s="10"/>
      <c r="AH55" s="2"/>
      <c r="AI55" s="2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2"/>
      <c r="AI56" s="2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2"/>
      <c r="AI57" s="2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2"/>
      <c r="AI58" s="2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2"/>
      <c r="AI59" s="2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2"/>
      <c r="AI60" s="2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2"/>
      <c r="AI61" s="2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2"/>
      <c r="AI62" s="2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2"/>
      <c r="AI63" s="2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2"/>
      <c r="AI64" s="2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2"/>
      <c r="AI65" s="2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2"/>
      <c r="AI66" s="2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2"/>
      <c r="AI67" s="2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2"/>
      <c r="AI68" s="2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2"/>
      <c r="AI69" s="2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2"/>
      <c r="AI70" s="2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2"/>
      <c r="AI71" s="2"/>
    </row>
    <row r="72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2"/>
      <c r="AI72" s="2"/>
    </row>
    <row r="73" ht="16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2"/>
      <c r="AI73" s="2"/>
    </row>
    <row r="74" ht="16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2"/>
      <c r="AI74" s="2"/>
    </row>
    <row r="75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2"/>
      <c r="AI75" s="2"/>
    </row>
    <row r="76" ht="16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2"/>
      <c r="AI76" s="2"/>
    </row>
    <row r="77" ht="16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2"/>
      <c r="AI77" s="2"/>
    </row>
    <row r="78" ht="16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2"/>
      <c r="AI78" s="2"/>
    </row>
    <row r="79" ht="16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2"/>
      <c r="AI79" s="2"/>
    </row>
    <row r="80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2"/>
      <c r="AI80" s="2"/>
    </row>
    <row r="81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2"/>
      <c r="AI81" s="2"/>
    </row>
    <row r="82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2"/>
      <c r="AI82" s="2"/>
    </row>
    <row r="83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2"/>
      <c r="AI83" s="2"/>
    </row>
    <row r="84" ht="16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2"/>
      <c r="AI84" s="2"/>
    </row>
    <row r="85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2"/>
      <c r="AI85" s="2"/>
    </row>
    <row r="86" ht="16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2"/>
      <c r="AI86" s="2"/>
    </row>
    <row r="87" ht="16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2"/>
      <c r="AI87" s="2"/>
    </row>
    <row r="88" ht="16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2"/>
      <c r="AI88" s="2"/>
    </row>
    <row r="89" ht="16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2"/>
      <c r="AI89" s="2"/>
    </row>
    <row r="90" ht="16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2"/>
      <c r="AI90" s="2"/>
    </row>
    <row r="91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2"/>
      <c r="AI91" s="2"/>
    </row>
    <row r="92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2"/>
      <c r="AI92" s="2"/>
    </row>
    <row r="93" ht="16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2"/>
      <c r="AI93" s="2"/>
    </row>
    <row r="94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2"/>
      <c r="AI94" s="2"/>
    </row>
    <row r="95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2"/>
      <c r="AI95" s="2"/>
    </row>
    <row r="96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2"/>
      <c r="AI96" s="2"/>
    </row>
    <row r="97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2"/>
      <c r="AI97" s="2"/>
    </row>
    <row r="98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2"/>
      <c r="AI98" s="2"/>
    </row>
    <row r="99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2"/>
      <c r="AI99" s="2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2"/>
      <c r="AI100" s="2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2"/>
      <c r="AI101" s="2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2"/>
      <c r="AI102" s="2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2"/>
      <c r="AI103" s="2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2"/>
      <c r="AI104" s="2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2"/>
      <c r="AI105" s="2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2"/>
      <c r="AI106" s="2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2"/>
      <c r="AI107" s="2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2"/>
      <c r="AI108" s="2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2"/>
      <c r="AI109" s="2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2"/>
      <c r="AI110" s="2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2"/>
      <c r="AI111" s="2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2"/>
      <c r="AI112" s="2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2"/>
      <c r="AI113" s="2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2"/>
      <c r="AI114" s="2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2"/>
      <c r="AI115" s="2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2"/>
      <c r="AI116" s="2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2"/>
      <c r="AI117" s="2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2"/>
      <c r="AI118" s="2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2"/>
      <c r="AI119" s="2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2"/>
      <c r="AI120" s="2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2"/>
      <c r="AI121" s="2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2"/>
      <c r="AI122" s="2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2"/>
      <c r="AI123" s="2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2"/>
      <c r="AI124" s="2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2"/>
      <c r="AI125" s="2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2"/>
      <c r="AI126" s="2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2"/>
      <c r="AI127" s="2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2"/>
      <c r="AI128" s="2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2"/>
      <c r="AI129" s="2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2"/>
      <c r="AI130" s="2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2"/>
      <c r="AI131" s="2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2"/>
      <c r="AI132" s="2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2"/>
      <c r="AI133" s="2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2"/>
      <c r="AI134" s="2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2"/>
      <c r="AI135" s="2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2"/>
      <c r="AI136" s="2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2"/>
      <c r="AI137" s="2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2"/>
      <c r="AI138" s="2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2"/>
      <c r="AI139" s="2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2"/>
      <c r="AI140" s="2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2"/>
      <c r="AI141" s="2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2"/>
      <c r="AI142" s="2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2"/>
      <c r="AI143" s="2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2"/>
      <c r="AI144" s="2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2"/>
      <c r="AI145" s="2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2"/>
      <c r="AI146" s="2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2"/>
      <c r="AI147" s="2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2"/>
      <c r="AI148" s="2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2"/>
      <c r="AI149" s="2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2"/>
      <c r="AI150" s="2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2"/>
      <c r="AI151" s="2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2"/>
      <c r="AI152" s="2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2"/>
      <c r="AI153" s="2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2"/>
      <c r="AI154" s="2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2"/>
      <c r="AI155" s="2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2"/>
      <c r="AI156" s="2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2"/>
      <c r="AI157" s="2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2"/>
      <c r="AI158" s="2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2"/>
      <c r="AI159" s="2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2"/>
      <c r="AI160" s="2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2"/>
      <c r="AI161" s="2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2"/>
      <c r="AI162" s="2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2"/>
      <c r="AI163" s="2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2"/>
      <c r="AI164" s="2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2"/>
      <c r="AI165" s="2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2"/>
      <c r="AI166" s="2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2"/>
      <c r="AI167" s="2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2"/>
      <c r="AI168" s="2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2"/>
      <c r="AI169" s="2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2"/>
      <c r="AI170" s="2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2"/>
      <c r="AI171" s="2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2"/>
      <c r="AI172" s="2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2"/>
      <c r="AI173" s="2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2"/>
      <c r="AI174" s="2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2"/>
      <c r="AI175" s="2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2"/>
      <c r="AI176" s="2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2"/>
      <c r="AI177" s="2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2"/>
      <c r="AI178" s="2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2"/>
      <c r="AI179" s="2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2"/>
      <c r="AI180" s="2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2"/>
      <c r="AI181" s="2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2"/>
      <c r="AI182" s="2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2"/>
      <c r="AI183" s="2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2"/>
      <c r="AI184" s="2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2"/>
      <c r="AI185" s="2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2"/>
      <c r="AI186" s="2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2"/>
      <c r="AI187" s="2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2"/>
      <c r="AI188" s="2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2"/>
      <c r="AI189" s="2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2"/>
      <c r="AI190" s="2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2"/>
      <c r="AI191" s="2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2"/>
      <c r="AI192" s="2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2"/>
      <c r="AI193" s="2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2"/>
      <c r="AI194" s="2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2"/>
      <c r="AI195" s="2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2"/>
      <c r="AI196" s="2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2"/>
      <c r="AI197" s="2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2"/>
      <c r="AI198" s="2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2"/>
      <c r="AI199" s="2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2"/>
      <c r="AI200" s="2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2"/>
      <c r="AI201" s="2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2"/>
      <c r="AI202" s="2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2"/>
      <c r="AI203" s="2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2"/>
      <c r="AI204" s="2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2"/>
      <c r="AI205" s="2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2"/>
      <c r="AI206" s="2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2"/>
      <c r="AI207" s="2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2"/>
      <c r="AI208" s="2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2"/>
      <c r="AI209" s="2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2"/>
      <c r="AI210" s="2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2"/>
      <c r="AI211" s="2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2"/>
      <c r="AI212" s="2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2"/>
      <c r="AI213" s="2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2"/>
      <c r="AI214" s="2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2"/>
      <c r="AI215" s="2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2"/>
      <c r="AI216" s="2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2"/>
      <c r="AI217" s="2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2"/>
      <c r="AI218" s="2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2"/>
      <c r="AI219" s="2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2"/>
      <c r="AI220" s="2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2"/>
      <c r="AI221" s="2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2"/>
      <c r="AI222" s="2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2"/>
      <c r="AI223" s="2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2"/>
      <c r="AI224" s="2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2"/>
      <c r="AI225" s="2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2"/>
      <c r="AI226" s="2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2"/>
      <c r="AI227" s="2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2"/>
      <c r="AI228" s="2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2"/>
      <c r="AI229" s="2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2"/>
      <c r="AI230" s="2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2"/>
      <c r="AI231" s="2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2"/>
      <c r="AI232" s="2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2"/>
      <c r="AI233" s="2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2"/>
      <c r="AI234" s="2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2"/>
      <c r="AI235" s="2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2"/>
      <c r="AI236" s="2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2"/>
      <c r="AI237" s="2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2"/>
      <c r="AI238" s="2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2"/>
      <c r="AI239" s="2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2"/>
      <c r="AI240" s="2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2"/>
      <c r="AI241" s="2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2"/>
      <c r="AI242" s="2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2"/>
      <c r="AI243" s="2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2"/>
      <c r="AI244" s="2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2"/>
      <c r="AI245" s="2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2"/>
      <c r="AI246" s="2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2"/>
      <c r="AI247" s="2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2"/>
      <c r="AI248" s="2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2"/>
      <c r="AI249" s="2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2"/>
      <c r="AI250" s="2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2"/>
      <c r="AI251" s="2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2"/>
      <c r="AI252" s="2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2"/>
      <c r="AI253" s="2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2"/>
      <c r="AI254" s="2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2"/>
      <c r="AI255" s="2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2"/>
      <c r="AI256" s="2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2"/>
      <c r="AI257" s="2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2"/>
      <c r="AI258" s="2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2"/>
      <c r="AI259" s="2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2"/>
      <c r="AI260" s="2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2"/>
      <c r="AI261" s="2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2"/>
      <c r="AI262" s="2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2"/>
      <c r="AI263" s="2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2"/>
      <c r="AI264" s="2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2"/>
      <c r="AI265" s="2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2"/>
      <c r="AI266" s="2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2"/>
      <c r="AI267" s="2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2"/>
      <c r="AI268" s="2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2"/>
      <c r="AI269" s="2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2"/>
      <c r="AI270" s="2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2"/>
      <c r="AI271" s="2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2"/>
      <c r="AI272" s="2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2"/>
      <c r="AI273" s="2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2"/>
      <c r="AI274" s="2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2"/>
      <c r="AI275" s="2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2"/>
      <c r="AI276" s="2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2"/>
      <c r="AI277" s="2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2"/>
      <c r="AI278" s="2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2"/>
      <c r="AI279" s="2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2"/>
      <c r="AI280" s="2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2"/>
      <c r="AI281" s="2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2"/>
      <c r="AI282" s="2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2"/>
      <c r="AI283" s="2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2"/>
      <c r="AI284" s="2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2"/>
      <c r="AI285" s="2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2"/>
      <c r="AI286" s="2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2"/>
      <c r="AI287" s="2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2"/>
      <c r="AI288" s="2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2"/>
      <c r="AI289" s="2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2"/>
      <c r="AI290" s="2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2"/>
      <c r="AI291" s="2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2"/>
      <c r="AI292" s="2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2"/>
      <c r="AI293" s="2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2"/>
      <c r="AI294" s="2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2"/>
      <c r="AI295" s="2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2"/>
      <c r="AI296" s="2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2"/>
      <c r="AI297" s="2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2"/>
      <c r="AI298" s="2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2"/>
      <c r="AI299" s="2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2"/>
      <c r="AI300" s="2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2"/>
      <c r="AI301" s="2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2"/>
      <c r="AI302" s="2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2"/>
      <c r="AI303" s="2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2"/>
      <c r="AI304" s="2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2"/>
      <c r="AI305" s="2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2"/>
      <c r="AI306" s="2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2"/>
      <c r="AI307" s="2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2"/>
      <c r="AI308" s="2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2"/>
      <c r="AI309" s="2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2"/>
      <c r="AI310" s="2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2"/>
      <c r="AI311" s="2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2"/>
      <c r="AI312" s="2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2"/>
      <c r="AI313" s="2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2"/>
      <c r="AI314" s="2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2"/>
      <c r="AI315" s="2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2"/>
      <c r="AI316" s="2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2"/>
      <c r="AI317" s="2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2"/>
      <c r="AI318" s="2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2"/>
      <c r="AI319" s="2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2"/>
      <c r="AI320" s="2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2"/>
      <c r="AI321" s="2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2"/>
      <c r="AI322" s="2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2"/>
      <c r="AI323" s="2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2"/>
      <c r="AI324" s="2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2"/>
      <c r="AI325" s="2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2"/>
      <c r="AI326" s="2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2"/>
      <c r="AI327" s="2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2"/>
      <c r="AI328" s="2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2"/>
      <c r="AI329" s="2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2"/>
      <c r="AI330" s="2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2"/>
      <c r="AI331" s="2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2"/>
      <c r="AI332" s="2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2"/>
      <c r="AI333" s="2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2"/>
      <c r="AI334" s="2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2"/>
      <c r="AI335" s="2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2"/>
      <c r="AI336" s="2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2"/>
      <c r="AI337" s="2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2"/>
      <c r="AI338" s="2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2"/>
      <c r="AI339" s="2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2"/>
      <c r="AI340" s="2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2"/>
      <c r="AI341" s="2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2"/>
      <c r="AI342" s="2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2"/>
      <c r="AI343" s="2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2"/>
      <c r="AI344" s="2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2"/>
      <c r="AI345" s="2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2"/>
      <c r="AI346" s="2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2"/>
      <c r="AI347" s="2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2"/>
      <c r="AI348" s="2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2"/>
      <c r="AI349" s="2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2"/>
      <c r="AI350" s="2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2"/>
      <c r="AI351" s="2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2"/>
      <c r="AI352" s="2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2"/>
      <c r="AI353" s="2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2"/>
      <c r="AI354" s="2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2"/>
      <c r="AI355" s="2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2"/>
      <c r="AI356" s="2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2"/>
      <c r="AI357" s="2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2"/>
      <c r="AI358" s="2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2"/>
      <c r="AI359" s="2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2"/>
      <c r="AI360" s="2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2"/>
      <c r="AI361" s="2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2"/>
      <c r="AI362" s="2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2"/>
      <c r="AI363" s="2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2"/>
      <c r="AI364" s="2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2"/>
      <c r="AI365" s="2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2"/>
      <c r="AI366" s="2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2"/>
      <c r="AI367" s="2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2"/>
      <c r="AI368" s="2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2"/>
      <c r="AI369" s="2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2"/>
      <c r="AI370" s="2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2"/>
      <c r="AI371" s="2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2"/>
      <c r="AI372" s="2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2"/>
      <c r="AI373" s="2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2"/>
      <c r="AI374" s="2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2"/>
      <c r="AI375" s="2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2"/>
      <c r="AI376" s="2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2"/>
      <c r="AI377" s="2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2"/>
      <c r="AI378" s="2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2"/>
      <c r="AI379" s="2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2"/>
      <c r="AI380" s="2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2"/>
      <c r="AI381" s="2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2"/>
      <c r="AI382" s="2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2"/>
      <c r="AI383" s="2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2"/>
      <c r="AI384" s="2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2"/>
      <c r="AI385" s="2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2"/>
      <c r="AI386" s="2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2"/>
      <c r="AI387" s="2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2"/>
      <c r="AI388" s="2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2"/>
      <c r="AI389" s="2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2"/>
      <c r="AI390" s="2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2"/>
      <c r="AI391" s="2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2"/>
      <c r="AI392" s="2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2"/>
      <c r="AI393" s="2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2"/>
      <c r="AI394" s="2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2"/>
      <c r="AI395" s="2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2"/>
      <c r="AI396" s="2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2"/>
      <c r="AI397" s="2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2"/>
      <c r="AI398" s="2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2"/>
      <c r="AI399" s="2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2"/>
      <c r="AI400" s="2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2"/>
      <c r="AI401" s="2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2"/>
      <c r="AI402" s="2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2"/>
      <c r="AI403" s="2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2"/>
      <c r="AI404" s="2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2"/>
      <c r="AI405" s="2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2"/>
      <c r="AI406" s="2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2"/>
      <c r="AI407" s="2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2"/>
      <c r="AI408" s="2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2"/>
      <c r="AI409" s="2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2"/>
      <c r="AI410" s="2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2"/>
      <c r="AI411" s="2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2"/>
      <c r="AI412" s="2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2"/>
      <c r="AI413" s="2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2"/>
      <c r="AI414" s="2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2"/>
      <c r="AI415" s="2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2"/>
      <c r="AI416" s="2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2"/>
      <c r="AI417" s="2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2"/>
      <c r="AI418" s="2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2"/>
      <c r="AI419" s="2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2"/>
      <c r="AI420" s="2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2"/>
      <c r="AI421" s="2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2"/>
      <c r="AI422" s="2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2"/>
      <c r="AI423" s="2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2"/>
      <c r="AI424" s="2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2"/>
      <c r="AI425" s="2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2"/>
      <c r="AI426" s="2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2"/>
      <c r="AI427" s="2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2"/>
      <c r="AI428" s="2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2"/>
      <c r="AI429" s="2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2"/>
      <c r="AI430" s="2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2"/>
      <c r="AI431" s="2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2"/>
      <c r="AI432" s="2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2"/>
      <c r="AI433" s="2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2"/>
      <c r="AI434" s="2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2"/>
      <c r="AI435" s="2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2"/>
      <c r="AI436" s="2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2"/>
      <c r="AI437" s="2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2"/>
      <c r="AI438" s="2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2"/>
      <c r="AI439" s="2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2"/>
      <c r="AI440" s="2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2"/>
      <c r="AI441" s="2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2"/>
      <c r="AI442" s="2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2"/>
      <c r="AI443" s="2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2"/>
      <c r="AI444" s="2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2"/>
      <c r="AI445" s="2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2"/>
      <c r="AI446" s="2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2"/>
      <c r="AI447" s="2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2"/>
      <c r="AI448" s="2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2"/>
      <c r="AI449" s="2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2"/>
      <c r="AI450" s="2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2"/>
      <c r="AI451" s="2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2"/>
      <c r="AI452" s="2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2"/>
      <c r="AI453" s="2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2"/>
      <c r="AI454" s="2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2"/>
      <c r="AI455" s="2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2"/>
      <c r="AI456" s="2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2"/>
      <c r="AI457" s="2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2"/>
      <c r="AI458" s="2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2"/>
      <c r="AI459" s="2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2"/>
      <c r="AI460" s="2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2"/>
      <c r="AI461" s="2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2"/>
      <c r="AI462" s="2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2"/>
      <c r="AI463" s="2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2"/>
      <c r="AI464" s="2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2"/>
      <c r="AI465" s="2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2"/>
      <c r="AI466" s="2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2"/>
      <c r="AI467" s="2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2"/>
      <c r="AI468" s="2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2"/>
      <c r="AI469" s="2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2"/>
      <c r="AI470" s="2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2"/>
      <c r="AI471" s="2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2"/>
      <c r="AI472" s="2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2"/>
      <c r="AI473" s="2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2"/>
      <c r="AI474" s="2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2"/>
      <c r="AI475" s="2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2"/>
      <c r="AI476" s="2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2"/>
      <c r="AI477" s="2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2"/>
      <c r="AI478" s="2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2"/>
      <c r="AI479" s="2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2"/>
      <c r="AI480" s="2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2"/>
      <c r="AI481" s="2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2"/>
      <c r="AI482" s="2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2"/>
      <c r="AI483" s="2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2"/>
      <c r="AI484" s="2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2"/>
      <c r="AI485" s="2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2"/>
      <c r="AI486" s="2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2"/>
      <c r="AI487" s="2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2"/>
      <c r="AI488" s="2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2"/>
      <c r="AI489" s="2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2"/>
      <c r="AI490" s="2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2"/>
      <c r="AI491" s="2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2"/>
      <c r="AI492" s="2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2"/>
      <c r="AI493" s="2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2"/>
      <c r="AI494" s="2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2"/>
      <c r="AI495" s="2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2"/>
      <c r="AI496" s="2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2"/>
      <c r="AI497" s="2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2"/>
      <c r="AI498" s="2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2"/>
      <c r="AI499" s="2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2"/>
      <c r="AI500" s="2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2"/>
      <c r="AI501" s="2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2"/>
      <c r="AI502" s="2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2"/>
      <c r="AI503" s="2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2"/>
      <c r="AI504" s="2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2"/>
      <c r="AI505" s="2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2"/>
      <c r="AI506" s="2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2"/>
      <c r="AI507" s="2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2"/>
      <c r="AI508" s="2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2"/>
      <c r="AI509" s="2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2"/>
      <c r="AI510" s="2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2"/>
      <c r="AI511" s="2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2"/>
      <c r="AI512" s="2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2"/>
      <c r="AI513" s="2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2"/>
      <c r="AI514" s="2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2"/>
      <c r="AI515" s="2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2"/>
      <c r="AI516" s="2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2"/>
      <c r="AI517" s="2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2"/>
      <c r="AI518" s="2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2"/>
      <c r="AI519" s="2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2"/>
      <c r="AI520" s="2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2"/>
      <c r="AI521" s="2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2"/>
      <c r="AI522" s="2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2"/>
      <c r="AI523" s="2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2"/>
      <c r="AI524" s="2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2"/>
      <c r="AI525" s="2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2"/>
      <c r="AI526" s="2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2"/>
      <c r="AI527" s="2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2"/>
      <c r="AI528" s="2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2"/>
      <c r="AI529" s="2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2"/>
      <c r="AI530" s="2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2"/>
      <c r="AI531" s="2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2"/>
      <c r="AI532" s="2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2"/>
      <c r="AI533" s="2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2"/>
      <c r="AI534" s="2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2"/>
      <c r="AI535" s="2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2"/>
      <c r="AI536" s="2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2"/>
      <c r="AI537" s="2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2"/>
      <c r="AI538" s="2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2"/>
      <c r="AI539" s="2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2"/>
      <c r="AI540" s="2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2"/>
      <c r="AI541" s="2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2"/>
      <c r="AI542" s="2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2"/>
      <c r="AI543" s="2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2"/>
      <c r="AI544" s="2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2"/>
      <c r="AI545" s="2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2"/>
      <c r="AI546" s="2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2"/>
      <c r="AI547" s="2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2"/>
      <c r="AI548" s="2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2"/>
      <c r="AI549" s="2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2"/>
      <c r="AI550" s="2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2"/>
      <c r="AI551" s="2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2"/>
      <c r="AI552" s="2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2"/>
      <c r="AI553" s="2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2"/>
      <c r="AI554" s="2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2"/>
      <c r="AI555" s="2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2"/>
      <c r="AI556" s="2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2"/>
      <c r="AI557" s="2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2"/>
      <c r="AI558" s="2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2"/>
      <c r="AI559" s="2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2"/>
      <c r="AI560" s="2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2"/>
      <c r="AI561" s="2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2"/>
      <c r="AI562" s="2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2"/>
      <c r="AI563" s="2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2"/>
      <c r="AI564" s="2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2"/>
      <c r="AI565" s="2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2"/>
      <c r="AI566" s="2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2"/>
      <c r="AI567" s="2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2"/>
      <c r="AI568" s="2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2"/>
      <c r="AI569" s="2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2"/>
      <c r="AI570" s="2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2"/>
      <c r="AI571" s="2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2"/>
      <c r="AI572" s="2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2"/>
      <c r="AI573" s="2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2"/>
      <c r="AI574" s="2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2"/>
      <c r="AI575" s="2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2"/>
      <c r="AI576" s="2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2"/>
      <c r="AI577" s="2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2"/>
      <c r="AI578" s="2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2"/>
      <c r="AI579" s="2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2"/>
      <c r="AI580" s="2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2"/>
      <c r="AI581" s="2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2"/>
      <c r="AI582" s="2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2"/>
      <c r="AI583" s="2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2"/>
      <c r="AI584" s="2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2"/>
      <c r="AI585" s="2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2"/>
      <c r="AI586" s="2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2"/>
      <c r="AI587" s="2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2"/>
      <c r="AI588" s="2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2"/>
      <c r="AI589" s="2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2"/>
      <c r="AI590" s="2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2"/>
      <c r="AI591" s="2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2"/>
      <c r="AI592" s="2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2"/>
      <c r="AI593" s="2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2"/>
      <c r="AI594" s="2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2"/>
      <c r="AI595" s="2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2"/>
      <c r="AI596" s="2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2"/>
      <c r="AI597" s="2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2"/>
      <c r="AI598" s="2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2"/>
      <c r="AI599" s="2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2"/>
      <c r="AI600" s="2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2"/>
      <c r="AI601" s="2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2"/>
      <c r="AI602" s="2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2"/>
      <c r="AI603" s="2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2"/>
      <c r="AI604" s="2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2"/>
      <c r="AI605" s="2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2"/>
      <c r="AI606" s="2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2"/>
      <c r="AI607" s="2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2"/>
      <c r="AI608" s="2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2"/>
      <c r="AI609" s="2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2"/>
      <c r="AI610" s="2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2"/>
      <c r="AI611" s="2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2"/>
      <c r="AI612" s="2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2"/>
      <c r="AI613" s="2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2"/>
      <c r="AI614" s="2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2"/>
      <c r="AI615" s="2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2"/>
      <c r="AI616" s="2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2"/>
      <c r="AI617" s="2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2"/>
      <c r="AI618" s="2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2"/>
      <c r="AI619" s="2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2"/>
      <c r="AI620" s="2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2"/>
      <c r="AI621" s="2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2"/>
      <c r="AI622" s="2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2"/>
      <c r="AI623" s="2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2"/>
      <c r="AI624" s="2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2"/>
      <c r="AI625" s="2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2"/>
      <c r="AI626" s="2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2"/>
      <c r="AI627" s="2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2"/>
      <c r="AI628" s="2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2"/>
      <c r="AI629" s="2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2"/>
      <c r="AI630" s="2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2"/>
      <c r="AI631" s="2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2"/>
      <c r="AI632" s="2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2"/>
      <c r="AI633" s="2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2"/>
      <c r="AI634" s="2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2"/>
      <c r="AI635" s="2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2"/>
      <c r="AI636" s="2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2"/>
      <c r="AI637" s="2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2"/>
      <c r="AI638" s="2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2"/>
      <c r="AI639" s="2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2"/>
      <c r="AI640" s="2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2"/>
      <c r="AI641" s="2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2"/>
      <c r="AI642" s="2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2"/>
      <c r="AI643" s="2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2"/>
      <c r="AI644" s="2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2"/>
      <c r="AI645" s="2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2"/>
      <c r="AI646" s="2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2"/>
      <c r="AI647" s="2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2"/>
      <c r="AI648" s="2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2"/>
      <c r="AI649" s="2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2"/>
      <c r="AI650" s="2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2"/>
      <c r="AI651" s="2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2"/>
      <c r="AI652" s="2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2"/>
      <c r="AI653" s="2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2"/>
      <c r="AI654" s="2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2"/>
      <c r="AI655" s="2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2"/>
      <c r="AI656" s="2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2"/>
      <c r="AI657" s="2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2"/>
      <c r="AI658" s="2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2"/>
      <c r="AI659" s="2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2"/>
      <c r="AI660" s="2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2"/>
      <c r="AI661" s="2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2"/>
      <c r="AI662" s="2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2"/>
      <c r="AI663" s="2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2"/>
      <c r="AI664" s="2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2"/>
      <c r="AI665" s="2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2"/>
      <c r="AI666" s="2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2"/>
      <c r="AI667" s="2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2"/>
      <c r="AI668" s="2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2"/>
      <c r="AI669" s="2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2"/>
      <c r="AI670" s="2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2"/>
      <c r="AI671" s="2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2"/>
      <c r="AI672" s="2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2"/>
      <c r="AI673" s="2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2"/>
      <c r="AI674" s="2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2"/>
      <c r="AI675" s="2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2"/>
      <c r="AI676" s="2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2"/>
      <c r="AI677" s="2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2"/>
      <c r="AI678" s="2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2"/>
      <c r="AI679" s="2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2"/>
      <c r="AI680" s="2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2"/>
      <c r="AI681" s="2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2"/>
      <c r="AI682" s="2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2"/>
      <c r="AI683" s="2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2"/>
      <c r="AI684" s="2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2"/>
      <c r="AI685" s="2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2"/>
      <c r="AI686" s="2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2"/>
      <c r="AI687" s="2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2"/>
      <c r="AI688" s="2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2"/>
      <c r="AI689" s="2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2"/>
      <c r="AI690" s="2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2"/>
      <c r="AI691" s="2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2"/>
      <c r="AI692" s="2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2"/>
      <c r="AI693" s="2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2"/>
      <c r="AI694" s="2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2"/>
      <c r="AI695" s="2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2"/>
      <c r="AI696" s="2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2"/>
      <c r="AI697" s="2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2"/>
      <c r="AI698" s="2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2"/>
      <c r="AI699" s="2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2"/>
      <c r="AI700" s="2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2"/>
      <c r="AI701" s="2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2"/>
      <c r="AI702" s="2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2"/>
      <c r="AI703" s="2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2"/>
      <c r="AI704" s="2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2"/>
      <c r="AI705" s="2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2"/>
      <c r="AI706" s="2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2"/>
      <c r="AI707" s="2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2"/>
      <c r="AI708" s="2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2"/>
      <c r="AI709" s="2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2"/>
      <c r="AI710" s="2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2"/>
      <c r="AI711" s="2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2"/>
      <c r="AI712" s="2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2"/>
      <c r="AI713" s="2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2"/>
      <c r="AI714" s="2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2"/>
      <c r="AI715" s="2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2"/>
      <c r="AI716" s="2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2"/>
      <c r="AI717" s="2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2"/>
      <c r="AI718" s="2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2"/>
      <c r="AI719" s="2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2"/>
      <c r="AI720" s="2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2"/>
      <c r="AI721" s="2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2"/>
      <c r="AI722" s="2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2"/>
      <c r="AI723" s="2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2"/>
      <c r="AI724" s="2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2"/>
      <c r="AI725" s="2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2"/>
      <c r="AI726" s="2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2"/>
      <c r="AI727" s="2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2"/>
      <c r="AI728" s="2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2"/>
      <c r="AI729" s="2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2"/>
      <c r="AI730" s="2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2"/>
      <c r="AI731" s="2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2"/>
      <c r="AI732" s="2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2"/>
      <c r="AI733" s="2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2"/>
      <c r="AI734" s="2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2"/>
      <c r="AI735" s="2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2"/>
      <c r="AI736" s="2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2"/>
      <c r="AI737" s="2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2"/>
      <c r="AI738" s="2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2"/>
      <c r="AI739" s="2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2"/>
      <c r="AI740" s="2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2"/>
      <c r="AI741" s="2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2"/>
      <c r="AI742" s="2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2"/>
      <c r="AI743" s="2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2"/>
      <c r="AI744" s="2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2"/>
      <c r="AI745" s="2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2"/>
      <c r="AI746" s="2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2"/>
      <c r="AI747" s="2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2"/>
      <c r="AI748" s="2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2"/>
      <c r="AI749" s="2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2"/>
      <c r="AI750" s="2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2"/>
      <c r="AI751" s="2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2"/>
      <c r="AI752" s="2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2"/>
      <c r="AI753" s="2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2"/>
      <c r="AI754" s="2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2"/>
      <c r="AI755" s="2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2"/>
      <c r="AI756" s="2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2"/>
      <c r="AI757" s="2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2"/>
      <c r="AI758" s="2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2"/>
      <c r="AI759" s="2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2"/>
      <c r="AI760" s="2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2"/>
      <c r="AI761" s="2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2"/>
      <c r="AI762" s="2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2"/>
      <c r="AI763" s="2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2"/>
      <c r="AI764" s="2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2"/>
      <c r="AI765" s="2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2"/>
      <c r="AI766" s="2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2"/>
      <c r="AI767" s="2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2"/>
      <c r="AI768" s="2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2"/>
      <c r="AI769" s="2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2"/>
      <c r="AI770" s="2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2"/>
      <c r="AI771" s="2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2"/>
      <c r="AI772" s="2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2"/>
      <c r="AI773" s="2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2"/>
      <c r="AI774" s="2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2"/>
      <c r="AI775" s="2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2"/>
      <c r="AI776" s="2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2"/>
      <c r="AI777" s="2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2"/>
      <c r="AI778" s="2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2"/>
      <c r="AI779" s="2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2"/>
      <c r="AI780" s="2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2"/>
      <c r="AI781" s="2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2"/>
      <c r="AI782" s="2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2"/>
      <c r="AI783" s="2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2"/>
      <c r="AI784" s="2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2"/>
      <c r="AI785" s="2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2"/>
      <c r="AI786" s="2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2"/>
      <c r="AI787" s="2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2"/>
      <c r="AI788" s="2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2"/>
      <c r="AI789" s="2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2"/>
      <c r="AI790" s="2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2"/>
      <c r="AI791" s="2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2"/>
      <c r="AI792" s="2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2"/>
      <c r="AI793" s="2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2"/>
      <c r="AI794" s="2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2"/>
      <c r="AI795" s="2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2"/>
      <c r="AI796" s="2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2"/>
      <c r="AI797" s="2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2"/>
      <c r="AI798" s="2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2"/>
      <c r="AI799" s="2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2"/>
      <c r="AI800" s="2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2"/>
      <c r="AI801" s="2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2"/>
      <c r="AI802" s="2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2"/>
      <c r="AI803" s="2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2"/>
      <c r="AI804" s="2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2"/>
      <c r="AI805" s="2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2"/>
      <c r="AI806" s="2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2"/>
      <c r="AI807" s="2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2"/>
      <c r="AI808" s="2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2"/>
      <c r="AI809" s="2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2"/>
      <c r="AI810" s="2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2"/>
      <c r="AI811" s="2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2"/>
      <c r="AI812" s="2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2"/>
      <c r="AI813" s="2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2"/>
      <c r="AI814" s="2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2"/>
      <c r="AI815" s="2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2"/>
      <c r="AI816" s="2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2"/>
      <c r="AI817" s="2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2"/>
      <c r="AI818" s="2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2"/>
      <c r="AI819" s="2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2"/>
      <c r="AI820" s="2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2"/>
      <c r="AI821" s="2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2"/>
      <c r="AI822" s="2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2"/>
      <c r="AI823" s="2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2"/>
      <c r="AI824" s="2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2"/>
      <c r="AI825" s="2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2"/>
      <c r="AI826" s="2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2"/>
      <c r="AI827" s="2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2"/>
      <c r="AI828" s="2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2"/>
      <c r="AI829" s="2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2"/>
      <c r="AI830" s="2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2"/>
      <c r="AI831" s="2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2"/>
      <c r="AI832" s="2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2"/>
      <c r="AI833" s="2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2"/>
      <c r="AI834" s="2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2"/>
      <c r="AI835" s="2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2"/>
      <c r="AI836" s="2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2"/>
      <c r="AI837" s="2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2"/>
      <c r="AI838" s="2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2"/>
      <c r="AI839" s="2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2"/>
      <c r="AI840" s="2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2"/>
      <c r="AI841" s="2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2"/>
      <c r="AI842" s="2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2"/>
      <c r="AI843" s="2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2"/>
      <c r="AI844" s="2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2"/>
      <c r="AI845" s="2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2"/>
      <c r="AI846" s="2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2"/>
      <c r="AI847" s="2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2"/>
      <c r="AI848" s="2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2"/>
      <c r="AI849" s="2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2"/>
      <c r="AI850" s="2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2"/>
      <c r="AI851" s="2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2"/>
      <c r="AI852" s="2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2"/>
      <c r="AI853" s="2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2"/>
      <c r="AI854" s="2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2"/>
      <c r="AI855" s="2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2"/>
      <c r="AI856" s="2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2"/>
      <c r="AI857" s="2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2"/>
      <c r="AI858" s="2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2"/>
      <c r="AI859" s="2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2"/>
      <c r="AI860" s="2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2"/>
      <c r="AI861" s="2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2"/>
      <c r="AI862" s="2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2"/>
      <c r="AI863" s="2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2"/>
      <c r="AI864" s="2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2"/>
      <c r="AI865" s="2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2"/>
      <c r="AI866" s="2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2"/>
      <c r="AI867" s="2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2"/>
      <c r="AI868" s="2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2"/>
      <c r="AI869" s="2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2"/>
      <c r="AI870" s="2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2"/>
      <c r="AI871" s="2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2"/>
      <c r="AI872" s="2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2"/>
      <c r="AI873" s="2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2"/>
      <c r="AI874" s="2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2"/>
      <c r="AI875" s="2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2"/>
      <c r="AI876" s="2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2"/>
      <c r="AI877" s="2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2"/>
      <c r="AI878" s="2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2"/>
      <c r="AI879" s="2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2"/>
      <c r="AI880" s="2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2"/>
      <c r="AI881" s="2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2"/>
      <c r="AI882" s="2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2"/>
      <c r="AI883" s="2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2"/>
      <c r="AI884" s="2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2"/>
      <c r="AI885" s="2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2"/>
      <c r="AI886" s="2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2"/>
      <c r="AI887" s="2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2"/>
      <c r="AI888" s="2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2"/>
      <c r="AI889" s="2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2"/>
      <c r="AI890" s="2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2"/>
      <c r="AI891" s="2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2"/>
      <c r="AI892" s="2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2"/>
      <c r="AI893" s="2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2"/>
      <c r="AI894" s="2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2"/>
      <c r="AI895" s="2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2"/>
      <c r="AI896" s="2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2"/>
      <c r="AI897" s="2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2"/>
      <c r="AI898" s="2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2"/>
      <c r="AI899" s="2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2"/>
      <c r="AI900" s="2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2"/>
      <c r="AI901" s="2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2"/>
      <c r="AI902" s="2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2"/>
      <c r="AI903" s="2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2"/>
      <c r="AI904" s="2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2"/>
      <c r="AI905" s="2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2"/>
      <c r="AI906" s="2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2"/>
      <c r="AI907" s="2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2"/>
      <c r="AI908" s="2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2"/>
      <c r="AI909" s="2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2"/>
      <c r="AI910" s="2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2"/>
      <c r="AI911" s="2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2"/>
      <c r="AI912" s="2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2"/>
      <c r="AI913" s="2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2"/>
      <c r="AI914" s="2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2"/>
      <c r="AI915" s="2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2"/>
      <c r="AI916" s="2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2"/>
      <c r="AI917" s="2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2"/>
      <c r="AI918" s="2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2"/>
      <c r="AI919" s="2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2"/>
      <c r="AI920" s="2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2"/>
      <c r="AI921" s="2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2"/>
      <c r="AI922" s="2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2"/>
      <c r="AI923" s="2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2"/>
      <c r="AI924" s="2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2"/>
      <c r="AI925" s="2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2"/>
      <c r="AI926" s="2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2"/>
      <c r="AI927" s="2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2"/>
      <c r="AI928" s="2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2"/>
      <c r="AI929" s="2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2"/>
      <c r="AI930" s="2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2"/>
      <c r="AI931" s="2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2"/>
      <c r="AI932" s="2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2"/>
      <c r="AI933" s="2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2"/>
      <c r="AI934" s="2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2"/>
      <c r="AI935" s="2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2"/>
      <c r="AI936" s="2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2"/>
      <c r="AI937" s="2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2"/>
      <c r="AI938" s="2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2"/>
      <c r="AI939" s="2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2"/>
      <c r="AI940" s="2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2"/>
      <c r="AI941" s="2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2"/>
      <c r="AI942" s="2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2"/>
      <c r="AI943" s="2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2"/>
      <c r="AI944" s="2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2"/>
      <c r="AI945" s="2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2"/>
      <c r="AI946" s="2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2"/>
      <c r="AI947" s="2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2"/>
      <c r="AI948" s="2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2"/>
      <c r="AI949" s="2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2"/>
      <c r="AI950" s="2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2"/>
      <c r="AI951" s="2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2"/>
      <c r="AI952" s="2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2"/>
      <c r="AI953" s="2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2"/>
      <c r="AI954" s="2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2"/>
      <c r="AI955" s="2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2"/>
      <c r="AI956" s="2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2"/>
      <c r="AI957" s="2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2"/>
      <c r="AI958" s="2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2"/>
      <c r="AI959" s="2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2"/>
      <c r="AI960" s="2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2"/>
      <c r="AI961" s="2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2"/>
      <c r="AI962" s="2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2"/>
      <c r="AI963" s="2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2"/>
      <c r="AI964" s="2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2"/>
      <c r="AI965" s="2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2"/>
      <c r="AI966" s="2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2"/>
      <c r="AI967" s="2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2"/>
      <c r="AI968" s="2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2"/>
      <c r="AI969" s="2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2"/>
      <c r="AI970" s="2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2"/>
      <c r="AI971" s="2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2"/>
      <c r="AI972" s="2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2"/>
      <c r="AI973" s="2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2"/>
      <c r="AI974" s="2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2"/>
      <c r="AI975" s="2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2"/>
      <c r="AI976" s="2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2"/>
      <c r="AI977" s="2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2"/>
      <c r="AI978" s="2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2"/>
      <c r="AI979" s="2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2"/>
      <c r="AI980" s="2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2"/>
      <c r="AI981" s="2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2"/>
      <c r="AI982" s="2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2"/>
      <c r="AI983" s="2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2"/>
      <c r="AI984" s="2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2"/>
      <c r="AI985" s="2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2"/>
      <c r="AI986" s="2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2"/>
      <c r="AI987" s="2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2"/>
      <c r="AI988" s="2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2"/>
      <c r="AI989" s="2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2"/>
      <c r="AI990" s="2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2"/>
      <c r="AI991" s="2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2"/>
      <c r="AI992" s="2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2"/>
      <c r="AI993" s="2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2"/>
      <c r="AI994" s="2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2"/>
      <c r="AI995" s="2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2"/>
      <c r="AI996" s="2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2"/>
      <c r="AI997" s="2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2"/>
      <c r="AI998" s="2"/>
    </row>
    <row r="999" ht="16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2"/>
      <c r="AI999" s="2"/>
    </row>
    <row r="1000" ht="16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2"/>
      <c r="AI1000" s="2"/>
    </row>
  </sheetData>
  <mergeCells count="26">
    <mergeCell ref="F33:M33"/>
    <mergeCell ref="B32:R32"/>
    <mergeCell ref="B33:C33"/>
    <mergeCell ref="D33:E33"/>
    <mergeCell ref="N33:R33"/>
    <mergeCell ref="K2:O2"/>
    <mergeCell ref="B2:I2"/>
    <mergeCell ref="AA8:AB8"/>
    <mergeCell ref="AA10:AB10"/>
    <mergeCell ref="AA9:AB9"/>
    <mergeCell ref="AD22:AE22"/>
    <mergeCell ref="AD23:AE23"/>
    <mergeCell ref="AA23:AB23"/>
    <mergeCell ref="AA21:AH21"/>
    <mergeCell ref="AA22:AB22"/>
    <mergeCell ref="AD7:AE7"/>
    <mergeCell ref="AD8:AF10"/>
    <mergeCell ref="AD5:AE5"/>
    <mergeCell ref="AD6:AE6"/>
    <mergeCell ref="AA6:AB6"/>
    <mergeCell ref="AA7:AB7"/>
    <mergeCell ref="AA2:AF2"/>
    <mergeCell ref="AA3:AF3"/>
    <mergeCell ref="AD4:AE4"/>
    <mergeCell ref="AA5:AB5"/>
    <mergeCell ref="AA4:AB4"/>
  </mergeCells>
  <dataValidations>
    <dataValidation type="list" allowBlank="1" sqref="AH23">
      <formula1>"是,否"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44"/>
    <col customWidth="1" min="2" max="17" width="9.0"/>
  </cols>
  <sheetData>
    <row r="1">
      <c r="A1" s="2"/>
      <c r="B1" s="16" t="s">
        <v>20</v>
      </c>
      <c r="C1" s="16">
        <v>1.0</v>
      </c>
      <c r="D1" s="16">
        <v>2.0</v>
      </c>
      <c r="E1" s="16">
        <v>3.0</v>
      </c>
      <c r="F1" s="16">
        <v>4.0</v>
      </c>
      <c r="G1" s="16">
        <v>5.0</v>
      </c>
      <c r="H1" s="16">
        <v>6.0</v>
      </c>
      <c r="I1" s="16">
        <v>7.0</v>
      </c>
      <c r="J1" s="16">
        <v>8.0</v>
      </c>
      <c r="K1" s="16">
        <v>9.0</v>
      </c>
      <c r="L1" s="16">
        <v>10.0</v>
      </c>
      <c r="M1" s="16">
        <v>11.0</v>
      </c>
      <c r="N1" s="16">
        <v>12.0</v>
      </c>
      <c r="O1" s="16">
        <v>13.0</v>
      </c>
      <c r="P1" s="16">
        <v>14.0</v>
      </c>
      <c r="Q1" s="16">
        <v>15.0</v>
      </c>
      <c r="R1" s="2"/>
      <c r="S1" s="2"/>
      <c r="T1" s="2"/>
      <c r="U1" s="2"/>
      <c r="V1" s="2"/>
      <c r="W1" s="2"/>
      <c r="X1" s="2"/>
      <c r="Y1" s="2"/>
      <c r="Z1" s="2"/>
    </row>
    <row r="2">
      <c r="A2" s="16"/>
      <c r="B2" s="16" t="s">
        <v>141</v>
      </c>
      <c r="C2" s="145">
        <f>simulationData!W76/100</f>
        <v>0.1</v>
      </c>
      <c r="D2" s="145">
        <f>simulationData!W77/100</f>
        <v>0.1532</v>
      </c>
      <c r="E2" s="145">
        <f>simulationData!W78/100</f>
        <v>0.2072</v>
      </c>
      <c r="F2" s="145">
        <f>simulationData!W79/100</f>
        <v>0.2671</v>
      </c>
      <c r="G2" s="145">
        <f>simulationData!W80/100</f>
        <v>0.3288</v>
      </c>
      <c r="H2" s="145">
        <f>simulationData!W81/100</f>
        <v>0.3942</v>
      </c>
      <c r="I2" s="145">
        <f>simulationData!W82/100</f>
        <v>0.4627</v>
      </c>
      <c r="J2" s="145">
        <f>simulationData!W83/100</f>
        <v>0.5323</v>
      </c>
      <c r="K2" s="145">
        <f>simulationData!W84/100</f>
        <v>0.6003</v>
      </c>
      <c r="L2" s="145">
        <f>simulationData!W85/100</f>
        <v>0.6659</v>
      </c>
      <c r="M2" s="145">
        <f>simulationData!W86/100</f>
        <v>0.7288</v>
      </c>
      <c r="N2" s="145">
        <f>simulationData!W87/100</f>
        <v>0.7867</v>
      </c>
      <c r="O2" s="145">
        <f>simulationData!W88/100</f>
        <v>0.8379</v>
      </c>
      <c r="P2" s="145">
        <f>simulationData!W89/100</f>
        <v>0.8809</v>
      </c>
      <c r="Q2" s="145">
        <f>simulationData!W90/100</f>
        <v>0.9147</v>
      </c>
      <c r="R2" s="2"/>
      <c r="S2" s="2"/>
      <c r="T2" s="2"/>
      <c r="U2" s="2"/>
      <c r="V2" s="2"/>
      <c r="W2" s="2"/>
      <c r="X2" s="2"/>
      <c r="Y2" s="2"/>
      <c r="Z2" s="2"/>
    </row>
    <row r="3">
      <c r="A3" s="16"/>
      <c r="B3" s="16" t="s">
        <v>143</v>
      </c>
      <c r="C3" s="145">
        <f>simulationData!X76/100</f>
        <v>0.938</v>
      </c>
      <c r="D3" s="145">
        <f>simulationData!X77/100</f>
        <v>0.941</v>
      </c>
      <c r="E3" s="145">
        <f>simulationData!X78/100</f>
        <v>0.944</v>
      </c>
      <c r="F3" s="145">
        <f>simulationData!X79/100</f>
        <v>0.947</v>
      </c>
      <c r="G3" s="145">
        <f>simulationData!X80/100</f>
        <v>0.95</v>
      </c>
      <c r="H3" s="145">
        <f>simulationData!X81/100</f>
        <v>0.953</v>
      </c>
      <c r="I3" s="145">
        <f>simulationData!X82/100</f>
        <v>0.956</v>
      </c>
      <c r="J3" s="145">
        <f>simulationData!X83/100</f>
        <v>0.959</v>
      </c>
      <c r="K3" s="145">
        <f>simulationData!X84/100</f>
        <v>0.962</v>
      </c>
      <c r="L3" s="145">
        <f>simulationData!X85/100</f>
        <v>0.965</v>
      </c>
      <c r="M3" s="145">
        <f>simulationData!X86/100</f>
        <v>0.968</v>
      </c>
      <c r="N3" s="145">
        <f>simulationData!X87/100</f>
        <v>0.971</v>
      </c>
      <c r="O3" s="145">
        <f>simulationData!X88/100</f>
        <v>0.974</v>
      </c>
      <c r="P3" s="145">
        <f>simulationData!X89/100</f>
        <v>0.977</v>
      </c>
      <c r="Q3" s="145">
        <f>simulationData!X90/100</f>
        <v>0.98</v>
      </c>
      <c r="R3" s="2"/>
      <c r="S3" s="2"/>
      <c r="T3" s="2"/>
      <c r="U3" s="2"/>
      <c r="V3" s="2"/>
      <c r="W3" s="2"/>
      <c r="X3" s="2"/>
      <c r="Y3" s="2"/>
      <c r="Z3" s="2"/>
    </row>
    <row r="4">
      <c r="A4" s="16"/>
      <c r="B4" s="16" t="s">
        <v>147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/>
      <c r="B5" s="16">
        <v>1.0</v>
      </c>
      <c r="C5" s="150">
        <f t="shared" ref="C5:Q5" si="1">1/(1-C2)</f>
        <v>1.111111111</v>
      </c>
      <c r="D5" s="150">
        <f t="shared" si="1"/>
        <v>1.180916391</v>
      </c>
      <c r="E5" s="150">
        <f t="shared" si="1"/>
        <v>1.26135217</v>
      </c>
      <c r="F5" s="150">
        <f t="shared" si="1"/>
        <v>1.364442625</v>
      </c>
      <c r="G5" s="150">
        <f t="shared" si="1"/>
        <v>1.489868892</v>
      </c>
      <c r="H5" s="150">
        <f t="shared" si="1"/>
        <v>1.650709805</v>
      </c>
      <c r="I5" s="150">
        <f t="shared" si="1"/>
        <v>1.86115764</v>
      </c>
      <c r="J5" s="150">
        <f t="shared" si="1"/>
        <v>2.138122728</v>
      </c>
      <c r="K5" s="150">
        <f t="shared" si="1"/>
        <v>2.501876407</v>
      </c>
      <c r="L5" s="150">
        <f t="shared" si="1"/>
        <v>2.993115834</v>
      </c>
      <c r="M5" s="150">
        <f t="shared" si="1"/>
        <v>3.687315634</v>
      </c>
      <c r="N5" s="150">
        <f t="shared" si="1"/>
        <v>4.688232536</v>
      </c>
      <c r="O5" s="150">
        <f t="shared" si="1"/>
        <v>6.169031462</v>
      </c>
      <c r="P5" s="150">
        <f t="shared" si="1"/>
        <v>8.396305626</v>
      </c>
      <c r="Q5" s="150">
        <f t="shared" si="1"/>
        <v>11.72332943</v>
      </c>
      <c r="R5" s="2"/>
      <c r="S5" s="2"/>
      <c r="U5" s="2"/>
      <c r="V5" s="2"/>
      <c r="W5" s="2"/>
      <c r="X5" s="2"/>
      <c r="Y5" s="2"/>
      <c r="Z5" s="2"/>
    </row>
    <row r="6">
      <c r="A6" s="16"/>
      <c r="B6" s="16">
        <v>2.0</v>
      </c>
      <c r="C6" s="152">
        <f t="shared" ref="C6:Q6" si="2">C5/(1-C$2*C$3^($B6-1))</f>
        <v>1.226121288</v>
      </c>
      <c r="D6" s="152">
        <f t="shared" si="2"/>
        <v>1.379835071</v>
      </c>
      <c r="E6" s="152">
        <f t="shared" si="2"/>
        <v>1.568059612</v>
      </c>
      <c r="F6" s="152">
        <f t="shared" si="2"/>
        <v>1.826425432</v>
      </c>
      <c r="G6" s="152">
        <f t="shared" si="2"/>
        <v>2.166640817</v>
      </c>
      <c r="H6" s="152">
        <f t="shared" si="2"/>
        <v>2.643981035</v>
      </c>
      <c r="I6" s="152">
        <f t="shared" si="2"/>
        <v>3.337448705</v>
      </c>
      <c r="J6" s="152">
        <f t="shared" si="2"/>
        <v>4.367756061</v>
      </c>
      <c r="K6" s="152">
        <f t="shared" si="2"/>
        <v>5.92144119</v>
      </c>
      <c r="L6" s="152">
        <f t="shared" si="2"/>
        <v>8.374542247</v>
      </c>
      <c r="M6" s="152">
        <f t="shared" si="2"/>
        <v>12.51967813</v>
      </c>
      <c r="N6" s="152">
        <f t="shared" si="2"/>
        <v>19.85577551</v>
      </c>
      <c r="O6" s="152">
        <f t="shared" si="2"/>
        <v>33.54823962</v>
      </c>
      <c r="P6" s="152">
        <f t="shared" si="2"/>
        <v>60.24873315</v>
      </c>
      <c r="Q6" s="152">
        <f t="shared" si="2"/>
        <v>113.1661045</v>
      </c>
      <c r="R6" s="2"/>
      <c r="S6" s="2"/>
      <c r="T6" s="2"/>
      <c r="U6" s="2"/>
      <c r="V6" s="2"/>
      <c r="W6" s="2"/>
      <c r="X6" s="2"/>
      <c r="Y6" s="2"/>
      <c r="Z6" s="2"/>
    </row>
    <row r="7">
      <c r="A7" s="16"/>
      <c r="B7" s="16">
        <v>3.0</v>
      </c>
      <c r="C7" s="152">
        <f t="shared" ref="C7:Q7" si="3">C6/(1-C$2*C$3^($B7-1))</f>
        <v>1.34440824</v>
      </c>
      <c r="D7" s="152">
        <f t="shared" si="3"/>
        <v>1.596395156</v>
      </c>
      <c r="E7" s="152">
        <f t="shared" si="3"/>
        <v>1.923158004</v>
      </c>
      <c r="F7" s="152">
        <f t="shared" si="3"/>
        <v>2.401730359</v>
      </c>
      <c r="G7" s="152">
        <f t="shared" si="3"/>
        <v>3.080861956</v>
      </c>
      <c r="H7" s="152">
        <f t="shared" si="3"/>
        <v>4.118453084</v>
      </c>
      <c r="I7" s="152">
        <f t="shared" si="3"/>
        <v>5.782919015</v>
      </c>
      <c r="J7" s="152">
        <f t="shared" si="3"/>
        <v>8.5566138</v>
      </c>
      <c r="K7" s="152">
        <f t="shared" si="3"/>
        <v>13.32289728</v>
      </c>
      <c r="L7" s="152">
        <f t="shared" si="3"/>
        <v>22.04422841</v>
      </c>
      <c r="M7" s="152">
        <f t="shared" si="3"/>
        <v>39.48218283</v>
      </c>
      <c r="N7" s="152">
        <f t="shared" si="3"/>
        <v>76.88081189</v>
      </c>
      <c r="O7" s="152">
        <f t="shared" si="3"/>
        <v>163.5666663</v>
      </c>
      <c r="P7" s="152">
        <f t="shared" si="3"/>
        <v>378.5528588</v>
      </c>
      <c r="Q7" s="152">
        <f t="shared" si="3"/>
        <v>931.2387281</v>
      </c>
      <c r="R7" s="2"/>
      <c r="S7" s="2"/>
      <c r="T7" s="2"/>
      <c r="U7" s="2"/>
      <c r="V7" s="2"/>
      <c r="W7" s="2"/>
      <c r="X7" s="2"/>
      <c r="Y7" s="2"/>
      <c r="Z7" s="2"/>
    </row>
    <row r="8">
      <c r="A8" s="16"/>
      <c r="B8" s="16">
        <v>4.0</v>
      </c>
      <c r="C8" s="152">
        <f t="shared" ref="C8:Q8" si="4">C7/(1-C$2*C$3^($B8-1))</f>
        <v>1.465341987</v>
      </c>
      <c r="D8" s="152">
        <f t="shared" si="4"/>
        <v>1.829998077</v>
      </c>
      <c r="E8" s="152">
        <f t="shared" si="4"/>
        <v>2.329133834</v>
      </c>
      <c r="F8" s="152">
        <f t="shared" si="4"/>
        <v>3.106390853</v>
      </c>
      <c r="G8" s="152">
        <f t="shared" si="4"/>
        <v>4.29032583</v>
      </c>
      <c r="H8" s="152">
        <f t="shared" si="4"/>
        <v>6.251344561</v>
      </c>
      <c r="I8" s="152">
        <f t="shared" si="4"/>
        <v>9.707307055</v>
      </c>
      <c r="J8" s="152">
        <f t="shared" si="4"/>
        <v>16.12857191</v>
      </c>
      <c r="K8" s="152">
        <f t="shared" si="4"/>
        <v>28.61652045</v>
      </c>
      <c r="L8" s="152">
        <f t="shared" si="4"/>
        <v>54.89088836</v>
      </c>
      <c r="M8" s="152">
        <f t="shared" si="4"/>
        <v>116.4838626</v>
      </c>
      <c r="N8" s="152">
        <f t="shared" si="4"/>
        <v>274.7929429</v>
      </c>
      <c r="O8" s="152">
        <f t="shared" si="4"/>
        <v>724.4782723</v>
      </c>
      <c r="P8" s="152">
        <f t="shared" si="4"/>
        <v>2120.805738</v>
      </c>
      <c r="Q8" s="152">
        <f t="shared" si="4"/>
        <v>6695.143406</v>
      </c>
      <c r="R8" s="2"/>
      <c r="S8" s="2"/>
      <c r="T8" s="2"/>
      <c r="U8" s="2"/>
      <c r="V8" s="2"/>
      <c r="W8" s="2"/>
      <c r="X8" s="2"/>
      <c r="Y8" s="2"/>
      <c r="Z8" s="2"/>
    </row>
    <row r="9">
      <c r="A9" s="16"/>
      <c r="B9" s="16">
        <v>5.0</v>
      </c>
      <c r="C9" s="152">
        <f t="shared" ref="C9:Q9" si="5">C8/(1-C$2*C$3^($B9-1))</f>
        <v>1.588296027</v>
      </c>
      <c r="D9" s="152">
        <f t="shared" si="5"/>
        <v>2.079828147</v>
      </c>
      <c r="E9" s="152">
        <f t="shared" si="5"/>
        <v>2.787853901</v>
      </c>
      <c r="F9" s="152">
        <f t="shared" si="5"/>
        <v>3.956276364</v>
      </c>
      <c r="G9" s="152">
        <f t="shared" si="5"/>
        <v>5.85957717</v>
      </c>
      <c r="H9" s="152">
        <f t="shared" si="5"/>
        <v>9.263355593</v>
      </c>
      <c r="I9" s="152">
        <f t="shared" si="5"/>
        <v>15.82240839</v>
      </c>
      <c r="J9" s="152">
        <f t="shared" si="5"/>
        <v>29.33674882</v>
      </c>
      <c r="K9" s="152">
        <f t="shared" si="5"/>
        <v>58.89686464</v>
      </c>
      <c r="L9" s="152">
        <f t="shared" si="5"/>
        <v>129.9054762</v>
      </c>
      <c r="M9" s="152">
        <f t="shared" si="5"/>
        <v>323.4733638</v>
      </c>
      <c r="N9" s="152">
        <f t="shared" si="5"/>
        <v>913.9544962</v>
      </c>
      <c r="O9" s="152">
        <f t="shared" si="5"/>
        <v>2946.212083</v>
      </c>
      <c r="P9" s="152">
        <f t="shared" si="5"/>
        <v>10744.27105</v>
      </c>
      <c r="Q9" s="152">
        <f t="shared" si="5"/>
        <v>42832.51286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16"/>
      <c r="B10" s="16">
        <v>6.0</v>
      </c>
      <c r="C10" s="152">
        <f t="shared" ref="C10:Q10" si="6">C9/(1-C$2*C$3^($B10-1))</f>
        <v>1.712657147</v>
      </c>
      <c r="D10" s="152">
        <f t="shared" si="6"/>
        <v>2.344877702</v>
      </c>
      <c r="E10" s="152">
        <f t="shared" si="6"/>
        <v>3.300516494</v>
      </c>
      <c r="F10" s="152">
        <f t="shared" si="6"/>
        <v>4.966665578</v>
      </c>
      <c r="G10" s="152">
        <f t="shared" si="6"/>
        <v>7.859077047</v>
      </c>
      <c r="H10" s="152">
        <f t="shared" si="6"/>
        <v>13.42264621</v>
      </c>
      <c r="I10" s="152">
        <f t="shared" si="6"/>
        <v>25.09415443</v>
      </c>
      <c r="J10" s="152">
        <f t="shared" si="6"/>
        <v>51.62803232</v>
      </c>
      <c r="K10" s="152">
        <f t="shared" si="6"/>
        <v>116.5324165</v>
      </c>
      <c r="L10" s="152">
        <f t="shared" si="6"/>
        <v>293.4021091</v>
      </c>
      <c r="M10" s="152">
        <f t="shared" si="6"/>
        <v>849.948171</v>
      </c>
      <c r="N10" s="152">
        <f t="shared" si="6"/>
        <v>2847.703025</v>
      </c>
      <c r="O10" s="152">
        <f t="shared" si="6"/>
        <v>11096.50293</v>
      </c>
      <c r="P10" s="152">
        <f t="shared" si="6"/>
        <v>49776.68</v>
      </c>
      <c r="Q10" s="152">
        <f t="shared" si="6"/>
        <v>247324.2339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16"/>
      <c r="B11" s="16">
        <v>7.0</v>
      </c>
      <c r="C11" s="152">
        <f t="shared" ref="C11:Q11" si="7">C10/(1-C$2*C$3^($B11-1))</f>
        <v>1.837833778</v>
      </c>
      <c r="D11" s="152">
        <f t="shared" si="7"/>
        <v>2.623975408</v>
      </c>
      <c r="E11" s="152">
        <f t="shared" si="7"/>
        <v>3.86762487</v>
      </c>
      <c r="F11" s="152">
        <f t="shared" si="7"/>
        <v>6.15182825</v>
      </c>
      <c r="G11" s="152">
        <f t="shared" si="7"/>
        <v>10.36404923</v>
      </c>
      <c r="H11" s="152">
        <f t="shared" si="7"/>
        <v>19.04751412</v>
      </c>
      <c r="I11" s="152">
        <f t="shared" si="7"/>
        <v>38.79867014</v>
      </c>
      <c r="J11" s="152">
        <f t="shared" si="7"/>
        <v>88.11215857</v>
      </c>
      <c r="K11" s="152">
        <f t="shared" si="7"/>
        <v>222.3026279</v>
      </c>
      <c r="L11" s="152">
        <f t="shared" si="7"/>
        <v>634.7132416</v>
      </c>
      <c r="M11" s="152">
        <f t="shared" si="7"/>
        <v>2122.739509</v>
      </c>
      <c r="N11" s="152">
        <f t="shared" si="7"/>
        <v>8359.932926</v>
      </c>
      <c r="O11" s="152">
        <f t="shared" si="7"/>
        <v>38989.14261</v>
      </c>
      <c r="P11" s="152">
        <f t="shared" si="7"/>
        <v>212825.4913</v>
      </c>
      <c r="Q11" s="152">
        <f t="shared" si="7"/>
        <v>1303627.807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16"/>
      <c r="B12" s="16">
        <v>8.0</v>
      </c>
      <c r="C12" s="152">
        <f t="shared" ref="C12:Q12" si="8">C11/(1-C$2*C$3^($B12-1))</f>
        <v>1.963262883</v>
      </c>
      <c r="D12" s="152">
        <f t="shared" si="8"/>
        <v>2.915816408</v>
      </c>
      <c r="E12" s="152">
        <f t="shared" si="8"/>
        <v>4.488982479</v>
      </c>
      <c r="F12" s="152">
        <f t="shared" si="8"/>
        <v>7.524634124</v>
      </c>
      <c r="G12" s="152">
        <f t="shared" si="8"/>
        <v>13.45304802</v>
      </c>
      <c r="H12" s="152">
        <f t="shared" si="8"/>
        <v>26.50744475</v>
      </c>
      <c r="I12" s="152">
        <f t="shared" si="8"/>
        <v>58.57990564</v>
      </c>
      <c r="J12" s="152">
        <f t="shared" si="8"/>
        <v>146.1443002</v>
      </c>
      <c r="K12" s="152">
        <f t="shared" si="8"/>
        <v>409.935859</v>
      </c>
      <c r="L12" s="152">
        <f t="shared" si="8"/>
        <v>1319.350055</v>
      </c>
      <c r="M12" s="152">
        <f t="shared" si="8"/>
        <v>5059.096084</v>
      </c>
      <c r="N12" s="152">
        <f t="shared" si="8"/>
        <v>23237.61859</v>
      </c>
      <c r="O12" s="152">
        <f t="shared" si="8"/>
        <v>128589.9452</v>
      </c>
      <c r="P12" s="152">
        <f t="shared" si="8"/>
        <v>846205.7788</v>
      </c>
      <c r="Q12" s="152">
        <f t="shared" si="8"/>
        <v>6330577.484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16"/>
      <c r="B13" s="16">
        <v>9.0</v>
      </c>
      <c r="C13" s="152">
        <f t="shared" ref="C13:Q13" si="9">C12/(1-C$2*C$3^($B13-1))</f>
        <v>2.088415402</v>
      </c>
      <c r="D13" s="152">
        <f t="shared" si="9"/>
        <v>3.218993091</v>
      </c>
      <c r="E13" s="152">
        <f t="shared" si="9"/>
        <v>5.163708436</v>
      </c>
      <c r="F13" s="152">
        <f t="shared" si="9"/>
        <v>9.096204945</v>
      </c>
      <c r="G13" s="152">
        <f t="shared" si="9"/>
        <v>17.20630464</v>
      </c>
      <c r="H13" s="152">
        <f t="shared" si="9"/>
        <v>36.22228515</v>
      </c>
      <c r="I13" s="152">
        <f t="shared" si="9"/>
        <v>86.50587346</v>
      </c>
      <c r="J13" s="152">
        <f t="shared" si="9"/>
        <v>236.0239588</v>
      </c>
      <c r="K13" s="152">
        <f t="shared" si="9"/>
        <v>732.447534</v>
      </c>
      <c r="L13" s="152">
        <f t="shared" si="9"/>
        <v>2642.704167</v>
      </c>
      <c r="M13" s="152">
        <f t="shared" si="9"/>
        <v>11546.18103</v>
      </c>
      <c r="N13" s="152">
        <f t="shared" si="9"/>
        <v>61422.27509</v>
      </c>
      <c r="O13" s="152">
        <f t="shared" si="9"/>
        <v>400190.4368</v>
      </c>
      <c r="P13" s="152">
        <f t="shared" si="9"/>
        <v>3149012.815</v>
      </c>
      <c r="Q13" s="152">
        <f t="shared" si="9"/>
        <v>28540919.26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16"/>
      <c r="B14" s="16">
        <v>10.0</v>
      </c>
      <c r="C14" s="152">
        <f t="shared" ref="C14:Q14" si="10">C13/(1-C$2*C$3^($B14-1))</f>
        <v>2.212800334</v>
      </c>
      <c r="D14" s="152">
        <f t="shared" si="10"/>
        <v>3.532025423</v>
      </c>
      <c r="E14" s="152">
        <f t="shared" si="10"/>
        <v>5.890270921</v>
      </c>
      <c r="F14" s="152">
        <f t="shared" si="10"/>
        <v>10.87562227</v>
      </c>
      <c r="G14" s="152">
        <f t="shared" si="10"/>
        <v>21.70392164</v>
      </c>
      <c r="H14" s="152">
        <f t="shared" si="10"/>
        <v>48.65939348</v>
      </c>
      <c r="I14" s="152">
        <f t="shared" si="10"/>
        <v>125.1201351</v>
      </c>
      <c r="J14" s="152">
        <f t="shared" si="10"/>
        <v>371.8050109</v>
      </c>
      <c r="K14" s="152">
        <f t="shared" si="10"/>
        <v>1270.702136</v>
      </c>
      <c r="L14" s="152">
        <f t="shared" si="10"/>
        <v>5113.898936</v>
      </c>
      <c r="M14" s="152">
        <f t="shared" si="10"/>
        <v>25312.76353</v>
      </c>
      <c r="N14" s="152">
        <f t="shared" si="10"/>
        <v>154968.1645</v>
      </c>
      <c r="O14" s="152">
        <f t="shared" si="10"/>
        <v>1180615.896</v>
      </c>
      <c r="P14" s="152">
        <f t="shared" si="10"/>
        <v>11028257.12</v>
      </c>
      <c r="Q14" s="152">
        <f t="shared" si="10"/>
        <v>120237639.2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16"/>
      <c r="B15" s="16">
        <v>11.0</v>
      </c>
      <c r="C15" s="152">
        <f t="shared" ref="C15:Q15" si="11">C14/(1-C$2*C$3^($B15-1))</f>
        <v>2.33596757</v>
      </c>
      <c r="D15" s="152">
        <f t="shared" si="11"/>
        <v>3.853389969</v>
      </c>
      <c r="E15" s="152">
        <f t="shared" si="11"/>
        <v>6.666535744</v>
      </c>
      <c r="F15" s="152">
        <f t="shared" si="11"/>
        <v>12.8697001</v>
      </c>
      <c r="G15" s="152">
        <f t="shared" si="11"/>
        <v>27.02399183</v>
      </c>
      <c r="H15" s="152">
        <f t="shared" si="11"/>
        <v>64.32872981</v>
      </c>
      <c r="I15" s="152">
        <f t="shared" si="11"/>
        <v>177.4850153</v>
      </c>
      <c r="J15" s="152">
        <f t="shared" si="11"/>
        <v>572.2025092</v>
      </c>
      <c r="K15" s="152">
        <f t="shared" si="11"/>
        <v>2144.615919</v>
      </c>
      <c r="L15" s="152">
        <f t="shared" si="11"/>
        <v>9582.295475</v>
      </c>
      <c r="M15" s="152">
        <f t="shared" si="11"/>
        <v>53453.85917</v>
      </c>
      <c r="N15" s="152">
        <f t="shared" si="11"/>
        <v>374445.9711</v>
      </c>
      <c r="O15" s="152">
        <f t="shared" si="11"/>
        <v>3314899.464</v>
      </c>
      <c r="P15" s="152">
        <f t="shared" si="11"/>
        <v>36520677.72</v>
      </c>
      <c r="Q15" s="152">
        <f t="shared" si="11"/>
        <v>475955869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16"/>
      <c r="B16" s="16">
        <v>12.0</v>
      </c>
      <c r="C16" s="152">
        <f t="shared" ref="C16:Q16" si="12">C15/(1-C$2*C$3^($B16-1))</f>
        <v>2.457509588</v>
      </c>
      <c r="D16" s="152">
        <f t="shared" si="12"/>
        <v>4.181546911</v>
      </c>
      <c r="E16" s="152">
        <f t="shared" si="12"/>
        <v>7.48982694</v>
      </c>
      <c r="F16" s="152">
        <f t="shared" si="12"/>
        <v>15.08282753</v>
      </c>
      <c r="G16" s="152">
        <f t="shared" si="12"/>
        <v>33.2407202</v>
      </c>
      <c r="H16" s="152">
        <f t="shared" si="12"/>
        <v>83.77597081</v>
      </c>
      <c r="I16" s="152">
        <f t="shared" si="12"/>
        <v>247.2131132</v>
      </c>
      <c r="J16" s="152">
        <f t="shared" si="12"/>
        <v>861.5719815</v>
      </c>
      <c r="K16" s="152">
        <f t="shared" si="12"/>
        <v>3527.371068</v>
      </c>
      <c r="L16" s="152">
        <f t="shared" si="12"/>
        <v>17422.25523</v>
      </c>
      <c r="M16" s="152">
        <f t="shared" si="12"/>
        <v>109002.5824</v>
      </c>
      <c r="N16" s="152">
        <f t="shared" si="12"/>
        <v>869070.6001</v>
      </c>
      <c r="O16" s="152">
        <f t="shared" si="12"/>
        <v>8889647.953</v>
      </c>
      <c r="P16" s="152">
        <f t="shared" si="12"/>
        <v>114834938.6</v>
      </c>
      <c r="Q16" s="152">
        <f t="shared" si="12"/>
        <v>1778801923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16"/>
      <c r="B17" s="16">
        <v>13.0</v>
      </c>
      <c r="C17" s="152">
        <f t="shared" ref="C17:Q17" si="13">C16/(1-C$2*C$3^($B17-1))</f>
        <v>2.577062169</v>
      </c>
      <c r="D17" s="152">
        <f t="shared" si="13"/>
        <v>4.514964566</v>
      </c>
      <c r="E17" s="152">
        <f t="shared" si="13"/>
        <v>8.356996229</v>
      </c>
      <c r="F17" s="152">
        <f t="shared" si="13"/>
        <v>17.51688296</v>
      </c>
      <c r="G17" s="152">
        <f t="shared" si="13"/>
        <v>40.42262381</v>
      </c>
      <c r="H17" s="152">
        <f t="shared" si="13"/>
        <v>107.5738418</v>
      </c>
      <c r="I17" s="152">
        <f t="shared" si="13"/>
        <v>338.4840234</v>
      </c>
      <c r="J17" s="152">
        <f t="shared" si="13"/>
        <v>1270.927333</v>
      </c>
      <c r="K17" s="152">
        <f t="shared" si="13"/>
        <v>5662.920847</v>
      </c>
      <c r="L17" s="152">
        <f t="shared" si="13"/>
        <v>30794.80557</v>
      </c>
      <c r="M17" s="152">
        <f t="shared" si="13"/>
        <v>215123.2639</v>
      </c>
      <c r="N17" s="152">
        <f t="shared" si="13"/>
        <v>1942651.668</v>
      </c>
      <c r="O17" s="152">
        <f t="shared" si="13"/>
        <v>22840875.28</v>
      </c>
      <c r="P17" s="152">
        <f t="shared" si="13"/>
        <v>344112926.3</v>
      </c>
      <c r="Q17" s="152">
        <f t="shared" si="13"/>
        <v>6302899738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16"/>
      <c r="B18" s="16">
        <v>14.0</v>
      </c>
      <c r="C18" s="152">
        <f t="shared" ref="C18:Q18" si="14">C17/(1-C$2*C$3^($B18-1))</f>
        <v>2.694304254</v>
      </c>
      <c r="D18" s="152">
        <f t="shared" si="14"/>
        <v>4.852141058</v>
      </c>
      <c r="E18" s="152">
        <f t="shared" si="14"/>
        <v>9.264498203</v>
      </c>
      <c r="F18" s="152">
        <f t="shared" si="14"/>
        <v>20.17121799</v>
      </c>
      <c r="G18" s="152">
        <f t="shared" si="14"/>
        <v>48.6308778</v>
      </c>
      <c r="H18" s="152">
        <f t="shared" si="14"/>
        <v>136.311957</v>
      </c>
      <c r="I18" s="152">
        <f t="shared" si="14"/>
        <v>456.0437645</v>
      </c>
      <c r="J18" s="152">
        <f t="shared" si="14"/>
        <v>1838.954946</v>
      </c>
      <c r="K18" s="152">
        <f t="shared" si="14"/>
        <v>8886.927357</v>
      </c>
      <c r="L18" s="152">
        <f t="shared" si="14"/>
        <v>53007.51481</v>
      </c>
      <c r="M18" s="152">
        <f t="shared" si="14"/>
        <v>411731.8435</v>
      </c>
      <c r="N18" s="152">
        <f t="shared" si="14"/>
        <v>4192264.88</v>
      </c>
      <c r="O18" s="152">
        <f t="shared" si="14"/>
        <v>56386096.48</v>
      </c>
      <c r="P18" s="152">
        <f t="shared" si="14"/>
        <v>985890851.7</v>
      </c>
      <c r="Q18" s="152">
        <f t="shared" si="14"/>
        <v>21252280370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6">
        <v>15.0</v>
      </c>
      <c r="C19" s="152">
        <f t="shared" ref="C19:Q19" si="15">C18/(1-C$2*C$3^($B19-1))</f>
        <v>2.808957101</v>
      </c>
      <c r="D19" s="152">
        <f t="shared" si="15"/>
        <v>5.191622969</v>
      </c>
      <c r="E19" s="152">
        <f t="shared" si="15"/>
        <v>10.20846835</v>
      </c>
      <c r="F19" s="152">
        <f t="shared" si="15"/>
        <v>23.0427065</v>
      </c>
      <c r="G19" s="152">
        <f t="shared" si="15"/>
        <v>57.9178645</v>
      </c>
      <c r="H19" s="152">
        <f t="shared" si="15"/>
        <v>170.5855336</v>
      </c>
      <c r="I19" s="152">
        <f t="shared" si="15"/>
        <v>605.1851868</v>
      </c>
      <c r="J19" s="152">
        <f t="shared" si="15"/>
        <v>2612.975022</v>
      </c>
      <c r="K19" s="152">
        <f t="shared" si="15"/>
        <v>13651.09173</v>
      </c>
      <c r="L19" s="152">
        <f t="shared" si="15"/>
        <v>88995.76656</v>
      </c>
      <c r="M19" s="152">
        <f t="shared" si="15"/>
        <v>765636.0737</v>
      </c>
      <c r="N19" s="152">
        <f t="shared" si="15"/>
        <v>8753009.811</v>
      </c>
      <c r="O19" s="152">
        <f t="shared" si="15"/>
        <v>134077722.5</v>
      </c>
      <c r="P19" s="152">
        <f t="shared" si="15"/>
        <v>2708419286</v>
      </c>
      <c r="Q19" s="152">
        <f t="shared" si="15"/>
        <v>68413681868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6">
        <v>16.0</v>
      </c>
      <c r="C20" s="152">
        <f t="shared" ref="C20:Q20" si="16">C19/(1-C$2*C$3^($B20-1))</f>
        <v>2.920782858</v>
      </c>
      <c r="D20" s="152">
        <f t="shared" si="16"/>
        <v>5.532020915</v>
      </c>
      <c r="E20" s="152">
        <f t="shared" si="16"/>
        <v>11.18480128</v>
      </c>
      <c r="F20" s="152">
        <f t="shared" si="16"/>
        <v>26.12585211</v>
      </c>
      <c r="G20" s="152">
        <f t="shared" si="16"/>
        <v>68.32597024</v>
      </c>
      <c r="H20" s="152">
        <f t="shared" si="16"/>
        <v>210.9833986</v>
      </c>
      <c r="I20" s="152">
        <f t="shared" si="16"/>
        <v>791.7085395</v>
      </c>
      <c r="J20" s="152">
        <f t="shared" si="16"/>
        <v>3649.797296</v>
      </c>
      <c r="K20" s="152">
        <f t="shared" si="16"/>
        <v>20550.6189</v>
      </c>
      <c r="L20" s="152">
        <f t="shared" si="16"/>
        <v>145949.3125</v>
      </c>
      <c r="M20" s="152">
        <f t="shared" si="16"/>
        <v>1385626.296</v>
      </c>
      <c r="N20" s="152">
        <f t="shared" si="16"/>
        <v>17716432.32</v>
      </c>
      <c r="O20" s="152">
        <f t="shared" si="16"/>
        <v>307790491.2</v>
      </c>
      <c r="P20" s="152">
        <f t="shared" si="16"/>
        <v>7153067393</v>
      </c>
      <c r="Q20" s="152">
        <f t="shared" si="16"/>
        <v>210872928992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6">
        <v>17.0</v>
      </c>
      <c r="C21" s="152">
        <f t="shared" ref="C21:Q21" si="17">C20/(1-C$2*C$3^($B21-1))</f>
        <v>3.02958269</v>
      </c>
      <c r="D21" s="152">
        <f t="shared" si="17"/>
        <v>5.872022092</v>
      </c>
      <c r="E21" s="152">
        <f t="shared" si="17"/>
        <v>12.189227</v>
      </c>
      <c r="F21" s="152">
        <f t="shared" si="17"/>
        <v>29.41294574</v>
      </c>
      <c r="G21" s="152">
        <f t="shared" si="17"/>
        <v>79.88666033</v>
      </c>
      <c r="H21" s="152">
        <f t="shared" si="17"/>
        <v>258.0757304</v>
      </c>
      <c r="I21" s="152">
        <f t="shared" si="17"/>
        <v>1021.862353</v>
      </c>
      <c r="J21" s="152">
        <f t="shared" si="17"/>
        <v>5016.417579</v>
      </c>
      <c r="K21" s="152">
        <f t="shared" si="17"/>
        <v>30354.31808</v>
      </c>
      <c r="L21" s="152">
        <f t="shared" si="17"/>
        <v>234107.0777</v>
      </c>
      <c r="M21" s="152">
        <f t="shared" si="17"/>
        <v>2444327.791</v>
      </c>
      <c r="N21" s="152">
        <f t="shared" si="17"/>
        <v>34824558.75</v>
      </c>
      <c r="O21" s="152">
        <f t="shared" si="17"/>
        <v>683541946.5</v>
      </c>
      <c r="P21" s="152">
        <f t="shared" si="17"/>
        <v>18204487375</v>
      </c>
      <c r="Q21" s="152">
        <f t="shared" si="17"/>
        <v>623991065361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6">
        <v>18.0</v>
      </c>
      <c r="C22" s="152">
        <f t="shared" ref="C22:Q22" si="18">C21/(1-C$2*C$3^($B22-1))</f>
        <v>3.135194565</v>
      </c>
      <c r="D22" s="152">
        <f t="shared" si="18"/>
        <v>6.210399947</v>
      </c>
      <c r="E22" s="152">
        <f t="shared" si="18"/>
        <v>13.21738329</v>
      </c>
      <c r="F22" s="152">
        <f t="shared" si="18"/>
        <v>32.89426379</v>
      </c>
      <c r="G22" s="152">
        <f t="shared" si="18"/>
        <v>92.61984877</v>
      </c>
      <c r="H22" s="152">
        <f t="shared" si="18"/>
        <v>312.4019776</v>
      </c>
      <c r="I22" s="152">
        <f t="shared" si="18"/>
        <v>1302.265763</v>
      </c>
      <c r="J22" s="152">
        <f t="shared" si="18"/>
        <v>6790.504142</v>
      </c>
      <c r="K22" s="152">
        <f t="shared" si="18"/>
        <v>44036.59148</v>
      </c>
      <c r="L22" s="152">
        <f t="shared" si="18"/>
        <v>367740.3614</v>
      </c>
      <c r="M22" s="152">
        <f t="shared" si="18"/>
        <v>4209030.21</v>
      </c>
      <c r="N22" s="152">
        <f t="shared" si="18"/>
        <v>66588626.76</v>
      </c>
      <c r="O22" s="152">
        <f t="shared" si="18"/>
        <v>1471311090</v>
      </c>
      <c r="P22" s="152">
        <f t="shared" si="18"/>
        <v>44740404095</v>
      </c>
      <c r="Q22" s="152">
        <f t="shared" si="18"/>
        <v>1776824018602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6">
        <v>19.0</v>
      </c>
      <c r="C23" s="152">
        <f t="shared" ref="C23:Q23" si="19">C22/(1-C$2*C$3^($B23-1))</f>
        <v>3.237490796</v>
      </c>
      <c r="D23" s="152">
        <f t="shared" si="19"/>
        <v>6.546021151</v>
      </c>
      <c r="E23" s="152">
        <f t="shared" si="19"/>
        <v>14.26488287</v>
      </c>
      <c r="F23" s="152">
        <f t="shared" si="19"/>
        <v>36.55829761</v>
      </c>
      <c r="G23" s="152">
        <f t="shared" si="19"/>
        <v>106.5335658</v>
      </c>
      <c r="H23" s="152">
        <f t="shared" si="19"/>
        <v>374.4593718</v>
      </c>
      <c r="I23" s="152">
        <f t="shared" si="19"/>
        <v>1639.8143</v>
      </c>
      <c r="J23" s="152">
        <f t="shared" si="19"/>
        <v>9060.628992</v>
      </c>
      <c r="K23" s="152">
        <f t="shared" si="19"/>
        <v>62810.32695</v>
      </c>
      <c r="L23" s="152">
        <f t="shared" si="19"/>
        <v>566339.604</v>
      </c>
      <c r="M23" s="152">
        <f t="shared" si="19"/>
        <v>7084112.116</v>
      </c>
      <c r="N23" s="152">
        <f t="shared" si="19"/>
        <v>124044098.7</v>
      </c>
      <c r="O23" s="152">
        <f t="shared" si="19"/>
        <v>3074833381</v>
      </c>
      <c r="P23" s="152">
        <f t="shared" si="19"/>
        <v>106389774360</v>
      </c>
      <c r="Q23" s="152">
        <f t="shared" si="19"/>
        <v>4879243792848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6">
        <v>20.0</v>
      </c>
      <c r="C24" s="152">
        <f t="shared" ref="C24:Q24" si="20">C23/(1-C$2*C$3^($B24-1))</f>
        <v>3.336375438</v>
      </c>
      <c r="D24" s="152">
        <f t="shared" si="20"/>
        <v>6.877850137</v>
      </c>
      <c r="E24" s="152">
        <f t="shared" si="20"/>
        <v>15.32737422</v>
      </c>
      <c r="F24" s="152">
        <f t="shared" si="20"/>
        <v>40.3920044</v>
      </c>
      <c r="G24" s="152">
        <f t="shared" si="20"/>
        <v>121.623915</v>
      </c>
      <c r="H24" s="152">
        <f t="shared" si="20"/>
        <v>444.6924087</v>
      </c>
      <c r="I24" s="152">
        <f t="shared" si="20"/>
        <v>2041.571936</v>
      </c>
      <c r="J24" s="152">
        <f t="shared" si="20"/>
        <v>11926.20795</v>
      </c>
      <c r="K24" s="152">
        <f t="shared" si="20"/>
        <v>88159.50281</v>
      </c>
      <c r="L24" s="152">
        <f t="shared" si="20"/>
        <v>856012.7156</v>
      </c>
      <c r="M24" s="152">
        <f t="shared" si="20"/>
        <v>11668044.96</v>
      </c>
      <c r="N24" s="152">
        <f t="shared" si="20"/>
        <v>225433675.5</v>
      </c>
      <c r="O24" s="152">
        <f t="shared" si="20"/>
        <v>6248898636</v>
      </c>
      <c r="P24" s="152">
        <f t="shared" si="20"/>
        <v>245216448073</v>
      </c>
      <c r="Q24" s="152">
        <f t="shared" si="20"/>
        <v>12946531693916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6">
        <v>21.0</v>
      </c>
      <c r="C25" s="152">
        <f t="shared" ref="C25:Q25" si="21">C24/(1-C$2*C$3^($B25-1))</f>
        <v>3.431781596</v>
      </c>
      <c r="D25" s="152">
        <f t="shared" si="21"/>
        <v>7.204951454</v>
      </c>
      <c r="E25" s="152">
        <f t="shared" si="21"/>
        <v>16.40059545</v>
      </c>
      <c r="F25" s="152">
        <f t="shared" si="21"/>
        <v>44.38107059</v>
      </c>
      <c r="G25" s="152">
        <f t="shared" si="21"/>
        <v>137.8753002</v>
      </c>
      <c r="H25" s="152">
        <f t="shared" si="21"/>
        <v>523.4836099</v>
      </c>
      <c r="I25" s="152">
        <f t="shared" si="21"/>
        <v>2514.652792</v>
      </c>
      <c r="J25" s="152">
        <f t="shared" si="21"/>
        <v>15497.12483</v>
      </c>
      <c r="K25" s="152">
        <f t="shared" si="21"/>
        <v>121870.1542</v>
      </c>
      <c r="L25" s="152">
        <f t="shared" si="21"/>
        <v>1271093.714</v>
      </c>
      <c r="M25" s="152">
        <f t="shared" si="21"/>
        <v>18828250.2</v>
      </c>
      <c r="N25" s="152">
        <f t="shared" si="21"/>
        <v>400209344.5</v>
      </c>
      <c r="O25" s="152">
        <f t="shared" si="21"/>
        <v>12367530333</v>
      </c>
      <c r="P25" s="152">
        <f t="shared" si="21"/>
        <v>548727656797</v>
      </c>
      <c r="Q25" s="152">
        <f t="shared" si="21"/>
        <v>33252595001047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6">
        <v>22.0</v>
      </c>
      <c r="C26" s="152">
        <f t="shared" ref="C26:Q26" si="22">C25/(1-C$2*C$3^($B26-1))</f>
        <v>3.523668724</v>
      </c>
      <c r="D26" s="152">
        <f t="shared" si="22"/>
        <v>7.526490234</v>
      </c>
      <c r="E26" s="152">
        <f t="shared" si="22"/>
        <v>17.48042079</v>
      </c>
      <c r="F26" s="152">
        <f t="shared" si="22"/>
        <v>48.5101794</v>
      </c>
      <c r="G26" s="152">
        <f t="shared" si="22"/>
        <v>155.2608974</v>
      </c>
      <c r="H26" s="152">
        <f t="shared" si="22"/>
        <v>611.1458114</v>
      </c>
      <c r="I26" s="152">
        <f t="shared" si="22"/>
        <v>3066.0963</v>
      </c>
      <c r="J26" s="152">
        <f t="shared" si="22"/>
        <v>19893.02791</v>
      </c>
      <c r="K26" s="152">
        <f t="shared" si="22"/>
        <v>166058.2536</v>
      </c>
      <c r="L26" s="152">
        <f t="shared" si="22"/>
        <v>1855949.42</v>
      </c>
      <c r="M26" s="152">
        <f t="shared" si="22"/>
        <v>29797250.95</v>
      </c>
      <c r="N26" s="152">
        <f t="shared" si="22"/>
        <v>694863391</v>
      </c>
      <c r="O26" s="152">
        <f t="shared" si="22"/>
        <v>23869570988</v>
      </c>
      <c r="P26" s="152">
        <f t="shared" si="22"/>
        <v>1193915056637</v>
      </c>
      <c r="Q26" s="152">
        <f t="shared" si="22"/>
        <v>82810140996787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6">
        <v>23.0</v>
      </c>
      <c r="C27" s="152">
        <f t="shared" ref="C27:Q27" si="23">C26/(1-C$2*C$3^($B27-1))</f>
        <v>3.612019951</v>
      </c>
      <c r="D27" s="152">
        <f t="shared" si="23"/>
        <v>7.841731035</v>
      </c>
      <c r="E27" s="152">
        <f t="shared" si="23"/>
        <v>18.5628997</v>
      </c>
      <c r="F27" s="152">
        <f t="shared" si="23"/>
        <v>52.76327528</v>
      </c>
      <c r="G27" s="152">
        <f t="shared" si="23"/>
        <v>173.7433364</v>
      </c>
      <c r="H27" s="152">
        <f t="shared" si="23"/>
        <v>707.9161483</v>
      </c>
      <c r="I27" s="152">
        <f t="shared" si="23"/>
        <v>3702.739826</v>
      </c>
      <c r="J27" s="152">
        <f t="shared" si="23"/>
        <v>25242.30093</v>
      </c>
      <c r="K27" s="152">
        <f t="shared" si="23"/>
        <v>223193.0343</v>
      </c>
      <c r="L27" s="152">
        <f t="shared" si="23"/>
        <v>2666959.707</v>
      </c>
      <c r="M27" s="152">
        <f t="shared" si="23"/>
        <v>46293561.18</v>
      </c>
      <c r="N27" s="152">
        <f t="shared" si="23"/>
        <v>1181235569</v>
      </c>
      <c r="O27" s="152">
        <f t="shared" si="23"/>
        <v>44981065658</v>
      </c>
      <c r="P27" s="152">
        <f t="shared" si="23"/>
        <v>2529305736405</v>
      </c>
      <c r="Q27" s="152">
        <f t="shared" si="23"/>
        <v>200256112977118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6">
        <v>24.0</v>
      </c>
      <c r="C28" s="152">
        <f t="shared" ref="C28:Q28" si="24">C27/(1-C$2*C$3^($B28-1))</f>
        <v>3.696839484</v>
      </c>
      <c r="D28" s="152">
        <f t="shared" si="24"/>
        <v>8.150035346</v>
      </c>
      <c r="E28" s="152">
        <f t="shared" si="24"/>
        <v>19.64428864</v>
      </c>
      <c r="F28" s="152">
        <f t="shared" si="24"/>
        <v>57.12381893</v>
      </c>
      <c r="G28" s="152">
        <f t="shared" si="24"/>
        <v>193.2755592</v>
      </c>
      <c r="H28" s="152">
        <f t="shared" si="24"/>
        <v>813.9518316</v>
      </c>
      <c r="I28" s="152">
        <f t="shared" si="24"/>
        <v>4431.092738</v>
      </c>
      <c r="J28" s="152">
        <f t="shared" si="24"/>
        <v>31680.72434</v>
      </c>
      <c r="K28" s="152">
        <f t="shared" si="24"/>
        <v>296114.3408</v>
      </c>
      <c r="L28" s="152">
        <f t="shared" si="24"/>
        <v>3774633.973</v>
      </c>
      <c r="M28" s="152">
        <f t="shared" si="24"/>
        <v>70670549.58</v>
      </c>
      <c r="N28" s="152">
        <f t="shared" si="24"/>
        <v>1968096031</v>
      </c>
      <c r="O28" s="152">
        <f t="shared" si="24"/>
        <v>82859256955</v>
      </c>
      <c r="P28" s="152">
        <f t="shared" si="24"/>
        <v>5223939076557</v>
      </c>
      <c r="Q28" s="152">
        <f t="shared" si="24"/>
        <v>470913025334010</v>
      </c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6">
        <v>25.0</v>
      </c>
      <c r="C29" s="152">
        <f t="shared" ref="C29:Q29" si="25">C28/(1-C$2*C$3^($B29-1))</f>
        <v>3.778150114</v>
      </c>
      <c r="D29" s="152">
        <f t="shared" si="25"/>
        <v>8.450857995</v>
      </c>
      <c r="E29" s="152">
        <f t="shared" si="25"/>
        <v>20.72107592</v>
      </c>
      <c r="F29" s="152">
        <f t="shared" si="25"/>
        <v>61.5750281</v>
      </c>
      <c r="G29" s="152">
        <f t="shared" si="25"/>
        <v>213.8018143</v>
      </c>
      <c r="H29" s="152">
        <f t="shared" si="25"/>
        <v>929.3277408</v>
      </c>
      <c r="I29" s="152">
        <f t="shared" si="25"/>
        <v>5257.215738</v>
      </c>
      <c r="J29" s="152">
        <f t="shared" si="25"/>
        <v>39349.85582</v>
      </c>
      <c r="K29" s="152">
        <f t="shared" si="25"/>
        <v>388042.7226</v>
      </c>
      <c r="L29" s="152">
        <f t="shared" si="25"/>
        <v>5265813.865</v>
      </c>
      <c r="M29" s="152">
        <f t="shared" si="25"/>
        <v>106096069.7</v>
      </c>
      <c r="N29" s="152">
        <f t="shared" si="25"/>
        <v>3216965607</v>
      </c>
      <c r="O29" s="152">
        <f t="shared" si="25"/>
        <v>149364130097</v>
      </c>
      <c r="P29" s="152">
        <f t="shared" si="25"/>
        <v>10531287710946</v>
      </c>
      <c r="Q29" s="152">
        <f t="shared" si="25"/>
        <v>1.07823E+15</v>
      </c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6">
        <v>26.0</v>
      </c>
      <c r="C30" s="152">
        <f t="shared" ref="C30:Q30" si="26">C29/(1-C$2*C$3^($B30-1))</f>
        <v>3.855990854</v>
      </c>
      <c r="D30" s="152">
        <f t="shared" si="26"/>
        <v>8.743742719</v>
      </c>
      <c r="E30" s="152">
        <f t="shared" si="26"/>
        <v>21.78999995</v>
      </c>
      <c r="F30" s="152">
        <f t="shared" si="26"/>
        <v>66.10009995</v>
      </c>
      <c r="G30" s="152">
        <f t="shared" si="26"/>
        <v>235.2587514</v>
      </c>
      <c r="H30" s="152">
        <f t="shared" si="26"/>
        <v>1054.035793</v>
      </c>
      <c r="I30" s="152">
        <f t="shared" si="26"/>
        <v>6186.608889</v>
      </c>
      <c r="J30" s="152">
        <f t="shared" si="26"/>
        <v>48395.17023</v>
      </c>
      <c r="K30" s="152">
        <f t="shared" si="26"/>
        <v>502581.1924</v>
      </c>
      <c r="L30" s="152">
        <f t="shared" si="26"/>
        <v>7245900.639</v>
      </c>
      <c r="M30" s="152">
        <f t="shared" si="26"/>
        <v>156764942.7</v>
      </c>
      <c r="N30" s="152">
        <f t="shared" si="26"/>
        <v>5163298563</v>
      </c>
      <c r="O30" s="152">
        <f t="shared" si="26"/>
        <v>263743582688</v>
      </c>
      <c r="P30" s="152">
        <f t="shared" si="26"/>
        <v>20745950787352</v>
      </c>
      <c r="Q30" s="152">
        <f t="shared" si="26"/>
        <v>2.40671E+15</v>
      </c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6">
        <v>27.0</v>
      </c>
      <c r="C31" s="152">
        <f t="shared" ref="C31:Q31" si="27">C30/(1-C$2*C$3^($B31-1))</f>
        <v>3.930414711</v>
      </c>
      <c r="D31" s="152">
        <f t="shared" si="27"/>
        <v>9.028317086</v>
      </c>
      <c r="E31" s="152">
        <f t="shared" si="27"/>
        <v>22.84806157</v>
      </c>
      <c r="F31" s="152">
        <f t="shared" si="27"/>
        <v>70.68241248</v>
      </c>
      <c r="G31" s="152">
        <f t="shared" si="27"/>
        <v>257.576579</v>
      </c>
      <c r="H31" s="152">
        <f t="shared" si="27"/>
        <v>1187.985989</v>
      </c>
      <c r="I31" s="152">
        <f t="shared" si="27"/>
        <v>7224.111335</v>
      </c>
      <c r="J31" s="152">
        <f t="shared" si="27"/>
        <v>58964.00852</v>
      </c>
      <c r="K31" s="152">
        <f t="shared" si="27"/>
        <v>643707.8357</v>
      </c>
      <c r="L31" s="152">
        <f t="shared" si="27"/>
        <v>9841035.733</v>
      </c>
      <c r="M31" s="152">
        <f t="shared" si="27"/>
        <v>228145410.7</v>
      </c>
      <c r="N31" s="152">
        <f t="shared" si="27"/>
        <v>8144307636</v>
      </c>
      <c r="O31" s="152">
        <f t="shared" si="27"/>
        <v>456620667843</v>
      </c>
      <c r="P31" s="152">
        <f t="shared" si="27"/>
        <v>39976358993256</v>
      </c>
      <c r="Q31" s="152">
        <f t="shared" si="27"/>
        <v>5.2428E+15</v>
      </c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6">
        <v>28.0</v>
      </c>
      <c r="C32" s="152">
        <f t="shared" ref="C32:Q32" si="28">C31/(1-C$2*C$3^($B32-1))</f>
        <v>4.001486625</v>
      </c>
      <c r="D32" s="152">
        <f t="shared" si="28"/>
        <v>9.304286972</v>
      </c>
      <c r="E32" s="152">
        <f t="shared" si="28"/>
        <v>23.89253106</v>
      </c>
      <c r="F32" s="152">
        <f t="shared" si="28"/>
        <v>75.30570304</v>
      </c>
      <c r="G32" s="152">
        <f t="shared" si="28"/>
        <v>280.6802508</v>
      </c>
      <c r="H32" s="152">
        <f t="shared" si="28"/>
        <v>1331.009005</v>
      </c>
      <c r="I32" s="152">
        <f t="shared" si="28"/>
        <v>8373.815114</v>
      </c>
      <c r="J32" s="152">
        <f t="shared" si="28"/>
        <v>71203.39203</v>
      </c>
      <c r="K32" s="152">
        <f t="shared" si="28"/>
        <v>815758.7723</v>
      </c>
      <c r="L32" s="152">
        <f t="shared" si="28"/>
        <v>13200155.85</v>
      </c>
      <c r="M32" s="152">
        <f t="shared" si="28"/>
        <v>327259460.4</v>
      </c>
      <c r="N32" s="152">
        <f t="shared" si="28"/>
        <v>12634844387</v>
      </c>
      <c r="O32" s="152">
        <f t="shared" si="28"/>
        <v>775798800940</v>
      </c>
      <c r="P32" s="152">
        <f t="shared" si="28"/>
        <v>75424316075014</v>
      </c>
      <c r="Q32" s="152">
        <f t="shared" si="28"/>
        <v>1.1158E+16</v>
      </c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6">
        <v>29.0</v>
      </c>
      <c r="C33" s="152">
        <f t="shared" ref="C33:Q33" si="29">C32/(1-C$2*C$3^($B33-1))</f>
        <v>4.069281554</v>
      </c>
      <c r="D33" s="152">
        <f t="shared" si="29"/>
        <v>9.571430762</v>
      </c>
      <c r="E33" s="152">
        <f t="shared" si="29"/>
        <v>24.92095029</v>
      </c>
      <c r="F33" s="152">
        <f t="shared" si="29"/>
        <v>79.95422308</v>
      </c>
      <c r="G33" s="152">
        <f t="shared" si="29"/>
        <v>304.4906525</v>
      </c>
      <c r="H33" s="152">
        <f t="shared" si="29"/>
        <v>1482.860135</v>
      </c>
      <c r="I33" s="152">
        <f t="shared" si="29"/>
        <v>9638.994864</v>
      </c>
      <c r="J33" s="152">
        <f t="shared" si="29"/>
        <v>85257.76252</v>
      </c>
      <c r="K33" s="152">
        <f t="shared" si="29"/>
        <v>1023401.311</v>
      </c>
      <c r="L33" s="152">
        <f t="shared" si="29"/>
        <v>17496839.73</v>
      </c>
      <c r="M33" s="152">
        <f t="shared" si="29"/>
        <v>462995484.5</v>
      </c>
      <c r="N33" s="152">
        <f t="shared" si="29"/>
        <v>19292845749</v>
      </c>
      <c r="O33" s="152">
        <f t="shared" si="29"/>
        <v>1294555378625</v>
      </c>
      <c r="P33" s="152">
        <f t="shared" si="29"/>
        <v>139460545994125</v>
      </c>
      <c r="Q33" s="152">
        <f t="shared" si="29"/>
        <v>2.3223E+16</v>
      </c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6">
        <v>30.0</v>
      </c>
      <c r="C34" s="152">
        <f t="shared" ref="C34:Q34" si="30">C33/(1-C$2*C$3^($B34-1))</f>
        <v>4.133882736</v>
      </c>
      <c r="D34" s="152">
        <f t="shared" si="30"/>
        <v>9.829593405</v>
      </c>
      <c r="E34" s="152">
        <f t="shared" si="30"/>
        <v>25.93113094</v>
      </c>
      <c r="F34" s="152">
        <f t="shared" si="30"/>
        <v>84.61286897</v>
      </c>
      <c r="G34" s="152">
        <f t="shared" si="30"/>
        <v>328.9257597</v>
      </c>
      <c r="H34" s="152">
        <f t="shared" si="30"/>
        <v>1643.224406</v>
      </c>
      <c r="I34" s="152">
        <f t="shared" si="30"/>
        <v>11022.05458</v>
      </c>
      <c r="J34" s="152">
        <f t="shared" si="30"/>
        <v>101266.7098</v>
      </c>
      <c r="K34" s="152">
        <f t="shared" si="30"/>
        <v>1271597.492</v>
      </c>
      <c r="L34" s="152">
        <f t="shared" si="30"/>
        <v>22930863.12</v>
      </c>
      <c r="M34" s="152">
        <f t="shared" si="30"/>
        <v>646450153.3</v>
      </c>
      <c r="N34" s="152">
        <f t="shared" si="30"/>
        <v>29015905197</v>
      </c>
      <c r="O34" s="152">
        <f t="shared" si="30"/>
        <v>2123276766882</v>
      </c>
      <c r="P34" s="152">
        <f t="shared" si="30"/>
        <v>252925421163906</v>
      </c>
      <c r="Q34" s="152">
        <f t="shared" si="30"/>
        <v>4.73105E+16</v>
      </c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6">
        <v>31.0</v>
      </c>
      <c r="C35" s="152">
        <f t="shared" ref="C35:Q35" si="31">C34/(1-C$2*C$3^($B35-1))</f>
        <v>4.195380095</v>
      </c>
      <c r="D35" s="152">
        <f t="shared" si="31"/>
        <v>10.07868045</v>
      </c>
      <c r="E35" s="152">
        <f t="shared" si="31"/>
        <v>26.92114913</v>
      </c>
      <c r="F35" s="152">
        <f t="shared" si="31"/>
        <v>89.26728935</v>
      </c>
      <c r="G35" s="152">
        <f t="shared" si="31"/>
        <v>353.9017476</v>
      </c>
      <c r="H35" s="152">
        <f t="shared" si="31"/>
        <v>1811.722639</v>
      </c>
      <c r="I35" s="152">
        <f t="shared" si="31"/>
        <v>12524.49199</v>
      </c>
      <c r="J35" s="152">
        <f t="shared" si="31"/>
        <v>119362.7473</v>
      </c>
      <c r="K35" s="152">
        <f t="shared" si="31"/>
        <v>1565558.564</v>
      </c>
      <c r="L35" s="152">
        <f t="shared" si="31"/>
        <v>29729381.77</v>
      </c>
      <c r="M35" s="152">
        <f t="shared" si="31"/>
        <v>891294678</v>
      </c>
      <c r="N35" s="152">
        <f t="shared" si="31"/>
        <v>43010510041</v>
      </c>
      <c r="O35" s="152">
        <f t="shared" si="31"/>
        <v>3425497239044</v>
      </c>
      <c r="P35" s="152">
        <f t="shared" si="31"/>
        <v>450279168361366</v>
      </c>
      <c r="Q35" s="152">
        <f t="shared" si="31"/>
        <v>9.44235E+16</v>
      </c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6">
        <v>32.0</v>
      </c>
      <c r="C36" s="152">
        <f t="shared" ref="C36:Q36" si="32">C35/(1-C$2*C$3^($B36-1))</f>
        <v>4.253868811</v>
      </c>
      <c r="D36" s="152">
        <f t="shared" si="32"/>
        <v>10.31865217</v>
      </c>
      <c r="E36" s="152">
        <f t="shared" si="32"/>
        <v>27.88933729</v>
      </c>
      <c r="F36" s="152">
        <f t="shared" si="32"/>
        <v>93.90397006</v>
      </c>
      <c r="G36" s="152">
        <f t="shared" si="32"/>
        <v>379.3340325</v>
      </c>
      <c r="H36" s="152">
        <f t="shared" si="32"/>
        <v>1987.918238</v>
      </c>
      <c r="I36" s="152">
        <f t="shared" si="32"/>
        <v>14146.88043</v>
      </c>
      <c r="J36" s="152">
        <f t="shared" si="32"/>
        <v>139669.1929</v>
      </c>
      <c r="K36" s="152">
        <f t="shared" si="32"/>
        <v>1910691.25</v>
      </c>
      <c r="L36" s="152">
        <f t="shared" si="32"/>
        <v>38147668.87</v>
      </c>
      <c r="M36" s="152">
        <f t="shared" si="32"/>
        <v>1214158947</v>
      </c>
      <c r="N36" s="152">
        <f t="shared" si="32"/>
        <v>62875391618</v>
      </c>
      <c r="O36" s="152">
        <f t="shared" si="32"/>
        <v>5439638251242</v>
      </c>
      <c r="P36" s="152">
        <f t="shared" si="32"/>
        <v>787492195226763</v>
      </c>
      <c r="Q36" s="152">
        <f t="shared" si="32"/>
        <v>1.84773E+17</v>
      </c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6">
        <v>33.0</v>
      </c>
      <c r="C37" s="152">
        <f t="shared" ref="C37:Q37" si="33">C36/(1-C$2*C$3^($B37-1))</f>
        <v>4.309448034</v>
      </c>
      <c r="D37" s="152">
        <f t="shared" si="33"/>
        <v>10.54951783</v>
      </c>
      <c r="E37" s="152">
        <f t="shared" si="33"/>
        <v>28.8342737</v>
      </c>
      <c r="F37" s="152">
        <f t="shared" si="33"/>
        <v>98.51029795</v>
      </c>
      <c r="G37" s="152">
        <f t="shared" si="33"/>
        <v>405.138233</v>
      </c>
      <c r="H37" s="152">
        <f t="shared" si="33"/>
        <v>2171.324506</v>
      </c>
      <c r="I37" s="152">
        <f t="shared" si="33"/>
        <v>15888.8678</v>
      </c>
      <c r="J37" s="152">
        <f t="shared" si="33"/>
        <v>162298.206</v>
      </c>
      <c r="K37" s="152">
        <f t="shared" si="33"/>
        <v>2312536.954</v>
      </c>
      <c r="L37" s="152">
        <f t="shared" si="33"/>
        <v>48469343.94</v>
      </c>
      <c r="M37" s="152">
        <f t="shared" si="33"/>
        <v>1635025389</v>
      </c>
      <c r="N37" s="152">
        <f t="shared" si="33"/>
        <v>90700252655</v>
      </c>
      <c r="O37" s="152">
        <f t="shared" si="33"/>
        <v>8507997035414</v>
      </c>
      <c r="P37" s="152">
        <f t="shared" si="33"/>
        <v>1.35392E+15</v>
      </c>
      <c r="Q37" s="152">
        <f t="shared" si="33"/>
        <v>3.54784E+17</v>
      </c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6">
        <v>34.0</v>
      </c>
      <c r="C38" s="152">
        <f t="shared" ref="C38:Q38" si="34">C37/(1-C$2*C$3^($B38-1))</f>
        <v>4.362219749</v>
      </c>
      <c r="D38" s="152">
        <f t="shared" si="34"/>
        <v>10.77133015</v>
      </c>
      <c r="E38" s="152">
        <f t="shared" si="34"/>
        <v>29.75477025</v>
      </c>
      <c r="F38" s="152">
        <f t="shared" si="34"/>
        <v>103.0746052</v>
      </c>
      <c r="G38" s="152">
        <f t="shared" si="34"/>
        <v>431.2310397</v>
      </c>
      <c r="H38" s="152">
        <f t="shared" si="34"/>
        <v>2361.412268</v>
      </c>
      <c r="I38" s="152">
        <f t="shared" si="34"/>
        <v>17749.19151</v>
      </c>
      <c r="J38" s="152">
        <f t="shared" si="34"/>
        <v>187349.0258</v>
      </c>
      <c r="K38" s="152">
        <f t="shared" si="34"/>
        <v>2776705.287</v>
      </c>
      <c r="L38" s="152">
        <f t="shared" si="34"/>
        <v>61006043.4</v>
      </c>
      <c r="M38" s="152">
        <f t="shared" si="34"/>
        <v>2177622955</v>
      </c>
      <c r="N38" s="152">
        <f t="shared" si="34"/>
        <v>129180858818</v>
      </c>
      <c r="O38" s="152">
        <f t="shared" si="34"/>
        <v>13114796758872</v>
      </c>
      <c r="P38" s="152">
        <f t="shared" si="34"/>
        <v>2.28989E+15</v>
      </c>
      <c r="Q38" s="152">
        <f t="shared" si="34"/>
        <v>6.68914E+17</v>
      </c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6">
        <v>35.0</v>
      </c>
      <c r="C39" s="152">
        <f t="shared" ref="C39:Q39" si="35">C38/(1-C$2*C$3^($B39-1))</f>
        <v>4.412287759</v>
      </c>
      <c r="D39" s="152">
        <f t="shared" si="35"/>
        <v>10.98418013</v>
      </c>
      <c r="E39" s="152">
        <f t="shared" si="35"/>
        <v>30.64985887</v>
      </c>
      <c r="F39" s="152">
        <f t="shared" si="35"/>
        <v>107.5861963</v>
      </c>
      <c r="G39" s="152">
        <f t="shared" si="35"/>
        <v>457.5309885</v>
      </c>
      <c r="H39" s="152">
        <f t="shared" si="35"/>
        <v>2557.617623</v>
      </c>
      <c r="I39" s="152">
        <f t="shared" si="35"/>
        <v>19725.70797</v>
      </c>
      <c r="J39" s="152">
        <f t="shared" si="35"/>
        <v>214906.4455</v>
      </c>
      <c r="K39" s="152">
        <f t="shared" si="35"/>
        <v>3308803.454</v>
      </c>
      <c r="L39" s="152">
        <f t="shared" si="35"/>
        <v>76096498.7</v>
      </c>
      <c r="M39" s="152">
        <f t="shared" si="35"/>
        <v>2869810400</v>
      </c>
      <c r="N39" s="152">
        <f t="shared" si="35"/>
        <v>181751107758</v>
      </c>
      <c r="O39" s="152">
        <f t="shared" si="35"/>
        <v>19935373533306</v>
      </c>
      <c r="P39" s="152">
        <f t="shared" si="35"/>
        <v>3.81229E+15</v>
      </c>
      <c r="Q39" s="152">
        <f t="shared" si="35"/>
        <v>1.23923E+18</v>
      </c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6">
        <v>36.0</v>
      </c>
      <c r="C40" s="152">
        <f t="shared" ref="C40:Q40" si="36">C39/(1-C$2*C$3^($B40-1))</f>
        <v>4.459756807</v>
      </c>
      <c r="D40" s="152">
        <f t="shared" si="36"/>
        <v>11.18819203</v>
      </c>
      <c r="E40" s="152">
        <f t="shared" si="36"/>
        <v>31.51877711</v>
      </c>
      <c r="F40" s="152">
        <f t="shared" si="36"/>
        <v>112.0353587</v>
      </c>
      <c r="G40" s="152">
        <f t="shared" si="36"/>
        <v>483.9591337</v>
      </c>
      <c r="H40" s="152">
        <f t="shared" si="36"/>
        <v>2759.349663</v>
      </c>
      <c r="I40" s="152">
        <f t="shared" si="36"/>
        <v>21815.43525</v>
      </c>
      <c r="J40" s="152">
        <f t="shared" si="36"/>
        <v>245039.552</v>
      </c>
      <c r="K40" s="152">
        <f t="shared" si="36"/>
        <v>3914363.177</v>
      </c>
      <c r="L40" s="152">
        <f t="shared" si="36"/>
        <v>94105005.61</v>
      </c>
      <c r="M40" s="152">
        <f t="shared" si="36"/>
        <v>3743937173</v>
      </c>
      <c r="N40" s="152">
        <f t="shared" si="36"/>
        <v>252732222025</v>
      </c>
      <c r="O40" s="152">
        <f t="shared" si="36"/>
        <v>29898824751170</v>
      </c>
      <c r="P40" s="152">
        <f t="shared" si="36"/>
        <v>6.25124E+15</v>
      </c>
      <c r="Q40" s="152">
        <f t="shared" si="36"/>
        <v>2.25732E+18</v>
      </c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6">
        <v>37.0</v>
      </c>
      <c r="C41" s="152">
        <f t="shared" ref="C41:Q41" si="37">C40/(1-C$2*C$3^($B41-1))</f>
        <v>4.504731802</v>
      </c>
      <c r="D41" s="152">
        <f t="shared" si="37"/>
        <v>11.38351878</v>
      </c>
      <c r="E41" s="152">
        <f t="shared" si="37"/>
        <v>32.36095308</v>
      </c>
      <c r="F41" s="152">
        <f t="shared" si="37"/>
        <v>116.4133608</v>
      </c>
      <c r="G41" s="152">
        <f t="shared" si="37"/>
        <v>510.4396213</v>
      </c>
      <c r="H41" s="152">
        <f t="shared" si="37"/>
        <v>2965.997991</v>
      </c>
      <c r="I41" s="152">
        <f t="shared" si="37"/>
        <v>24014.60676</v>
      </c>
      <c r="J41" s="152">
        <f t="shared" si="37"/>
        <v>277800.7469</v>
      </c>
      <c r="K41" s="152">
        <f t="shared" si="37"/>
        <v>4598766.845</v>
      </c>
      <c r="L41" s="152">
        <f t="shared" si="37"/>
        <v>115419286.2</v>
      </c>
      <c r="M41" s="152">
        <f t="shared" si="37"/>
        <v>4837169719</v>
      </c>
      <c r="N41" s="152">
        <f t="shared" si="37"/>
        <v>347498661250</v>
      </c>
      <c r="O41" s="152">
        <f t="shared" si="37"/>
        <v>44266662621251</v>
      </c>
      <c r="P41" s="152">
        <f t="shared" si="37"/>
        <v>1.01019E+16</v>
      </c>
      <c r="Q41" s="152">
        <f t="shared" si="37"/>
        <v>4.04534E+18</v>
      </c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6">
        <v>38.0</v>
      </c>
      <c r="C42" s="152">
        <f t="shared" ref="C42:Q42" si="38">C41/(1-C$2*C$3^($B42-1))</f>
        <v>4.547317156</v>
      </c>
      <c r="D42" s="152">
        <f t="shared" si="38"/>
        <v>11.57033771</v>
      </c>
      <c r="E42" s="152">
        <f t="shared" si="38"/>
        <v>33.17599029</v>
      </c>
      <c r="F42" s="152">
        <f t="shared" si="38"/>
        <v>120.7124368</v>
      </c>
      <c r="G42" s="152">
        <f t="shared" si="38"/>
        <v>536.9001636</v>
      </c>
      <c r="H42" s="152">
        <f t="shared" si="38"/>
        <v>3176.939937</v>
      </c>
      <c r="I42" s="152">
        <f t="shared" si="38"/>
        <v>26318.73429</v>
      </c>
      <c r="J42" s="152">
        <f t="shared" si="38"/>
        <v>313225.0595</v>
      </c>
      <c r="K42" s="152">
        <f t="shared" si="38"/>
        <v>5367174.586</v>
      </c>
      <c r="L42" s="152">
        <f t="shared" si="38"/>
        <v>140447764.1</v>
      </c>
      <c r="M42" s="152">
        <f t="shared" si="38"/>
        <v>6191770953</v>
      </c>
      <c r="N42" s="152">
        <f t="shared" si="38"/>
        <v>472659728582</v>
      </c>
      <c r="O42" s="152">
        <f t="shared" si="38"/>
        <v>64730188610879</v>
      </c>
      <c r="P42" s="152">
        <f t="shared" si="38"/>
        <v>1.60964E+16</v>
      </c>
      <c r="Q42" s="152">
        <f t="shared" si="38"/>
        <v>7.13659E+18</v>
      </c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6">
        <v>39.0</v>
      </c>
      <c r="C43" s="152">
        <f t="shared" ref="C43:Q43" si="39">C42/(1-C$2*C$3^($B43-1))</f>
        <v>4.587616218</v>
      </c>
      <c r="D43" s="152">
        <f t="shared" si="39"/>
        <v>11.74884653</v>
      </c>
      <c r="E43" s="152">
        <f t="shared" si="39"/>
        <v>33.96365234</v>
      </c>
      <c r="F43" s="152">
        <f t="shared" si="39"/>
        <v>124.9257632</v>
      </c>
      <c r="G43" s="152">
        <f t="shared" si="39"/>
        <v>563.2724204</v>
      </c>
      <c r="H43" s="152">
        <f t="shared" si="39"/>
        <v>3391.547355</v>
      </c>
      <c r="I43" s="152">
        <f t="shared" si="39"/>
        <v>28722.67825</v>
      </c>
      <c r="J43" s="152">
        <f t="shared" si="39"/>
        <v>351329.7527</v>
      </c>
      <c r="K43" s="152">
        <f t="shared" si="39"/>
        <v>6224453.88</v>
      </c>
      <c r="L43" s="152">
        <f t="shared" si="39"/>
        <v>169616290</v>
      </c>
      <c r="M43" s="152">
        <f t="shared" si="39"/>
        <v>7855321037</v>
      </c>
      <c r="N43" s="152">
        <f t="shared" si="39"/>
        <v>636255176625</v>
      </c>
      <c r="O43" s="152">
        <f t="shared" si="39"/>
        <v>93529410014394</v>
      </c>
      <c r="P43" s="152">
        <f t="shared" si="39"/>
        <v>2.53027E+16</v>
      </c>
      <c r="Q43" s="152">
        <f t="shared" si="39"/>
        <v>1.24005E+19</v>
      </c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6">
        <v>40.0</v>
      </c>
      <c r="C44" s="152">
        <f t="shared" ref="C44:Q44" si="40">C43/(1-C$2*C$3^($B44-1))</f>
        <v>4.625730791</v>
      </c>
      <c r="D44" s="152">
        <f t="shared" si="40"/>
        <v>11.91925978</v>
      </c>
      <c r="E44" s="152">
        <f t="shared" si="40"/>
        <v>34.72384798</v>
      </c>
      <c r="F44" s="152">
        <f t="shared" si="40"/>
        <v>129.0474256</v>
      </c>
      <c r="G44" s="152">
        <f t="shared" si="40"/>
        <v>589.4922911</v>
      </c>
      <c r="H44" s="152">
        <f t="shared" si="40"/>
        <v>3609.19293</v>
      </c>
      <c r="I44" s="152">
        <f t="shared" si="40"/>
        <v>31220.72325</v>
      </c>
      <c r="J44" s="152">
        <f t="shared" si="40"/>
        <v>392114.2141</v>
      </c>
      <c r="K44" s="152">
        <f t="shared" si="40"/>
        <v>7175113.199</v>
      </c>
      <c r="L44" s="152">
        <f t="shared" si="40"/>
        <v>203364372.9</v>
      </c>
      <c r="M44" s="152">
        <f t="shared" si="40"/>
        <v>9880868467</v>
      </c>
      <c r="N44" s="152">
        <f t="shared" si="40"/>
        <v>847962423202</v>
      </c>
      <c r="O44" s="152">
        <f t="shared" si="40"/>
        <v>133596340256328</v>
      </c>
      <c r="P44" s="152">
        <f t="shared" si="40"/>
        <v>3.92582E+16</v>
      </c>
      <c r="Q44" s="152">
        <f t="shared" si="40"/>
        <v>2.12338E+19</v>
      </c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6">
        <v>41.0</v>
      </c>
      <c r="C45" s="152">
        <f t="shared" ref="C45:Q45" si="41">C44/(1-C$2*C$3^($B45-1))</f>
        <v>4.661760729</v>
      </c>
      <c r="D45" s="152">
        <f t="shared" si="41"/>
        <v>12.0818055</v>
      </c>
      <c r="E45" s="152">
        <f t="shared" si="41"/>
        <v>35.45661652</v>
      </c>
      <c r="F45" s="152">
        <f t="shared" si="41"/>
        <v>133.0723801</v>
      </c>
      <c r="G45" s="152">
        <f t="shared" si="41"/>
        <v>615.500124</v>
      </c>
      <c r="H45" s="152">
        <f t="shared" si="41"/>
        <v>3829.255936</v>
      </c>
      <c r="I45" s="152">
        <f t="shared" si="41"/>
        <v>33806.65715</v>
      </c>
      <c r="J45" s="152">
        <f t="shared" si="41"/>
        <v>435560.1205</v>
      </c>
      <c r="K45" s="152">
        <f t="shared" si="41"/>
        <v>8223241.008</v>
      </c>
      <c r="L45" s="152">
        <f t="shared" si="41"/>
        <v>242140984.1</v>
      </c>
      <c r="M45" s="152">
        <f t="shared" si="41"/>
        <v>12327001729</v>
      </c>
      <c r="N45" s="152">
        <f t="shared" si="41"/>
        <v>1119312295018</v>
      </c>
      <c r="O45" s="152">
        <f t="shared" si="41"/>
        <v>188725442082605</v>
      </c>
      <c r="P45" s="152">
        <f t="shared" si="41"/>
        <v>6.01478E+16</v>
      </c>
      <c r="Q45" s="152">
        <f t="shared" si="41"/>
        <v>3.58487E+19</v>
      </c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6">
        <v>42.0</v>
      </c>
      <c r="C46" s="152">
        <f t="shared" ref="C46:Q46" si="42">C45/(1-C$2*C$3^($B46-1))</f>
        <v>4.695803609</v>
      </c>
      <c r="D46" s="152">
        <f t="shared" si="42"/>
        <v>12.23672227</v>
      </c>
      <c r="E46" s="152">
        <f t="shared" si="42"/>
        <v>36.16211377</v>
      </c>
      <c r="F46" s="152">
        <f t="shared" si="42"/>
        <v>136.9964091</v>
      </c>
      <c r="G46" s="152">
        <f t="shared" si="42"/>
        <v>641.2408509</v>
      </c>
      <c r="H46" s="152">
        <f t="shared" si="42"/>
        <v>4051.127399</v>
      </c>
      <c r="I46" s="152">
        <f t="shared" si="42"/>
        <v>36473.85181</v>
      </c>
      <c r="J46" s="152">
        <f t="shared" si="42"/>
        <v>481631.8551</v>
      </c>
      <c r="K46" s="152">
        <f t="shared" si="42"/>
        <v>9372451.247</v>
      </c>
      <c r="L46" s="152">
        <f t="shared" si="42"/>
        <v>286400014.7</v>
      </c>
      <c r="M46" s="152">
        <f t="shared" si="42"/>
        <v>15257833452</v>
      </c>
      <c r="N46" s="152">
        <f t="shared" si="42"/>
        <v>1463909557032</v>
      </c>
      <c r="O46" s="152">
        <f t="shared" si="42"/>
        <v>263773772036582</v>
      </c>
      <c r="P46" s="152">
        <f t="shared" si="42"/>
        <v>9.10386E+16</v>
      </c>
      <c r="Q46" s="152">
        <f t="shared" si="42"/>
        <v>5.97009E+19</v>
      </c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6">
        <v>43.0</v>
      </c>
      <c r="C47" s="152">
        <f t="shared" ref="C47:Q47" si="43">C46/(1-C$2*C$3^($B47-1))</f>
        <v>4.727954462</v>
      </c>
      <c r="D47" s="152">
        <f t="shared" si="43"/>
        <v>12.38425653</v>
      </c>
      <c r="E47" s="152">
        <f t="shared" si="43"/>
        <v>36.84059868</v>
      </c>
      <c r="F47" s="152">
        <f t="shared" si="43"/>
        <v>140.8160737</v>
      </c>
      <c r="G47" s="152">
        <f t="shared" si="43"/>
        <v>666.6640542</v>
      </c>
      <c r="H47" s="152">
        <f t="shared" si="43"/>
        <v>4274.214662</v>
      </c>
      <c r="I47" s="152">
        <f t="shared" si="43"/>
        <v>39215.34394</v>
      </c>
      <c r="J47" s="152">
        <f t="shared" si="43"/>
        <v>530277.1549</v>
      </c>
      <c r="K47" s="152">
        <f t="shared" si="43"/>
        <v>10625836.23</v>
      </c>
      <c r="L47" s="152">
        <f t="shared" si="43"/>
        <v>336595476</v>
      </c>
      <c r="M47" s="152">
        <f t="shared" si="43"/>
        <v>18742890966</v>
      </c>
      <c r="N47" s="152">
        <f t="shared" si="43"/>
        <v>1897653887074</v>
      </c>
      <c r="O47" s="152">
        <f t="shared" si="43"/>
        <v>364893053544820</v>
      </c>
      <c r="P47" s="152">
        <f t="shared" si="43"/>
        <v>1.36186E+17</v>
      </c>
      <c r="Q47" s="152">
        <f t="shared" si="43"/>
        <v>9.81178E+19</v>
      </c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6">
        <v>44.0</v>
      </c>
      <c r="C48" s="152">
        <f t="shared" ref="C48:Q48" si="44">C47/(1-C$2*C$3^($B48-1))</f>
        <v>4.758305558</v>
      </c>
      <c r="D48" s="152">
        <f t="shared" si="44"/>
        <v>12.52466023</v>
      </c>
      <c r="E48" s="152">
        <f t="shared" si="44"/>
        <v>37.49242063</v>
      </c>
      <c r="F48" s="152">
        <f t="shared" si="44"/>
        <v>144.5286636</v>
      </c>
      <c r="G48" s="152">
        <f t="shared" si="44"/>
        <v>691.7239732</v>
      </c>
      <c r="H48" s="152">
        <f t="shared" si="44"/>
        <v>4497.945331</v>
      </c>
      <c r="I48" s="152">
        <f t="shared" si="44"/>
        <v>42023.91472</v>
      </c>
      <c r="J48" s="152">
        <f t="shared" si="44"/>
        <v>581427.9618</v>
      </c>
      <c r="K48" s="152">
        <f t="shared" si="44"/>
        <v>11985927.62</v>
      </c>
      <c r="L48" s="152">
        <f t="shared" si="44"/>
        <v>393176536.3</v>
      </c>
      <c r="M48" s="152">
        <f t="shared" si="44"/>
        <v>22856909420</v>
      </c>
      <c r="N48" s="152">
        <f t="shared" si="44"/>
        <v>2438956447547</v>
      </c>
      <c r="O48" s="152">
        <f t="shared" si="44"/>
        <v>499795437068870</v>
      </c>
      <c r="P48" s="152">
        <f t="shared" si="44"/>
        <v>2.01424E+17</v>
      </c>
      <c r="Q48" s="152">
        <f t="shared" si="44"/>
        <v>1.59206E+20</v>
      </c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6">
        <v>45.0</v>
      </c>
      <c r="C49" s="152">
        <f t="shared" ref="C49:Q49" si="45">C48/(1-C$2*C$3^($B49-1))</f>
        <v>4.786946245</v>
      </c>
      <c r="D49" s="152">
        <f t="shared" si="45"/>
        <v>12.65818866</v>
      </c>
      <c r="E49" s="152">
        <f t="shared" si="45"/>
        <v>38.1180076</v>
      </c>
      <c r="F49" s="152">
        <f t="shared" si="45"/>
        <v>148.1321449</v>
      </c>
      <c r="G49" s="152">
        <f t="shared" si="45"/>
        <v>716.3794591</v>
      </c>
      <c r="H49" s="152">
        <f t="shared" si="45"/>
        <v>4721.770609</v>
      </c>
      <c r="I49" s="152">
        <f t="shared" si="45"/>
        <v>44892.16688</v>
      </c>
      <c r="J49" s="152">
        <f t="shared" si="45"/>
        <v>635001.4465</v>
      </c>
      <c r="K49" s="152">
        <f t="shared" si="45"/>
        <v>13454665.97</v>
      </c>
      <c r="L49" s="152">
        <f t="shared" si="45"/>
        <v>456582492.5</v>
      </c>
      <c r="M49" s="152">
        <f t="shared" si="45"/>
        <v>27679525992</v>
      </c>
      <c r="N49" s="152">
        <f t="shared" si="45"/>
        <v>3108946814776</v>
      </c>
      <c r="O49" s="152">
        <f t="shared" si="45"/>
        <v>678054097086929</v>
      </c>
      <c r="P49" s="152">
        <f t="shared" si="45"/>
        <v>2.94668E+17</v>
      </c>
      <c r="Q49" s="152">
        <f t="shared" si="45"/>
        <v>2.55152E+20</v>
      </c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6">
        <v>46.0</v>
      </c>
      <c r="C50" s="152">
        <f t="shared" ref="C50:Q50" si="46">C49/(1-C$2*C$3^($B50-1))</f>
        <v>4.813962831</v>
      </c>
      <c r="D50" s="152">
        <f t="shared" si="46"/>
        <v>12.78509868</v>
      </c>
      <c r="E50" s="152">
        <f t="shared" si="46"/>
        <v>38.717855</v>
      </c>
      <c r="F50" s="152">
        <f t="shared" si="46"/>
        <v>151.6251086</v>
      </c>
      <c r="G50" s="152">
        <f t="shared" si="46"/>
        <v>740.5938846</v>
      </c>
      <c r="H50" s="152">
        <f t="shared" si="46"/>
        <v>4945.168055</v>
      </c>
      <c r="I50" s="152">
        <f t="shared" si="46"/>
        <v>47812.59819</v>
      </c>
      <c r="J50" s="152">
        <f t="shared" si="46"/>
        <v>690901.178</v>
      </c>
      <c r="K50" s="152">
        <f t="shared" si="46"/>
        <v>15033378.99</v>
      </c>
      <c r="L50" s="152">
        <f t="shared" si="46"/>
        <v>527237774.4</v>
      </c>
      <c r="M50" s="152">
        <f t="shared" si="46"/>
        <v>33294876208</v>
      </c>
      <c r="N50" s="152">
        <f t="shared" si="46"/>
        <v>3931664773478</v>
      </c>
      <c r="O50" s="152">
        <f t="shared" si="46"/>
        <v>911439071257087</v>
      </c>
      <c r="P50" s="152">
        <f t="shared" si="46"/>
        <v>4.26536E+17</v>
      </c>
      <c r="Q50" s="152">
        <f t="shared" si="46"/>
        <v>4.04049E+20</v>
      </c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6">
        <v>47.0</v>
      </c>
      <c r="C51" s="152">
        <f t="shared" ref="C51:Q51" si="47">C50/(1-C$2*C$3^($B51-1))</f>
        <v>4.839438496</v>
      </c>
      <c r="D51" s="152">
        <f t="shared" si="47"/>
        <v>12.90564702</v>
      </c>
      <c r="E51" s="152">
        <f t="shared" si="47"/>
        <v>39.29251547</v>
      </c>
      <c r="F51" s="152">
        <f t="shared" si="47"/>
        <v>155.006718</v>
      </c>
      <c r="G51" s="152">
        <f t="shared" si="47"/>
        <v>764.3350158</v>
      </c>
      <c r="H51" s="152">
        <f t="shared" si="47"/>
        <v>5167.643773</v>
      </c>
      <c r="I51" s="152">
        <f t="shared" si="47"/>
        <v>50777.6707</v>
      </c>
      <c r="J51" s="152">
        <f t="shared" si="47"/>
        <v>749018.4052</v>
      </c>
      <c r="K51" s="152">
        <f t="shared" si="47"/>
        <v>16722768.68</v>
      </c>
      <c r="L51" s="152">
        <f t="shared" si="47"/>
        <v>605547073.8</v>
      </c>
      <c r="M51" s="152">
        <f t="shared" si="47"/>
        <v>39791095844</v>
      </c>
      <c r="N51" s="152">
        <f t="shared" si="47"/>
        <v>4934231385265</v>
      </c>
      <c r="O51" s="152">
        <f t="shared" si="47"/>
        <v>1.21429E+15</v>
      </c>
      <c r="P51" s="152">
        <f t="shared" si="47"/>
        <v>6.11125E+17</v>
      </c>
      <c r="Q51" s="152">
        <f t="shared" si="47"/>
        <v>6.32455E+20</v>
      </c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6">
        <v>48.0</v>
      </c>
      <c r="C52" s="152">
        <f t="shared" ref="C52:Q52" si="48">C51/(1-C$2*C$3^($B52-1))</f>
        <v>4.863453251</v>
      </c>
      <c r="D52" s="152">
        <f t="shared" si="48"/>
        <v>13.0200889</v>
      </c>
      <c r="E52" s="152">
        <f t="shared" si="48"/>
        <v>39.84258937</v>
      </c>
      <c r="F52" s="152">
        <f t="shared" si="48"/>
        <v>158.2766579</v>
      </c>
      <c r="G52" s="152">
        <f t="shared" si="48"/>
        <v>787.5748539</v>
      </c>
      <c r="H52" s="152">
        <f t="shared" si="48"/>
        <v>5388.73408</v>
      </c>
      <c r="I52" s="152">
        <f t="shared" si="48"/>
        <v>53779.87487</v>
      </c>
      <c r="J52" s="152">
        <f t="shared" si="48"/>
        <v>809233.4223</v>
      </c>
      <c r="K52" s="152">
        <f t="shared" si="48"/>
        <v>18522906.99</v>
      </c>
      <c r="L52" s="152">
        <f t="shared" si="48"/>
        <v>691890688.9</v>
      </c>
      <c r="M52" s="152">
        <f t="shared" si="48"/>
        <v>47259734231</v>
      </c>
      <c r="N52" s="152">
        <f t="shared" si="48"/>
        <v>6146993806422</v>
      </c>
      <c r="O52" s="152">
        <f t="shared" si="48"/>
        <v>1.60391E+15</v>
      </c>
      <c r="P52" s="152">
        <f t="shared" si="48"/>
        <v>8.66968E+17</v>
      </c>
      <c r="Q52" s="152">
        <f t="shared" si="48"/>
        <v>9.78911E+20</v>
      </c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6">
        <v>49.0</v>
      </c>
      <c r="C53" s="152">
        <f t="shared" ref="C53:Q53" si="49">C52/(1-C$2*C$3^($B53-1))</f>
        <v>4.886083908</v>
      </c>
      <c r="D53" s="152">
        <f t="shared" si="49"/>
        <v>13.12867686</v>
      </c>
      <c r="E53" s="152">
        <f t="shared" si="49"/>
        <v>40.36871616</v>
      </c>
      <c r="F53" s="152">
        <f t="shared" si="49"/>
        <v>161.4350846</v>
      </c>
      <c r="G53" s="152">
        <f t="shared" si="49"/>
        <v>810.2894515</v>
      </c>
      <c r="H53" s="152">
        <f t="shared" si="49"/>
        <v>5608.006683</v>
      </c>
      <c r="I53" s="152">
        <f t="shared" si="49"/>
        <v>56811.78825</v>
      </c>
      <c r="J53" s="152">
        <f t="shared" si="49"/>
        <v>871416.9897</v>
      </c>
      <c r="K53" s="152">
        <f t="shared" si="49"/>
        <v>20433239.79</v>
      </c>
      <c r="L53" s="152">
        <f t="shared" si="49"/>
        <v>786620163.9</v>
      </c>
      <c r="M53" s="152">
        <f t="shared" si="49"/>
        <v>55795086965</v>
      </c>
      <c r="N53" s="152">
        <f t="shared" si="49"/>
        <v>7603638565040</v>
      </c>
      <c r="O53" s="152">
        <f t="shared" si="49"/>
        <v>2.10102E+15</v>
      </c>
      <c r="P53" s="152">
        <f t="shared" si="49"/>
        <v>1.21819E+18</v>
      </c>
      <c r="Q53" s="152">
        <f t="shared" si="49"/>
        <v>1.49873E+21</v>
      </c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6">
        <v>50.0</v>
      </c>
      <c r="C54" s="152">
        <f t="shared" ref="C54:Q54" si="50">C53/(1-C$2*C$3^($B54-1))</f>
        <v>4.907404089</v>
      </c>
      <c r="D54" s="152">
        <f t="shared" si="50"/>
        <v>13.23165964</v>
      </c>
      <c r="E54" s="152">
        <f t="shared" si="50"/>
        <v>40.87156651</v>
      </c>
      <c r="F54" s="152">
        <f t="shared" si="50"/>
        <v>164.4825779</v>
      </c>
      <c r="G54" s="152">
        <f t="shared" si="50"/>
        <v>832.4587102</v>
      </c>
      <c r="H54" s="152">
        <f t="shared" si="50"/>
        <v>5825.061416</v>
      </c>
      <c r="I54" s="152">
        <f t="shared" si="50"/>
        <v>59866.12834</v>
      </c>
      <c r="J54" s="152">
        <f t="shared" si="50"/>
        <v>935431.7817</v>
      </c>
      <c r="K54" s="152">
        <f t="shared" si="50"/>
        <v>22452598.56</v>
      </c>
      <c r="L54" s="152">
        <f t="shared" si="50"/>
        <v>890054294.5</v>
      </c>
      <c r="M54" s="152">
        <f t="shared" si="50"/>
        <v>65493457959</v>
      </c>
      <c r="N54" s="152">
        <f t="shared" si="50"/>
        <v>9341268407897</v>
      </c>
      <c r="O54" s="152">
        <f t="shared" si="50"/>
        <v>2.7302E+15</v>
      </c>
      <c r="P54" s="152">
        <f t="shared" si="50"/>
        <v>1.69589E+18</v>
      </c>
      <c r="Q54" s="152">
        <f t="shared" si="50"/>
        <v>2.27048E+21</v>
      </c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6">
        <v>51.0</v>
      </c>
      <c r="C55" s="152">
        <f t="shared" ref="C55:Q55" si="51">C54/(1-C$2*C$3^($B55-1))</f>
        <v>4.927484249</v>
      </c>
      <c r="D55" s="152">
        <f t="shared" si="51"/>
        <v>13.32928141</v>
      </c>
      <c r="E55" s="152">
        <f t="shared" si="51"/>
        <v>41.35183518</v>
      </c>
      <c r="F55" s="152">
        <f t="shared" si="51"/>
        <v>167.4200952</v>
      </c>
      <c r="G55" s="152">
        <f t="shared" si="51"/>
        <v>854.0661638</v>
      </c>
      <c r="H55" s="152">
        <f t="shared" si="51"/>
        <v>6039.530569</v>
      </c>
      <c r="I55" s="152">
        <f t="shared" si="51"/>
        <v>62935.7996</v>
      </c>
      <c r="J55" s="152">
        <f t="shared" si="51"/>
        <v>1001133.839</v>
      </c>
      <c r="K55" s="152">
        <f t="shared" si="51"/>
        <v>24579219.22</v>
      </c>
      <c r="L55" s="152">
        <f t="shared" si="51"/>
        <v>1002475562</v>
      </c>
      <c r="M55" s="152">
        <f t="shared" si="51"/>
        <v>76452362375</v>
      </c>
      <c r="N55" s="152">
        <f t="shared" si="51"/>
        <v>11400438383565</v>
      </c>
      <c r="O55" s="152">
        <f t="shared" si="51"/>
        <v>3.52039E+15</v>
      </c>
      <c r="P55" s="152">
        <f t="shared" si="51"/>
        <v>2.33982E+18</v>
      </c>
      <c r="Q55" s="152">
        <f t="shared" si="51"/>
        <v>3.40455E+21</v>
      </c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6">
        <v>52.0</v>
      </c>
      <c r="C56" s="152">
        <f t="shared" ref="C56:Q56" si="52">C55/(1-C$2*C$3^($B56-1))</f>
        <v>4.946391712</v>
      </c>
      <c r="D56" s="152">
        <f t="shared" si="52"/>
        <v>13.42178098</v>
      </c>
      <c r="E56" s="152">
        <f t="shared" si="52"/>
        <v>41.8102346</v>
      </c>
      <c r="F56" s="152">
        <f t="shared" si="52"/>
        <v>170.2489275</v>
      </c>
      <c r="G56" s="152">
        <f t="shared" si="52"/>
        <v>875.0987532</v>
      </c>
      <c r="H56" s="152">
        <f t="shared" si="52"/>
        <v>6251.078864</v>
      </c>
      <c r="I56" s="152">
        <f t="shared" si="52"/>
        <v>66013.93431</v>
      </c>
      <c r="J56" s="152">
        <f t="shared" si="52"/>
        <v>1068373.999</v>
      </c>
      <c r="K56" s="152">
        <f t="shared" si="52"/>
        <v>26810767.37</v>
      </c>
      <c r="L56" s="152">
        <f t="shared" si="52"/>
        <v>1124127040</v>
      </c>
      <c r="M56" s="152">
        <f t="shared" si="52"/>
        <v>88769683304</v>
      </c>
      <c r="N56" s="152">
        <f t="shared" si="52"/>
        <v>13825147524528</v>
      </c>
      <c r="O56" s="152">
        <f t="shared" si="52"/>
        <v>4.50537E+15</v>
      </c>
      <c r="P56" s="152">
        <f t="shared" si="52"/>
        <v>3.2003E+18</v>
      </c>
      <c r="Q56" s="152">
        <f t="shared" si="52"/>
        <v>5.0546E+21</v>
      </c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6">
        <v>53.0</v>
      </c>
      <c r="C57" s="152">
        <f t="shared" ref="C57:Q57" si="53">C56/(1-C$2*C$3^($B57-1))</f>
        <v>4.964190731</v>
      </c>
      <c r="D57" s="152">
        <f t="shared" si="53"/>
        <v>13.50939124</v>
      </c>
      <c r="E57" s="152">
        <f t="shared" si="53"/>
        <v>42.24748917</v>
      </c>
      <c r="F57" s="152">
        <f t="shared" si="53"/>
        <v>172.9706587</v>
      </c>
      <c r="G57" s="152">
        <f t="shared" si="53"/>
        <v>895.5465947</v>
      </c>
      <c r="H57" s="152">
        <f t="shared" si="53"/>
        <v>6459.403121</v>
      </c>
      <c r="I57" s="152">
        <f t="shared" si="53"/>
        <v>69093.92766</v>
      </c>
      <c r="J57" s="152">
        <f t="shared" si="53"/>
        <v>1136999.296</v>
      </c>
      <c r="K57" s="152">
        <f t="shared" si="53"/>
        <v>29144369.15</v>
      </c>
      <c r="L57" s="152">
        <f t="shared" si="53"/>
        <v>1255209818</v>
      </c>
      <c r="M57" s="152">
        <f t="shared" si="53"/>
        <v>102542795927</v>
      </c>
      <c r="N57" s="152">
        <f t="shared" si="53"/>
        <v>16662783306814</v>
      </c>
      <c r="O57" s="152">
        <f t="shared" si="53"/>
        <v>5.72431E+15</v>
      </c>
      <c r="P57" s="152">
        <f t="shared" si="53"/>
        <v>4.34051E+18</v>
      </c>
      <c r="Q57" s="152">
        <f t="shared" si="53"/>
        <v>7.4323E+21</v>
      </c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6">
        <v>54.0</v>
      </c>
      <c r="C58" s="152">
        <f t="shared" ref="C58:Q58" si="54">C57/(1-C$2*C$3^($B58-1))</f>
        <v>4.98094255</v>
      </c>
      <c r="D58" s="152">
        <f t="shared" si="54"/>
        <v>13.59233868</v>
      </c>
      <c r="E58" s="152">
        <f t="shared" si="54"/>
        <v>42.66433012</v>
      </c>
      <c r="F58" s="152">
        <f t="shared" si="54"/>
        <v>175.5871268</v>
      </c>
      <c r="G58" s="152">
        <f t="shared" si="54"/>
        <v>915.4027473</v>
      </c>
      <c r="H58" s="152">
        <f t="shared" si="54"/>
        <v>6664.231647</v>
      </c>
      <c r="I58" s="152">
        <f t="shared" si="54"/>
        <v>72169.46701</v>
      </c>
      <c r="J58" s="152">
        <f t="shared" si="54"/>
        <v>1206854.294</v>
      </c>
      <c r="K58" s="152">
        <f t="shared" si="54"/>
        <v>31576646.93</v>
      </c>
      <c r="L58" s="152">
        <f t="shared" si="54"/>
        <v>1395880957</v>
      </c>
      <c r="M58" s="152">
        <f t="shared" si="54"/>
        <v>117867673459</v>
      </c>
      <c r="N58" s="152">
        <f t="shared" si="54"/>
        <v>19964016975677</v>
      </c>
      <c r="O58" s="152">
        <f t="shared" si="54"/>
        <v>7.22223E+15</v>
      </c>
      <c r="P58" s="152">
        <f t="shared" si="54"/>
        <v>5.83911E+18</v>
      </c>
      <c r="Q58" s="152">
        <f t="shared" si="54"/>
        <v>1.08266E+22</v>
      </c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6">
        <v>55.0</v>
      </c>
      <c r="C59" s="152">
        <f t="shared" ref="C59:Q59" si="55">C58/(1-C$2*C$3^($B59-1))</f>
        <v>4.996705482</v>
      </c>
      <c r="D59" s="152">
        <f t="shared" si="55"/>
        <v>13.67084303</v>
      </c>
      <c r="E59" s="152">
        <f t="shared" si="55"/>
        <v>43.06149104</v>
      </c>
      <c r="F59" s="152">
        <f t="shared" si="55"/>
        <v>178.100388</v>
      </c>
      <c r="G59" s="152">
        <f t="shared" si="55"/>
        <v>934.6629802</v>
      </c>
      <c r="H59" s="152">
        <f t="shared" si="55"/>
        <v>6865.323397</v>
      </c>
      <c r="I59" s="152">
        <f t="shared" si="55"/>
        <v>75234.55568</v>
      </c>
      <c r="J59" s="152">
        <f t="shared" si="55"/>
        <v>1277782.364</v>
      </c>
      <c r="K59" s="152">
        <f t="shared" si="55"/>
        <v>34103758.89</v>
      </c>
      <c r="L59" s="152">
        <f t="shared" si="55"/>
        <v>1546251999</v>
      </c>
      <c r="M59" s="152">
        <f t="shared" si="55"/>
        <v>134837989350</v>
      </c>
      <c r="N59" s="152">
        <f t="shared" si="55"/>
        <v>23782648802447</v>
      </c>
      <c r="O59" s="152">
        <f t="shared" si="55"/>
        <v>9.05054E+15</v>
      </c>
      <c r="P59" s="152">
        <f t="shared" si="55"/>
        <v>7.79322E+18</v>
      </c>
      <c r="Q59" s="152">
        <f t="shared" si="55"/>
        <v>1.56284E+22</v>
      </c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6">
        <v>56.0</v>
      </c>
      <c r="C60" s="152">
        <f t="shared" ref="C60:Q60" si="56">C59/(1-C$2*C$3^($B60-1))</f>
        <v>5.011534995</v>
      </c>
      <c r="D60" s="152">
        <f t="shared" si="56"/>
        <v>13.74511698</v>
      </c>
      <c r="E60" s="152">
        <f t="shared" si="56"/>
        <v>43.43970391</v>
      </c>
      <c r="F60" s="152">
        <f t="shared" si="56"/>
        <v>180.5126832</v>
      </c>
      <c r="G60" s="152">
        <f t="shared" si="56"/>
        <v>953.3255451</v>
      </c>
      <c r="H60" s="152">
        <f t="shared" si="56"/>
        <v>7062.466952</v>
      </c>
      <c r="I60" s="152">
        <f t="shared" si="56"/>
        <v>78283.53153</v>
      </c>
      <c r="J60" s="152">
        <f t="shared" si="56"/>
        <v>1349626.873</v>
      </c>
      <c r="K60" s="152">
        <f t="shared" si="56"/>
        <v>36721441.75</v>
      </c>
      <c r="L60" s="152">
        <f t="shared" si="56"/>
        <v>1706388024</v>
      </c>
      <c r="M60" s="152">
        <f t="shared" si="56"/>
        <v>153544229984</v>
      </c>
      <c r="N60" s="152">
        <f t="shared" si="56"/>
        <v>28175403350878</v>
      </c>
      <c r="O60" s="152">
        <f t="shared" si="56"/>
        <v>1.12675E+16</v>
      </c>
      <c r="P60" s="152">
        <f t="shared" si="56"/>
        <v>1.03219E+19</v>
      </c>
      <c r="Q60" s="152">
        <f t="shared" si="56"/>
        <v>2.23615E+22</v>
      </c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6">
        <v>57.0</v>
      </c>
      <c r="C61" s="152">
        <f t="shared" ref="C61:Q61" si="57">C60/(1-C$2*C$3^($B61-1))</f>
        <v>5.025483794</v>
      </c>
      <c r="D61" s="152">
        <f t="shared" si="57"/>
        <v>13.81536597</v>
      </c>
      <c r="E61" s="152">
        <f t="shared" si="57"/>
        <v>43.79969564</v>
      </c>
      <c r="F61" s="152">
        <f t="shared" si="57"/>
        <v>182.8264077</v>
      </c>
      <c r="G61" s="152">
        <f t="shared" si="57"/>
        <v>971.3909525</v>
      </c>
      <c r="H61" s="152">
        <f t="shared" si="57"/>
        <v>7255.479332</v>
      </c>
      <c r="I61" s="152">
        <f t="shared" si="57"/>
        <v>81311.08066</v>
      </c>
      <c r="J61" s="152">
        <f t="shared" si="57"/>
        <v>1422232.286</v>
      </c>
      <c r="K61" s="152">
        <f t="shared" si="57"/>
        <v>39425055.8</v>
      </c>
      <c r="L61" s="152">
        <f t="shared" si="57"/>
        <v>1876307249</v>
      </c>
      <c r="M61" s="152">
        <f t="shared" si="57"/>
        <v>174072831622</v>
      </c>
      <c r="N61" s="152">
        <f t="shared" si="57"/>
        <v>33201675851082</v>
      </c>
      <c r="O61" s="152">
        <f t="shared" si="57"/>
        <v>1.39388E+16</v>
      </c>
      <c r="P61" s="152">
        <f t="shared" si="57"/>
        <v>1.35697E+19</v>
      </c>
      <c r="Q61" s="152">
        <f t="shared" si="57"/>
        <v>3.1722E+22</v>
      </c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6">
        <v>58.0</v>
      </c>
      <c r="C62" s="152">
        <f t="shared" ref="C62:Q62" si="58">C61/(1-C$2*C$3^($B62-1))</f>
        <v>5.038601922</v>
      </c>
      <c r="D62" s="152">
        <f t="shared" si="58"/>
        <v>13.88178808</v>
      </c>
      <c r="E62" s="152">
        <f t="shared" si="58"/>
        <v>44.14218513</v>
      </c>
      <c r="F62" s="152">
        <f t="shared" si="58"/>
        <v>185.0440826</v>
      </c>
      <c r="G62" s="152">
        <f t="shared" si="58"/>
        <v>988.8617565</v>
      </c>
      <c r="H62" s="152">
        <f t="shared" si="58"/>
        <v>7444.204692</v>
      </c>
      <c r="I62" s="152">
        <f t="shared" si="58"/>
        <v>84312.24669</v>
      </c>
      <c r="J62" s="152">
        <f t="shared" si="58"/>
        <v>1495445.179</v>
      </c>
      <c r="K62" s="152">
        <f t="shared" si="58"/>
        <v>42209631.37</v>
      </c>
      <c r="L62" s="152">
        <f t="shared" si="58"/>
        <v>2055981153</v>
      </c>
      <c r="M62" s="152">
        <f t="shared" si="58"/>
        <v>196505354500</v>
      </c>
      <c r="N62" s="152">
        <f t="shared" si="58"/>
        <v>38923231775875</v>
      </c>
      <c r="O62" s="152">
        <f t="shared" si="58"/>
        <v>1.71378E+16</v>
      </c>
      <c r="P62" s="152">
        <f t="shared" si="58"/>
        <v>1.77112E+19</v>
      </c>
      <c r="Q62" s="152">
        <f t="shared" si="58"/>
        <v>4.46272E+22</v>
      </c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6">
        <v>59.0</v>
      </c>
      <c r="C63" s="152">
        <f t="shared" ref="C63:Q63" si="59">C62/(1-C$2*C$3^($B63-1))</f>
        <v>5.050936848</v>
      </c>
      <c r="D63" s="152">
        <f t="shared" si="59"/>
        <v>13.94457399</v>
      </c>
      <c r="E63" s="152">
        <f t="shared" si="59"/>
        <v>44.4678807</v>
      </c>
      <c r="F63" s="152">
        <f t="shared" si="59"/>
        <v>187.1683297</v>
      </c>
      <c r="G63" s="152">
        <f t="shared" si="59"/>
        <v>1005.742348</v>
      </c>
      <c r="H63" s="152">
        <f t="shared" si="59"/>
        <v>7628.512928</v>
      </c>
      <c r="I63" s="152">
        <f t="shared" si="59"/>
        <v>87282.43585</v>
      </c>
      <c r="J63" s="152">
        <f t="shared" si="59"/>
        <v>1569115.15</v>
      </c>
      <c r="K63" s="152">
        <f t="shared" si="59"/>
        <v>45069916.13</v>
      </c>
      <c r="L63" s="152">
        <f t="shared" si="59"/>
        <v>2245335096</v>
      </c>
      <c r="M63" s="152">
        <f t="shared" si="59"/>
        <v>220917705888</v>
      </c>
      <c r="N63" s="152">
        <f t="shared" si="59"/>
        <v>45403862660337</v>
      </c>
      <c r="O63" s="152">
        <f t="shared" si="59"/>
        <v>2.09459E+16</v>
      </c>
      <c r="P63" s="152">
        <f t="shared" si="59"/>
        <v>2.29557E+19</v>
      </c>
      <c r="Q63" s="152">
        <f t="shared" si="59"/>
        <v>6.22757E+22</v>
      </c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6">
        <v>60.0</v>
      </c>
      <c r="C64" s="152">
        <f t="shared" ref="C64:Q64" si="60">C63/(1-C$2*C$3^($B64-1))</f>
        <v>5.062533574</v>
      </c>
      <c r="D64" s="152">
        <f t="shared" si="60"/>
        <v>14.00390692</v>
      </c>
      <c r="E64" s="152">
        <f t="shared" si="60"/>
        <v>44.77747791</v>
      </c>
      <c r="F64" s="152">
        <f t="shared" si="60"/>
        <v>189.2018477</v>
      </c>
      <c r="G64" s="152">
        <f t="shared" si="60"/>
        <v>1022.038756</v>
      </c>
      <c r="H64" s="152">
        <f t="shared" si="60"/>
        <v>7808.298216</v>
      </c>
      <c r="I64" s="152">
        <f t="shared" si="60"/>
        <v>90217.41851</v>
      </c>
      <c r="J64" s="152">
        <f t="shared" si="60"/>
        <v>1643095.627</v>
      </c>
      <c r="K64" s="152">
        <f t="shared" si="60"/>
        <v>48000422.38</v>
      </c>
      <c r="L64" s="152">
        <f t="shared" si="60"/>
        <v>2444249402</v>
      </c>
      <c r="M64" s="152">
        <f t="shared" si="60"/>
        <v>247379422663</v>
      </c>
      <c r="N64" s="152">
        <f t="shared" si="60"/>
        <v>52709002075589</v>
      </c>
      <c r="O64" s="152">
        <f t="shared" si="60"/>
        <v>2.54531E+16</v>
      </c>
      <c r="P64" s="152">
        <f t="shared" si="60"/>
        <v>2.95519E+19</v>
      </c>
      <c r="Q64" s="152">
        <f t="shared" si="60"/>
        <v>8.62218E+22</v>
      </c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6">
        <v>61.0</v>
      </c>
      <c r="C65" s="152">
        <f t="shared" ref="C65:Q65" si="61">C64/(1-C$2*C$3^($B65-1))</f>
        <v>5.073434725</v>
      </c>
      <c r="D65" s="152">
        <f t="shared" si="61"/>
        <v>14.05996269</v>
      </c>
      <c r="E65" s="152">
        <f t="shared" si="61"/>
        <v>45.07165778</v>
      </c>
      <c r="F65" s="152">
        <f t="shared" si="61"/>
        <v>191.1473915</v>
      </c>
      <c r="G65" s="152">
        <f t="shared" si="61"/>
        <v>1037.758461</v>
      </c>
      <c r="H65" s="152">
        <f t="shared" si="61"/>
        <v>7983.477507</v>
      </c>
      <c r="I65" s="152">
        <f t="shared" si="61"/>
        <v>93113.32732</v>
      </c>
      <c r="J65" s="152">
        <f t="shared" si="61"/>
        <v>1717244.585</v>
      </c>
      <c r="K65" s="152">
        <f t="shared" si="61"/>
        <v>50995473.9</v>
      </c>
      <c r="L65" s="152">
        <f t="shared" si="61"/>
        <v>2652560868</v>
      </c>
      <c r="M65" s="152">
        <f t="shared" si="61"/>
        <v>275953022457</v>
      </c>
      <c r="N65" s="152">
        <f t="shared" si="61"/>
        <v>60905306440689</v>
      </c>
      <c r="O65" s="152">
        <f t="shared" si="61"/>
        <v>3.07582E+16</v>
      </c>
      <c r="P65" s="152">
        <f t="shared" si="61"/>
        <v>3.77936E+19</v>
      </c>
      <c r="Q65" s="152">
        <f t="shared" si="61"/>
        <v>1.18465E+23</v>
      </c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6">
        <v>62.0</v>
      </c>
      <c r="C66" s="152">
        <f t="shared" ref="C66:Q66" si="62">C65/(1-C$2*C$3^($B66-1))</f>
        <v>5.083680656</v>
      </c>
      <c r="D66" s="152">
        <f t="shared" si="62"/>
        <v>14.11290981</v>
      </c>
      <c r="E66" s="152">
        <f t="shared" si="62"/>
        <v>45.35108524</v>
      </c>
      <c r="F66" s="152">
        <f t="shared" si="62"/>
        <v>193.0077531</v>
      </c>
      <c r="G66" s="152">
        <f t="shared" si="62"/>
        <v>1052.910221</v>
      </c>
      <c r="H66" s="152">
        <f t="shared" si="62"/>
        <v>8153.989009</v>
      </c>
      <c r="I66" s="152">
        <f t="shared" si="62"/>
        <v>95966.65254</v>
      </c>
      <c r="J66" s="152">
        <f t="shared" si="62"/>
        <v>1791425.156</v>
      </c>
      <c r="K66" s="152">
        <f t="shared" si="62"/>
        <v>54049251.62</v>
      </c>
      <c r="L66" s="152">
        <f t="shared" si="62"/>
        <v>2870064647</v>
      </c>
      <c r="M66" s="152">
        <f t="shared" si="62"/>
        <v>306693430904</v>
      </c>
      <c r="N66" s="152">
        <f t="shared" si="62"/>
        <v>70060206014516</v>
      </c>
      <c r="O66" s="152">
        <f t="shared" si="62"/>
        <v>3.69686E+16</v>
      </c>
      <c r="P66" s="152">
        <f t="shared" si="62"/>
        <v>4.80258E+19</v>
      </c>
      <c r="Q66" s="152">
        <f t="shared" si="62"/>
        <v>1.61556E+23</v>
      </c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6">
        <v>63.0</v>
      </c>
      <c r="C67" s="152">
        <f t="shared" ref="C67:Q67" si="63">C66/(1-C$2*C$3^($B67-1))</f>
        <v>5.093309542</v>
      </c>
      <c r="D67" s="152">
        <f t="shared" si="63"/>
        <v>14.16290957</v>
      </c>
      <c r="E67" s="152">
        <f t="shared" si="63"/>
        <v>45.61640798</v>
      </c>
      <c r="F67" s="152">
        <f t="shared" si="63"/>
        <v>194.7857449</v>
      </c>
      <c r="G67" s="152">
        <f t="shared" si="63"/>
        <v>1067.5039</v>
      </c>
      <c r="H67" s="152">
        <f t="shared" si="63"/>
        <v>8319.790663</v>
      </c>
      <c r="I67" s="152">
        <f t="shared" si="63"/>
        <v>98774.23483</v>
      </c>
      <c r="J67" s="152">
        <f t="shared" si="63"/>
        <v>1865506.15</v>
      </c>
      <c r="K67" s="152">
        <f t="shared" si="63"/>
        <v>57155837.8</v>
      </c>
      <c r="L67" s="152">
        <f t="shared" si="63"/>
        <v>3096516479</v>
      </c>
      <c r="M67" s="152">
        <f t="shared" si="63"/>
        <v>339647490874</v>
      </c>
      <c r="N67" s="152">
        <f t="shared" si="63"/>
        <v>80241431939509</v>
      </c>
      <c r="O67" s="152">
        <f t="shared" si="63"/>
        <v>4.4201E+16</v>
      </c>
      <c r="P67" s="152">
        <f t="shared" si="63"/>
        <v>6.06507E+19</v>
      </c>
      <c r="Q67" s="152">
        <f t="shared" si="63"/>
        <v>2.18731E+23</v>
      </c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6">
        <v>64.0</v>
      </c>
      <c r="C68" s="152">
        <f t="shared" ref="C68:Q68" si="64">C67/(1-C$2*C$3^($B68-1))</f>
        <v>5.102357482</v>
      </c>
      <c r="D68" s="152">
        <f t="shared" si="64"/>
        <v>14.21011616</v>
      </c>
      <c r="E68" s="152">
        <f t="shared" si="64"/>
        <v>45.86825547</v>
      </c>
      <c r="F68" s="152">
        <f t="shared" si="64"/>
        <v>196.4841847</v>
      </c>
      <c r="G68" s="152">
        <f t="shared" si="64"/>
        <v>1081.550321</v>
      </c>
      <c r="H68" s="152">
        <f t="shared" si="64"/>
        <v>8480.858633</v>
      </c>
      <c r="I68" s="152">
        <f t="shared" si="64"/>
        <v>101533.256</v>
      </c>
      <c r="J68" s="152">
        <f t="shared" si="64"/>
        <v>1939362.477</v>
      </c>
      <c r="K68" s="152">
        <f t="shared" si="64"/>
        <v>60309258.16</v>
      </c>
      <c r="L68" s="152">
        <f t="shared" si="64"/>
        <v>3331635192</v>
      </c>
      <c r="M68" s="152">
        <f t="shared" si="64"/>
        <v>374853557919</v>
      </c>
      <c r="N68" s="152">
        <f t="shared" si="64"/>
        <v>91516525602375</v>
      </c>
      <c r="O68" s="152">
        <f t="shared" si="64"/>
        <v>5.25807E+16</v>
      </c>
      <c r="P68" s="152">
        <f t="shared" si="64"/>
        <v>7.61339E+19</v>
      </c>
      <c r="Q68" s="152">
        <f t="shared" si="64"/>
        <v>2.94059E+23</v>
      </c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6">
        <v>65.0</v>
      </c>
      <c r="C69" s="152">
        <f t="shared" ref="C69:Q69" si="65">C68/(1-C$2*C$3^($B69-1))</f>
        <v>5.110858589</v>
      </c>
      <c r="D69" s="152">
        <f t="shared" si="65"/>
        <v>14.25467687</v>
      </c>
      <c r="E69" s="152">
        <f t="shared" si="65"/>
        <v>46.10723818</v>
      </c>
      <c r="F69" s="152">
        <f t="shared" si="65"/>
        <v>198.1058825</v>
      </c>
      <c r="G69" s="152">
        <f t="shared" si="65"/>
        <v>1095.061116</v>
      </c>
      <c r="H69" s="152">
        <f t="shared" si="65"/>
        <v>8637.185824</v>
      </c>
      <c r="I69" s="152">
        <f t="shared" si="65"/>
        <v>104241.2277</v>
      </c>
      <c r="J69" s="152">
        <f t="shared" si="65"/>
        <v>2012875.492</v>
      </c>
      <c r="K69" s="152">
        <f t="shared" si="65"/>
        <v>63503521.86</v>
      </c>
      <c r="L69" s="152">
        <f t="shared" si="65"/>
        <v>3575105456</v>
      </c>
      <c r="M69" s="152">
        <f t="shared" si="65"/>
        <v>412341184561</v>
      </c>
      <c r="N69" s="152">
        <f t="shared" si="65"/>
        <v>103952336829255</v>
      </c>
      <c r="O69" s="152">
        <f t="shared" si="65"/>
        <v>6.22424E+16</v>
      </c>
      <c r="P69" s="152">
        <f t="shared" si="65"/>
        <v>9.5012E+19</v>
      </c>
      <c r="Q69" s="152">
        <f t="shared" si="65"/>
        <v>3.92625E+23</v>
      </c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6">
        <v>66.0</v>
      </c>
      <c r="C70" s="152">
        <f t="shared" ref="C70:Q70" si="66">C69/(1-C$2*C$3^($B70-1))</f>
        <v>5.118845089</v>
      </c>
      <c r="D70" s="152">
        <f t="shared" si="66"/>
        <v>14.2967322</v>
      </c>
      <c r="E70" s="152">
        <f t="shared" si="66"/>
        <v>46.33394714</v>
      </c>
      <c r="F70" s="152">
        <f t="shared" si="66"/>
        <v>199.6536286</v>
      </c>
      <c r="G70" s="152">
        <f t="shared" si="66"/>
        <v>1108.048598</v>
      </c>
      <c r="H70" s="152">
        <f t="shared" si="66"/>
        <v>8788.780439</v>
      </c>
      <c r="I70" s="152">
        <f t="shared" si="66"/>
        <v>106895.9791</v>
      </c>
      <c r="J70" s="152">
        <f t="shared" si="66"/>
        <v>2085933.25</v>
      </c>
      <c r="K70" s="152">
        <f t="shared" si="66"/>
        <v>66732658.73</v>
      </c>
      <c r="L70" s="152">
        <f t="shared" si="66"/>
        <v>3826580713</v>
      </c>
      <c r="M70" s="152">
        <f t="shared" si="66"/>
        <v>452130894457</v>
      </c>
      <c r="N70" s="152">
        <f t="shared" si="66"/>
        <v>117614517544465</v>
      </c>
      <c r="O70" s="152">
        <f t="shared" si="66"/>
        <v>7.33291E+16</v>
      </c>
      <c r="P70" s="152">
        <f t="shared" si="66"/>
        <v>1.17899E+20</v>
      </c>
      <c r="Q70" s="152">
        <f t="shared" si="66"/>
        <v>5.20737E+23</v>
      </c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6">
        <v>67.0</v>
      </c>
      <c r="C71" s="152">
        <f t="shared" ref="C71:Q71" si="67">C70/(1-C$2*C$3^($B71-1))</f>
        <v>5.126347405</v>
      </c>
      <c r="D71" s="152">
        <f t="shared" si="67"/>
        <v>14.33641611</v>
      </c>
      <c r="E71" s="152">
        <f t="shared" si="67"/>
        <v>46.5489535</v>
      </c>
      <c r="F71" s="152">
        <f t="shared" si="67"/>
        <v>201.130184</v>
      </c>
      <c r="G71" s="152">
        <f t="shared" si="67"/>
        <v>1120.525638</v>
      </c>
      <c r="H71" s="152">
        <f t="shared" si="67"/>
        <v>8935.664585</v>
      </c>
      <c r="I71" s="152">
        <f t="shared" si="67"/>
        <v>109495.6432</v>
      </c>
      <c r="J71" s="152">
        <f t="shared" si="67"/>
        <v>2158430.686</v>
      </c>
      <c r="K71" s="152">
        <f t="shared" si="67"/>
        <v>69990753.93</v>
      </c>
      <c r="L71" s="152">
        <f t="shared" si="67"/>
        <v>4085686259</v>
      </c>
      <c r="M71" s="152">
        <f t="shared" si="67"/>
        <v>494234046015</v>
      </c>
      <c r="N71" s="152">
        <f t="shared" si="67"/>
        <v>132567017496728</v>
      </c>
      <c r="O71" s="152">
        <f t="shared" si="67"/>
        <v>8.59922E+16</v>
      </c>
      <c r="P71" s="152">
        <f t="shared" si="67"/>
        <v>1.45492E+20</v>
      </c>
      <c r="Q71" s="152">
        <f t="shared" si="67"/>
        <v>6.86175E+23</v>
      </c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6">
        <v>68.0</v>
      </c>
      <c r="C72" s="152">
        <f t="shared" ref="C72:Q72" si="68">C71/(1-C$2*C$3^($B72-1))</f>
        <v>5.133394251</v>
      </c>
      <c r="D72" s="152">
        <f t="shared" si="68"/>
        <v>14.3738562</v>
      </c>
      <c r="E72" s="152">
        <f t="shared" si="68"/>
        <v>46.75280836</v>
      </c>
      <c r="F72" s="152">
        <f t="shared" si="68"/>
        <v>202.5382713</v>
      </c>
      <c r="G72" s="152">
        <f t="shared" si="68"/>
        <v>1132.505552</v>
      </c>
      <c r="H72" s="152">
        <f t="shared" si="68"/>
        <v>9077.872923</v>
      </c>
      <c r="I72" s="152">
        <f t="shared" si="68"/>
        <v>112038.6417</v>
      </c>
      <c r="J72" s="152">
        <f t="shared" si="68"/>
        <v>2230269.728</v>
      </c>
      <c r="K72" s="152">
        <f t="shared" si="68"/>
        <v>73271979.55</v>
      </c>
      <c r="L72" s="152">
        <f t="shared" si="68"/>
        <v>4352022418</v>
      </c>
      <c r="M72" s="152">
        <f t="shared" si="68"/>
        <v>538652783680</v>
      </c>
      <c r="N72" s="152">
        <f t="shared" si="68"/>
        <v>148871588502489</v>
      </c>
      <c r="O72" s="152">
        <f t="shared" si="68"/>
        <v>1.00391E+17</v>
      </c>
      <c r="P72" s="152">
        <f t="shared" si="68"/>
        <v>1.78582E+20</v>
      </c>
      <c r="Q72" s="152">
        <f t="shared" si="68"/>
        <v>8.98463E+23</v>
      </c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6">
        <v>69.0</v>
      </c>
      <c r="C73" s="152">
        <f t="shared" ref="C73:Q73" si="69">C72/(1-C$2*C$3^($B73-1))</f>
        <v>5.140012715</v>
      </c>
      <c r="D73" s="152">
        <f t="shared" si="69"/>
        <v>14.40917388</v>
      </c>
      <c r="E73" s="152">
        <f t="shared" si="69"/>
        <v>46.94604272</v>
      </c>
      <c r="F73" s="152">
        <f t="shared" si="69"/>
        <v>203.8805673</v>
      </c>
      <c r="G73" s="152">
        <f t="shared" si="69"/>
        <v>1144.002002</v>
      </c>
      <c r="H73" s="152">
        <f t="shared" si="69"/>
        <v>9215.451393</v>
      </c>
      <c r="I73" s="152">
        <f t="shared" si="69"/>
        <v>114523.6706</v>
      </c>
      <c r="J73" s="152">
        <f t="shared" si="69"/>
        <v>2301359.348</v>
      </c>
      <c r="K73" s="152">
        <f t="shared" si="69"/>
        <v>76570623.38</v>
      </c>
      <c r="L73" s="152">
        <f t="shared" si="69"/>
        <v>4625167769</v>
      </c>
      <c r="M73" s="152">
        <f t="shared" si="69"/>
        <v>585380073860</v>
      </c>
      <c r="N73" s="152">
        <f t="shared" si="69"/>
        <v>166587303382732</v>
      </c>
      <c r="O73" s="152">
        <f t="shared" si="69"/>
        <v>1.16694E+17</v>
      </c>
      <c r="P73" s="152">
        <f t="shared" si="69"/>
        <v>2.18058E+20</v>
      </c>
      <c r="Q73" s="152">
        <f t="shared" si="69"/>
        <v>1.16919E+24</v>
      </c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6">
        <v>70.0</v>
      </c>
      <c r="C74" s="152">
        <f t="shared" ref="C74:Q74" si="70">C73/(1-C$2*C$3^($B74-1))</f>
        <v>5.146228342</v>
      </c>
      <c r="D74" s="152">
        <f t="shared" si="70"/>
        <v>14.44248466</v>
      </c>
      <c r="E74" s="152">
        <f t="shared" si="70"/>
        <v>47.1291675</v>
      </c>
      <c r="F74" s="152">
        <f t="shared" si="70"/>
        <v>205.1596967</v>
      </c>
      <c r="G74" s="152">
        <f t="shared" si="70"/>
        <v>1155.028902</v>
      </c>
      <c r="H74" s="152">
        <f t="shared" si="70"/>
        <v>9348.45599</v>
      </c>
      <c r="I74" s="152">
        <f t="shared" si="70"/>
        <v>116949.6836</v>
      </c>
      <c r="J74" s="152">
        <f t="shared" si="70"/>
        <v>2371615.547</v>
      </c>
      <c r="K74" s="152">
        <f t="shared" si="70"/>
        <v>79881114.52</v>
      </c>
      <c r="L74" s="152">
        <f t="shared" si="70"/>
        <v>4904682387</v>
      </c>
      <c r="M74" s="152">
        <f t="shared" si="70"/>
        <v>634399821407</v>
      </c>
      <c r="N74" s="152">
        <f t="shared" si="70"/>
        <v>185770095390731</v>
      </c>
      <c r="O74" s="152">
        <f t="shared" si="70"/>
        <v>1.35073E+17</v>
      </c>
      <c r="P74" s="152">
        <f t="shared" si="70"/>
        <v>2.64913E+20</v>
      </c>
      <c r="Q74" s="152">
        <f t="shared" si="70"/>
        <v>1.51239E+24</v>
      </c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6">
        <v>71.0</v>
      </c>
      <c r="C75" s="152">
        <f t="shared" ref="C75:Q75" si="71">C74/(1-C$2*C$3^($B75-1))</f>
        <v>5.152065212</v>
      </c>
      <c r="D75" s="152">
        <f t="shared" si="71"/>
        <v>14.47389827</v>
      </c>
      <c r="E75" s="152">
        <f t="shared" si="71"/>
        <v>47.30267372</v>
      </c>
      <c r="F75" s="152">
        <f t="shared" si="71"/>
        <v>206.3782269</v>
      </c>
      <c r="G75" s="152">
        <f t="shared" si="71"/>
        <v>1165.600334</v>
      </c>
      <c r="H75" s="152">
        <f t="shared" si="71"/>
        <v>9476.951611</v>
      </c>
      <c r="I75" s="152">
        <f t="shared" si="71"/>
        <v>119315.8767</v>
      </c>
      <c r="J75" s="152">
        <f t="shared" si="71"/>
        <v>2440961.299</v>
      </c>
      <c r="K75" s="152">
        <f t="shared" si="71"/>
        <v>83198046.1</v>
      </c>
      <c r="L75" s="152">
        <f t="shared" si="71"/>
        <v>5190111061</v>
      </c>
      <c r="M75" s="152">
        <f t="shared" si="71"/>
        <v>685687061641</v>
      </c>
      <c r="N75" s="152">
        <f t="shared" si="71"/>
        <v>206472323457958</v>
      </c>
      <c r="O75" s="152">
        <f t="shared" si="71"/>
        <v>1.55709E+17</v>
      </c>
      <c r="P75" s="152">
        <f t="shared" si="71"/>
        <v>3.20253E+20</v>
      </c>
      <c r="Q75" s="152">
        <f t="shared" si="71"/>
        <v>1.94491E+24</v>
      </c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6">
        <v>72.0</v>
      </c>
      <c r="C76" s="152">
        <f t="shared" ref="C76:Q76" si="72">C75/(1-C$2*C$3^($B76-1))</f>
        <v>5.157546021</v>
      </c>
      <c r="D76" s="152">
        <f t="shared" si="72"/>
        <v>14.50351898</v>
      </c>
      <c r="E76" s="152">
        <f t="shared" si="72"/>
        <v>47.4670327</v>
      </c>
      <c r="F76" s="152">
        <f t="shared" si="72"/>
        <v>207.5386635</v>
      </c>
      <c r="G76" s="152">
        <f t="shared" si="72"/>
        <v>1175.730477</v>
      </c>
      <c r="H76" s="152">
        <f t="shared" si="72"/>
        <v>9601.01097</v>
      </c>
      <c r="I76" s="152">
        <f t="shared" si="72"/>
        <v>121621.6724</v>
      </c>
      <c r="J76" s="152">
        <f t="shared" si="72"/>
        <v>2509326.444</v>
      </c>
      <c r="K76" s="152">
        <f t="shared" si="72"/>
        <v>86516194.98</v>
      </c>
      <c r="L76" s="152">
        <f t="shared" si="72"/>
        <v>5480986459</v>
      </c>
      <c r="M76" s="152">
        <f t="shared" si="72"/>
        <v>739208222146</v>
      </c>
      <c r="N76" s="152">
        <f t="shared" si="72"/>
        <v>228742368039748</v>
      </c>
      <c r="O76" s="152">
        <f t="shared" si="72"/>
        <v>1.78789E+17</v>
      </c>
      <c r="P76" s="152">
        <f t="shared" si="72"/>
        <v>3.85302E+20</v>
      </c>
      <c r="Q76" s="152">
        <f t="shared" si="72"/>
        <v>2.48689E+24</v>
      </c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6">
        <v>73.0</v>
      </c>
      <c r="C77" s="152">
        <f t="shared" ref="C77:Q77" si="73">C76/(1-C$2*C$3^($B77-1))</f>
        <v>5.162692149</v>
      </c>
      <c r="D77" s="152">
        <f t="shared" si="73"/>
        <v>14.53144573</v>
      </c>
      <c r="E77" s="152">
        <f t="shared" si="73"/>
        <v>47.62269639</v>
      </c>
      <c r="F77" s="152">
        <f t="shared" si="73"/>
        <v>208.6434469</v>
      </c>
      <c r="G77" s="152">
        <f t="shared" si="73"/>
        <v>1185.433534</v>
      </c>
      <c r="H77" s="152">
        <f t="shared" si="73"/>
        <v>9720.713578</v>
      </c>
      <c r="I77" s="152">
        <f t="shared" si="73"/>
        <v>123866.7033</v>
      </c>
      <c r="J77" s="152">
        <f t="shared" si="73"/>
        <v>2576647.543</v>
      </c>
      <c r="K77" s="152">
        <f t="shared" si="73"/>
        <v>89830538.61</v>
      </c>
      <c r="L77" s="152">
        <f t="shared" si="73"/>
        <v>5776832205</v>
      </c>
      <c r="M77" s="152">
        <f t="shared" si="73"/>
        <v>794921447978</v>
      </c>
      <c r="N77" s="152">
        <f t="shared" si="73"/>
        <v>252624261737837</v>
      </c>
      <c r="O77" s="152">
        <f t="shared" si="73"/>
        <v>2.045E+17</v>
      </c>
      <c r="P77" s="152">
        <f t="shared" si="73"/>
        <v>4.61409E+20</v>
      </c>
      <c r="Q77" s="152">
        <f t="shared" si="73"/>
        <v>3.16229E+24</v>
      </c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6">
        <v>74.0</v>
      </c>
      <c r="C78" s="152">
        <f t="shared" ref="C78:Q78" si="74">C77/(1-C$2*C$3^($B78-1))</f>
        <v>5.167523734</v>
      </c>
      <c r="D78" s="152">
        <f t="shared" si="74"/>
        <v>14.55777242</v>
      </c>
      <c r="E78" s="152">
        <f t="shared" si="74"/>
        <v>47.77009774</v>
      </c>
      <c r="F78" s="152">
        <f t="shared" si="74"/>
        <v>209.6949494</v>
      </c>
      <c r="G78" s="152">
        <f t="shared" si="74"/>
        <v>1194.723679</v>
      </c>
      <c r="H78" s="152">
        <f t="shared" si="74"/>
        <v>9836.144796</v>
      </c>
      <c r="I78" s="152">
        <f t="shared" si="74"/>
        <v>126050.7968</v>
      </c>
      <c r="J78" s="152">
        <f t="shared" si="74"/>
        <v>2642867.701</v>
      </c>
      <c r="K78" s="152">
        <f t="shared" si="74"/>
        <v>93136269.06</v>
      </c>
      <c r="L78" s="152">
        <f t="shared" si="74"/>
        <v>6077165844</v>
      </c>
      <c r="M78" s="152">
        <f t="shared" si="74"/>
        <v>852776983476</v>
      </c>
      <c r="N78" s="152">
        <f t="shared" si="74"/>
        <v>278157358230085</v>
      </c>
      <c r="O78" s="152">
        <f t="shared" si="74"/>
        <v>2.33038E+17</v>
      </c>
      <c r="P78" s="152">
        <f t="shared" si="74"/>
        <v>5.50049E+20</v>
      </c>
      <c r="Q78" s="152">
        <f t="shared" si="74"/>
        <v>3.99938E+24</v>
      </c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6">
        <v>75.0</v>
      </c>
      <c r="C79" s="152">
        <f t="shared" ref="C79:Q79" si="75">C78/(1-C$2*C$3^($B79-1))</f>
        <v>5.17205974</v>
      </c>
      <c r="D79" s="152">
        <f t="shared" si="75"/>
        <v>14.58258806</v>
      </c>
      <c r="E79" s="152">
        <f t="shared" si="75"/>
        <v>47.90965111</v>
      </c>
      <c r="F79" s="152">
        <f t="shared" si="75"/>
        <v>210.6954735</v>
      </c>
      <c r="G79" s="152">
        <f t="shared" si="75"/>
        <v>1203.614998</v>
      </c>
      <c r="H79" s="152">
        <f t="shared" si="75"/>
        <v>9947.394952</v>
      </c>
      <c r="I79" s="152">
        <f t="shared" si="75"/>
        <v>128173.9598</v>
      </c>
      <c r="J79" s="152">
        <f t="shared" si="75"/>
        <v>2707936.359</v>
      </c>
      <c r="K79" s="152">
        <f t="shared" si="75"/>
        <v>96428804.49</v>
      </c>
      <c r="L79" s="152">
        <f t="shared" si="75"/>
        <v>6381501677</v>
      </c>
      <c r="M79" s="152">
        <f t="shared" si="75"/>
        <v>912717603594</v>
      </c>
      <c r="N79" s="152">
        <f t="shared" si="75"/>
        <v>305376042364729</v>
      </c>
      <c r="O79" s="152">
        <f t="shared" si="75"/>
        <v>2.64599E+17</v>
      </c>
      <c r="P79" s="152">
        <f t="shared" si="75"/>
        <v>6.52833E+20</v>
      </c>
      <c r="Q79" s="152">
        <f t="shared" si="75"/>
        <v>5.03143E+24</v>
      </c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6">
        <v>76.0</v>
      </c>
      <c r="C80" s="152">
        <f t="shared" ref="C80:Q80" si="76">C79/(1-C$2*C$3^($B80-1))</f>
        <v>5.176318016</v>
      </c>
      <c r="D80" s="152">
        <f t="shared" si="76"/>
        <v>14.60597703</v>
      </c>
      <c r="E80" s="152">
        <f t="shared" si="76"/>
        <v>48.04175274</v>
      </c>
      <c r="F80" s="152">
        <f t="shared" si="76"/>
        <v>211.6472499</v>
      </c>
      <c r="G80" s="152">
        <f t="shared" si="76"/>
        <v>1212.121447</v>
      </c>
      <c r="H80" s="152">
        <f t="shared" si="76"/>
        <v>10054.55852</v>
      </c>
      <c r="I80" s="152">
        <f t="shared" si="76"/>
        <v>130236.3635</v>
      </c>
      <c r="J80" s="152">
        <f t="shared" si="76"/>
        <v>2771809.065</v>
      </c>
      <c r="K80" s="152">
        <f t="shared" si="76"/>
        <v>99703798.04</v>
      </c>
      <c r="L80" s="152">
        <f t="shared" si="76"/>
        <v>6689353450</v>
      </c>
      <c r="M80" s="152">
        <f t="shared" si="76"/>
        <v>974679087510</v>
      </c>
      <c r="N80" s="152">
        <f t="shared" si="76"/>
        <v>334309483592911</v>
      </c>
      <c r="O80" s="152">
        <f t="shared" si="76"/>
        <v>2.99379E+17</v>
      </c>
      <c r="P80" s="152">
        <f t="shared" si="76"/>
        <v>7.71508E+20</v>
      </c>
      <c r="Q80" s="152">
        <f t="shared" si="76"/>
        <v>6.2973E+24</v>
      </c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6">
        <v>77.0</v>
      </c>
      <c r="C81" s="152">
        <f t="shared" ref="C81:Q81" si="77">C80/(1-C$2*C$3^($B81-1))</f>
        <v>5.180315364</v>
      </c>
      <c r="D81" s="152">
        <f t="shared" si="77"/>
        <v>14.62801927</v>
      </c>
      <c r="E81" s="152">
        <f t="shared" si="77"/>
        <v>48.16678122</v>
      </c>
      <c r="F81" s="152">
        <f t="shared" si="77"/>
        <v>212.5524371</v>
      </c>
      <c r="G81" s="152">
        <f t="shared" si="77"/>
        <v>1220.256813</v>
      </c>
      <c r="H81" s="152">
        <f t="shared" si="77"/>
        <v>10157.73338</v>
      </c>
      <c r="I81" s="152">
        <f t="shared" si="77"/>
        <v>132238.3294</v>
      </c>
      <c r="J81" s="152">
        <f t="shared" si="77"/>
        <v>2834447.224</v>
      </c>
      <c r="K81" s="152">
        <f t="shared" si="77"/>
        <v>102957144.4</v>
      </c>
      <c r="L81" s="152">
        <f t="shared" si="77"/>
        <v>7000236873</v>
      </c>
      <c r="M81" s="152">
        <f t="shared" si="77"/>
        <v>1038590727266</v>
      </c>
      <c r="N81" s="152">
        <f t="shared" si="77"/>
        <v>364981434233185</v>
      </c>
      <c r="O81" s="152">
        <f t="shared" si="77"/>
        <v>3.37578E+17</v>
      </c>
      <c r="P81" s="152">
        <f t="shared" si="77"/>
        <v>9.0796E+20</v>
      </c>
      <c r="Q81" s="152">
        <f t="shared" si="77"/>
        <v>7.84219E+24</v>
      </c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6">
        <v>78.0</v>
      </c>
      <c r="C82" s="152">
        <f t="shared" ref="C82:Q82" si="78">C81/(1-C$2*C$3^($B82-1))</f>
        <v>5.184067591</v>
      </c>
      <c r="D82" s="152">
        <f t="shared" si="78"/>
        <v>14.64879047</v>
      </c>
      <c r="E82" s="152">
        <f t="shared" si="78"/>
        <v>48.28509802</v>
      </c>
      <c r="F82" s="152">
        <f t="shared" si="78"/>
        <v>213.4131204</v>
      </c>
      <c r="G82" s="152">
        <f t="shared" si="78"/>
        <v>1228.034671</v>
      </c>
      <c r="H82" s="152">
        <f t="shared" si="78"/>
        <v>10257.0201</v>
      </c>
      <c r="I82" s="152">
        <f t="shared" si="78"/>
        <v>134180.315</v>
      </c>
      <c r="J82" s="152">
        <f t="shared" si="78"/>
        <v>2895817.837</v>
      </c>
      <c r="K82" s="152">
        <f t="shared" si="78"/>
        <v>106184984.4</v>
      </c>
      <c r="L82" s="152">
        <f t="shared" si="78"/>
        <v>7313671966</v>
      </c>
      <c r="M82" s="152">
        <f t="shared" si="78"/>
        <v>1104375864262</v>
      </c>
      <c r="N82" s="152">
        <f t="shared" si="78"/>
        <v>397410073398315</v>
      </c>
      <c r="O82" s="152">
        <f t="shared" si="78"/>
        <v>3.79391E+17</v>
      </c>
      <c r="P82" s="152">
        <f t="shared" si="78"/>
        <v>1.06422E+21</v>
      </c>
      <c r="Q82" s="152">
        <f t="shared" si="78"/>
        <v>9.71839E+24</v>
      </c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6">
        <v>79.0</v>
      </c>
      <c r="C83" s="152">
        <f t="shared" ref="C83:Q83" si="79">C82/(1-C$2*C$3^($B83-1))</f>
        <v>5.187589572</v>
      </c>
      <c r="D83" s="152">
        <f t="shared" si="79"/>
        <v>14.66836228</v>
      </c>
      <c r="E83" s="152">
        <f t="shared" si="79"/>
        <v>48.39704804</v>
      </c>
      <c r="F83" s="152">
        <f t="shared" si="79"/>
        <v>214.2313123</v>
      </c>
      <c r="G83" s="152">
        <f t="shared" si="79"/>
        <v>1235.468365</v>
      </c>
      <c r="H83" s="152">
        <f t="shared" si="79"/>
        <v>10352.52134</v>
      </c>
      <c r="I83" s="152">
        <f t="shared" si="79"/>
        <v>136062.901</v>
      </c>
      <c r="J83" s="152">
        <f t="shared" si="79"/>
        <v>2955893.222</v>
      </c>
      <c r="K83" s="152">
        <f t="shared" si="79"/>
        <v>109383707.2</v>
      </c>
      <c r="L83" s="152">
        <f t="shared" si="79"/>
        <v>7629185225</v>
      </c>
      <c r="M83" s="152">
        <f t="shared" si="79"/>
        <v>1171952446654</v>
      </c>
      <c r="N83" s="152">
        <f t="shared" si="79"/>
        <v>431607896779184</v>
      </c>
      <c r="O83" s="152">
        <f t="shared" si="79"/>
        <v>4.25016E+17</v>
      </c>
      <c r="P83" s="152">
        <f t="shared" si="79"/>
        <v>1.24245E+21</v>
      </c>
      <c r="Q83" s="152">
        <f t="shared" si="79"/>
        <v>1.19861E+25</v>
      </c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6">
        <v>80.0</v>
      </c>
      <c r="C84" s="152">
        <f t="shared" ref="C84:Q84" si="80">C83/(1-C$2*C$3^($B84-1))</f>
        <v>5.190895296</v>
      </c>
      <c r="D84" s="152">
        <f t="shared" si="80"/>
        <v>14.68680251</v>
      </c>
      <c r="E84" s="152">
        <f t="shared" si="80"/>
        <v>48.50296013</v>
      </c>
      <c r="F84" s="152">
        <f t="shared" si="80"/>
        <v>215.0089527</v>
      </c>
      <c r="G84" s="152">
        <f t="shared" si="80"/>
        <v>1242.570972</v>
      </c>
      <c r="H84" s="152">
        <f t="shared" si="80"/>
        <v>10444.34124</v>
      </c>
      <c r="I84" s="152">
        <f t="shared" si="80"/>
        <v>137886.7783</v>
      </c>
      <c r="J84" s="152">
        <f t="shared" si="80"/>
        <v>3014650.74</v>
      </c>
      <c r="K84" s="152">
        <f t="shared" si="80"/>
        <v>112549950.9</v>
      </c>
      <c r="L84" s="152">
        <f t="shared" si="80"/>
        <v>7946311597</v>
      </c>
      <c r="M84" s="152">
        <f t="shared" si="80"/>
        <v>1241233600975</v>
      </c>
      <c r="N84" s="152">
        <f t="shared" si="80"/>
        <v>467581651882882</v>
      </c>
      <c r="O84" s="152">
        <f t="shared" si="80"/>
        <v>4.74642E+17</v>
      </c>
      <c r="P84" s="152">
        <f t="shared" si="80"/>
        <v>1.44496E+21</v>
      </c>
      <c r="Q84" s="152">
        <f t="shared" si="80"/>
        <v>1.47143E+25</v>
      </c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6">
        <v>81.0</v>
      </c>
      <c r="C85" s="152">
        <f t="shared" ref="C85:Q85" si="81">C84/(1-C$2*C$3^($B85-1))</f>
        <v>5.193997918</v>
      </c>
      <c r="D85" s="152">
        <f t="shared" si="81"/>
        <v>14.70417529</v>
      </c>
      <c r="E85" s="152">
        <f t="shared" si="81"/>
        <v>48.60314767</v>
      </c>
      <c r="F85" s="152">
        <f t="shared" si="81"/>
        <v>215.747909</v>
      </c>
      <c r="G85" s="152">
        <f t="shared" si="81"/>
        <v>1249.35529</v>
      </c>
      <c r="H85" s="152">
        <f t="shared" si="81"/>
        <v>10532.58493</v>
      </c>
      <c r="I85" s="152">
        <f t="shared" si="81"/>
        <v>139652.7361</v>
      </c>
      <c r="J85" s="152">
        <f t="shared" si="81"/>
        <v>3072072.5</v>
      </c>
      <c r="K85" s="152">
        <f t="shared" si="81"/>
        <v>115680601.9</v>
      </c>
      <c r="L85" s="152">
        <f t="shared" si="81"/>
        <v>8264596270</v>
      </c>
      <c r="M85" s="152">
        <f t="shared" si="81"/>
        <v>1312128211645</v>
      </c>
      <c r="N85" s="152">
        <f t="shared" si="81"/>
        <v>505332317769877</v>
      </c>
      <c r="O85" s="152">
        <f t="shared" si="81"/>
        <v>5.2846E+17</v>
      </c>
      <c r="P85" s="152">
        <f t="shared" si="81"/>
        <v>1.6742E+21</v>
      </c>
      <c r="Q85" s="152">
        <f t="shared" si="81"/>
        <v>1.79817E+25</v>
      </c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6">
        <v>82.0</v>
      </c>
      <c r="C86" s="152">
        <f t="shared" ref="C86:Q86" si="82">C85/(1-C$2*C$3^($B86-1))</f>
        <v>5.196909808</v>
      </c>
      <c r="D86" s="152">
        <f t="shared" si="82"/>
        <v>14.72054127</v>
      </c>
      <c r="E86" s="152">
        <f t="shared" si="82"/>
        <v>48.6979091</v>
      </c>
      <c r="F86" s="152">
        <f t="shared" si="82"/>
        <v>216.4499779</v>
      </c>
      <c r="G86" s="152">
        <f t="shared" si="82"/>
        <v>1255.833813</v>
      </c>
      <c r="H86" s="152">
        <f t="shared" si="82"/>
        <v>10617.35802</v>
      </c>
      <c r="I86" s="152">
        <f t="shared" si="82"/>
        <v>141361.6508</v>
      </c>
      <c r="J86" s="152">
        <f t="shared" si="82"/>
        <v>3128145.079</v>
      </c>
      <c r="K86" s="152">
        <f t="shared" si="82"/>
        <v>118772791.6</v>
      </c>
      <c r="L86" s="152">
        <f t="shared" si="82"/>
        <v>8583596266</v>
      </c>
      <c r="M86" s="152">
        <f t="shared" si="82"/>
        <v>1384541502471</v>
      </c>
      <c r="N86" s="152">
        <f t="shared" si="82"/>
        <v>544855127834966</v>
      </c>
      <c r="O86" s="152">
        <f t="shared" si="82"/>
        <v>5.86649E+17</v>
      </c>
      <c r="P86" s="152">
        <f t="shared" si="82"/>
        <v>1.93277E+21</v>
      </c>
      <c r="Q86" s="152">
        <f t="shared" si="82"/>
        <v>2.18774E+25</v>
      </c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6">
        <v>83.0</v>
      </c>
      <c r="C87" s="152">
        <f t="shared" ref="C87:Q87" si="83">C86/(1-C$2*C$3^($B87-1))</f>
        <v>5.199642598</v>
      </c>
      <c r="D87" s="152">
        <f t="shared" si="83"/>
        <v>14.73595778</v>
      </c>
      <c r="E87" s="152">
        <f t="shared" si="83"/>
        <v>48.78752851</v>
      </c>
      <c r="F87" s="152">
        <f t="shared" si="83"/>
        <v>217.1168857</v>
      </c>
      <c r="G87" s="152">
        <f t="shared" si="83"/>
        <v>1262.018721</v>
      </c>
      <c r="H87" s="152">
        <f t="shared" si="83"/>
        <v>10698.76623</v>
      </c>
      <c r="I87" s="152">
        <f t="shared" si="83"/>
        <v>143014.475</v>
      </c>
      <c r="J87" s="152">
        <f t="shared" si="83"/>
        <v>3182859.233</v>
      </c>
      <c r="K87" s="152">
        <f t="shared" si="83"/>
        <v>121823893.6</v>
      </c>
      <c r="L87" s="152">
        <f t="shared" si="83"/>
        <v>8902881857</v>
      </c>
      <c r="M87" s="152">
        <f t="shared" si="83"/>
        <v>1458375614669</v>
      </c>
      <c r="N87" s="152">
        <f t="shared" si="83"/>
        <v>586139633732842</v>
      </c>
      <c r="O87" s="152">
        <f t="shared" si="83"/>
        <v>6.49387E+17</v>
      </c>
      <c r="P87" s="152">
        <f t="shared" si="83"/>
        <v>2.22336E+21</v>
      </c>
      <c r="Q87" s="152">
        <f t="shared" si="83"/>
        <v>2.65023E+25</v>
      </c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6">
        <v>84.0</v>
      </c>
      <c r="C88" s="152">
        <f t="shared" ref="C88:Q88" si="84">C87/(1-C$2*C$3^($B88-1))</f>
        <v>5.20220722</v>
      </c>
      <c r="D88" s="152">
        <f t="shared" si="84"/>
        <v>14.75047902</v>
      </c>
      <c r="E88" s="152">
        <f t="shared" si="84"/>
        <v>48.8722762</v>
      </c>
      <c r="F88" s="152">
        <f t="shared" si="84"/>
        <v>217.7502898</v>
      </c>
      <c r="G88" s="152">
        <f t="shared" si="84"/>
        <v>1267.921868</v>
      </c>
      <c r="H88" s="152">
        <f t="shared" si="84"/>
        <v>10776.91494</v>
      </c>
      <c r="I88" s="152">
        <f t="shared" si="84"/>
        <v>144612.2277</v>
      </c>
      <c r="J88" s="152">
        <f t="shared" si="84"/>
        <v>3236209.611</v>
      </c>
      <c r="K88" s="152">
        <f t="shared" si="84"/>
        <v>124831517.9</v>
      </c>
      <c r="L88" s="152">
        <f t="shared" si="84"/>
        <v>9222037788</v>
      </c>
      <c r="M88" s="152">
        <f t="shared" si="84"/>
        <v>1533530176468</v>
      </c>
      <c r="N88" s="152">
        <f t="shared" si="84"/>
        <v>629169808164643</v>
      </c>
      <c r="O88" s="152">
        <f t="shared" si="84"/>
        <v>7.16841E+17</v>
      </c>
      <c r="P88" s="152">
        <f t="shared" si="84"/>
        <v>2.54884E+21</v>
      </c>
      <c r="Q88" s="152">
        <f t="shared" si="84"/>
        <v>3.19697E+25</v>
      </c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6">
        <v>85.0</v>
      </c>
      <c r="C89" s="152">
        <f t="shared" ref="C89:Q89" si="85">C88/(1-C$2*C$3^($B89-1))</f>
        <v>5.204613947</v>
      </c>
      <c r="D89" s="152">
        <f t="shared" si="85"/>
        <v>14.76415618</v>
      </c>
      <c r="E89" s="152">
        <f t="shared" si="85"/>
        <v>48.95240918</v>
      </c>
      <c r="F89" s="152">
        <f t="shared" si="85"/>
        <v>218.3517804</v>
      </c>
      <c r="G89" s="152">
        <f t="shared" si="85"/>
        <v>1273.554771</v>
      </c>
      <c r="H89" s="152">
        <f t="shared" si="85"/>
        <v>10851.90892</v>
      </c>
      <c r="I89" s="152">
        <f t="shared" si="85"/>
        <v>146155.9851</v>
      </c>
      <c r="J89" s="152">
        <f t="shared" si="85"/>
        <v>3288194.482</v>
      </c>
      <c r="K89" s="152">
        <f t="shared" si="85"/>
        <v>127793505.1</v>
      </c>
      <c r="L89" s="152">
        <f t="shared" si="85"/>
        <v>9540664332</v>
      </c>
      <c r="M89" s="152">
        <f t="shared" si="85"/>
        <v>1609902859808</v>
      </c>
      <c r="N89" s="152">
        <f t="shared" si="85"/>
        <v>673924183918147</v>
      </c>
      <c r="O89" s="152">
        <f t="shared" si="85"/>
        <v>7.89171E+17</v>
      </c>
      <c r="P89" s="152">
        <f t="shared" si="85"/>
        <v>2.91216E+21</v>
      </c>
      <c r="Q89" s="152">
        <f t="shared" si="85"/>
        <v>3.84066E+25</v>
      </c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6">
        <v>86.0</v>
      </c>
      <c r="C90" s="152">
        <f t="shared" ref="C90:Q90" si="86">C89/(1-C$2*C$3^($B90-1))</f>
        <v>5.206872437</v>
      </c>
      <c r="D90" s="152">
        <f t="shared" si="86"/>
        <v>14.77703761</v>
      </c>
      <c r="E90" s="152">
        <f t="shared" si="86"/>
        <v>49.0281718</v>
      </c>
      <c r="F90" s="152">
        <f t="shared" si="86"/>
        <v>218.9228819</v>
      </c>
      <c r="G90" s="152">
        <f t="shared" si="86"/>
        <v>1278.928609</v>
      </c>
      <c r="H90" s="152">
        <f t="shared" si="86"/>
        <v>10923.85199</v>
      </c>
      <c r="I90" s="152">
        <f t="shared" si="86"/>
        <v>147646.8717</v>
      </c>
      <c r="J90" s="152">
        <f t="shared" si="86"/>
        <v>3338815.455</v>
      </c>
      <c r="K90" s="152">
        <f t="shared" si="86"/>
        <v>130707919.9</v>
      </c>
      <c r="L90" s="152">
        <f t="shared" si="86"/>
        <v>9858378164</v>
      </c>
      <c r="M90" s="152">
        <f t="shared" si="86"/>
        <v>1687389920232</v>
      </c>
      <c r="N90" s="152">
        <f t="shared" si="86"/>
        <v>720376026291405</v>
      </c>
      <c r="O90" s="152">
        <f t="shared" si="86"/>
        <v>8.66525E+17</v>
      </c>
      <c r="P90" s="152">
        <f t="shared" si="86"/>
        <v>3.31639E+21</v>
      </c>
      <c r="Q90" s="152">
        <f t="shared" si="86"/>
        <v>4.59544E+25</v>
      </c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6">
        <v>87.0</v>
      </c>
      <c r="C91" s="152">
        <f t="shared" ref="C91:Q91" si="87">C90/(1-C$2*C$3^($B91-1))</f>
        <v>5.208991763</v>
      </c>
      <c r="D91" s="152">
        <f t="shared" si="87"/>
        <v>14.78916899</v>
      </c>
      <c r="E91" s="152">
        <f t="shared" si="87"/>
        <v>49.09979619</v>
      </c>
      <c r="F91" s="152">
        <f t="shared" si="87"/>
        <v>219.4650543</v>
      </c>
      <c r="G91" s="152">
        <f t="shared" si="87"/>
        <v>1284.054215</v>
      </c>
      <c r="H91" s="152">
        <f t="shared" si="87"/>
        <v>10992.84678</v>
      </c>
      <c r="I91" s="152">
        <f t="shared" si="87"/>
        <v>149086.0521</v>
      </c>
      <c r="J91" s="152">
        <f t="shared" si="87"/>
        <v>3388077.221</v>
      </c>
      <c r="K91" s="152">
        <f t="shared" si="87"/>
        <v>133573043.5</v>
      </c>
      <c r="L91" s="152">
        <f t="shared" si="87"/>
        <v>10174813083</v>
      </c>
      <c r="M91" s="152">
        <f t="shared" si="87"/>
        <v>1765886716530</v>
      </c>
      <c r="N91" s="152">
        <f t="shared" si="87"/>
        <v>768493535826512</v>
      </c>
      <c r="O91" s="152">
        <f t="shared" si="87"/>
        <v>9.49043E+17</v>
      </c>
      <c r="P91" s="152">
        <f t="shared" si="87"/>
        <v>3.76471E+21</v>
      </c>
      <c r="Q91" s="152">
        <f t="shared" si="87"/>
        <v>5.47703E+25</v>
      </c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6">
        <v>88.0</v>
      </c>
      <c r="C92" s="152">
        <f t="shared" ref="C92:Q92" si="88">C91/(1-C$2*C$3^($B92-1))</f>
        <v>5.21098045</v>
      </c>
      <c r="D92" s="152">
        <f t="shared" si="88"/>
        <v>14.80059343</v>
      </c>
      <c r="E92" s="152">
        <f t="shared" si="88"/>
        <v>49.16750286</v>
      </c>
      <c r="F92" s="152">
        <f t="shared" si="88"/>
        <v>219.9796957</v>
      </c>
      <c r="G92" s="152">
        <f t="shared" si="88"/>
        <v>1288.942076</v>
      </c>
      <c r="H92" s="152">
        <f t="shared" si="88"/>
        <v>11058.99446</v>
      </c>
      <c r="I92" s="152">
        <f t="shared" si="88"/>
        <v>150474.7241</v>
      </c>
      <c r="J92" s="152">
        <f t="shared" si="88"/>
        <v>3435987.295</v>
      </c>
      <c r="K92" s="152">
        <f t="shared" si="88"/>
        <v>136387365.3</v>
      </c>
      <c r="L92" s="152">
        <f t="shared" si="88"/>
        <v>10489620571</v>
      </c>
      <c r="M92" s="152">
        <f t="shared" si="88"/>
        <v>1845288207239</v>
      </c>
      <c r="N92" s="152">
        <f t="shared" si="88"/>
        <v>818240078134704</v>
      </c>
      <c r="O92" s="152">
        <f t="shared" si="88"/>
        <v>1.03685E+18</v>
      </c>
      <c r="P92" s="152">
        <f t="shared" si="88"/>
        <v>4.26039E+21</v>
      </c>
      <c r="Q92" s="152">
        <f t="shared" si="88"/>
        <v>6.50279E+25</v>
      </c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6">
        <v>89.0</v>
      </c>
      <c r="C93" s="152">
        <f t="shared" ref="C93:Q93" si="89">C92/(1-C$2*C$3^($B93-1))</f>
        <v>5.212846506</v>
      </c>
      <c r="D93" s="152">
        <f t="shared" si="89"/>
        <v>14.81135165</v>
      </c>
      <c r="E93" s="152">
        <f t="shared" si="89"/>
        <v>49.23150114</v>
      </c>
      <c r="F93" s="152">
        <f t="shared" si="89"/>
        <v>220.4681432</v>
      </c>
      <c r="G93" s="152">
        <f t="shared" si="89"/>
        <v>1293.602333</v>
      </c>
      <c r="H93" s="152">
        <f t="shared" si="89"/>
        <v>11122.39459</v>
      </c>
      <c r="I93" s="152">
        <f t="shared" si="89"/>
        <v>151814.1114</v>
      </c>
      <c r="J93" s="152">
        <f t="shared" si="89"/>
        <v>3482555.766</v>
      </c>
      <c r="K93" s="152">
        <f t="shared" si="89"/>
        <v>139149574.5</v>
      </c>
      <c r="L93" s="152">
        <f t="shared" si="89"/>
        <v>10802470217</v>
      </c>
      <c r="M93" s="152">
        <f t="shared" si="89"/>
        <v>1925489421587</v>
      </c>
      <c r="N93" s="152">
        <f t="shared" si="89"/>
        <v>869574437503053</v>
      </c>
      <c r="O93" s="152">
        <f t="shared" si="89"/>
        <v>1.13007E+18</v>
      </c>
      <c r="P93" s="152">
        <f t="shared" si="89"/>
        <v>4.80678E+21</v>
      </c>
      <c r="Q93" s="152">
        <f t="shared" si="89"/>
        <v>7.69185E+25</v>
      </c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6">
        <v>90.0</v>
      </c>
      <c r="C94" s="152">
        <f t="shared" ref="C94:Q94" si="90">C93/(1-C$2*C$3^($B94-1))</f>
        <v>5.214597455</v>
      </c>
      <c r="D94" s="152">
        <f t="shared" si="90"/>
        <v>14.82148206</v>
      </c>
      <c r="E94" s="152">
        <f t="shared" si="90"/>
        <v>49.29198975</v>
      </c>
      <c r="F94" s="152">
        <f t="shared" si="90"/>
        <v>220.9316755</v>
      </c>
      <c r="G94" s="152">
        <f t="shared" si="90"/>
        <v>1298.044781</v>
      </c>
      <c r="H94" s="152">
        <f t="shared" si="90"/>
        <v>11183.14493</v>
      </c>
      <c r="I94" s="152">
        <f t="shared" si="90"/>
        <v>153105.4573</v>
      </c>
      <c r="J94" s="152">
        <f t="shared" si="90"/>
        <v>3527795.064</v>
      </c>
      <c r="K94" s="152">
        <f t="shared" si="90"/>
        <v>141858551.2</v>
      </c>
      <c r="L94" s="152">
        <f t="shared" si="90"/>
        <v>11113049991</v>
      </c>
      <c r="M94" s="152">
        <f t="shared" si="90"/>
        <v>2006385902957</v>
      </c>
      <c r="N94" s="152">
        <f t="shared" si="90"/>
        <v>922451090933049</v>
      </c>
      <c r="O94" s="152">
        <f t="shared" si="90"/>
        <v>1.22879E+18</v>
      </c>
      <c r="P94" s="152">
        <f t="shared" si="90"/>
        <v>5.40729E+21</v>
      </c>
      <c r="Q94" s="152">
        <f t="shared" si="90"/>
        <v>9.06518E+25</v>
      </c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6">
        <v>91.0</v>
      </c>
      <c r="C95" s="152">
        <f t="shared" ref="C95:Q95" si="91">C94/(1-C$2*C$3^($B95-1))</f>
        <v>5.216240362</v>
      </c>
      <c r="D95" s="152">
        <f t="shared" si="91"/>
        <v>14.8310209</v>
      </c>
      <c r="E95" s="152">
        <f t="shared" si="91"/>
        <v>49.34915722</v>
      </c>
      <c r="F95" s="152">
        <f t="shared" si="91"/>
        <v>221.3715145</v>
      </c>
      <c r="G95" s="152">
        <f t="shared" si="91"/>
        <v>1302.278873</v>
      </c>
      <c r="H95" s="152">
        <f t="shared" si="91"/>
        <v>11241.34129</v>
      </c>
      <c r="I95" s="152">
        <f t="shared" si="91"/>
        <v>154350.0192</v>
      </c>
      <c r="J95" s="152">
        <f t="shared" si="91"/>
        <v>3571719.731</v>
      </c>
      <c r="K95" s="152">
        <f t="shared" si="91"/>
        <v>144513357.3</v>
      </c>
      <c r="L95" s="152">
        <f t="shared" si="91"/>
        <v>11421066414</v>
      </c>
      <c r="M95" s="152">
        <f t="shared" si="91"/>
        <v>2087874123363</v>
      </c>
      <c r="N95" s="152">
        <f t="shared" si="91"/>
        <v>976820499268070</v>
      </c>
      <c r="O95" s="152">
        <f t="shared" si="91"/>
        <v>1.33311E+18</v>
      </c>
      <c r="P95" s="152">
        <f t="shared" si="91"/>
        <v>6.0654E+21</v>
      </c>
      <c r="Q95" s="152">
        <f t="shared" si="91"/>
        <v>1.06457E+26</v>
      </c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6">
        <v>92.0</v>
      </c>
      <c r="C96" s="152">
        <f t="shared" ref="C96:Q96" si="92">C95/(1-C$2*C$3^($B96-1))</f>
        <v>5.217781865</v>
      </c>
      <c r="D96" s="152">
        <f t="shared" si="92"/>
        <v>14.8400024</v>
      </c>
      <c r="E96" s="152">
        <f t="shared" si="92"/>
        <v>49.40318239</v>
      </c>
      <c r="F96" s="152">
        <f t="shared" si="92"/>
        <v>221.7888272</v>
      </c>
      <c r="G96" s="152">
        <f t="shared" si="92"/>
        <v>1306.313723</v>
      </c>
      <c r="H96" s="152">
        <f t="shared" si="92"/>
        <v>11297.0774</v>
      </c>
      <c r="I96" s="152">
        <f t="shared" si="92"/>
        <v>155549.0631</v>
      </c>
      <c r="J96" s="152">
        <f t="shared" si="92"/>
        <v>3614346.211</v>
      </c>
      <c r="K96" s="152">
        <f t="shared" si="92"/>
        <v>147113227.3</v>
      </c>
      <c r="L96" s="152">
        <f t="shared" si="92"/>
        <v>11726244593</v>
      </c>
      <c r="M96" s="152">
        <f t="shared" si="92"/>
        <v>2169851867898</v>
      </c>
      <c r="N96" s="152">
        <f t="shared" si="92"/>
        <v>1.03263E+15</v>
      </c>
      <c r="O96" s="152">
        <f t="shared" si="92"/>
        <v>1.4431E+18</v>
      </c>
      <c r="P96" s="152">
        <f t="shared" si="92"/>
        <v>6.78461E+21</v>
      </c>
      <c r="Q96" s="152">
        <f t="shared" si="92"/>
        <v>1.24583E+26</v>
      </c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6">
        <v>93.0</v>
      </c>
      <c r="C97" s="152">
        <f t="shared" ref="C97:Q97" si="93">C96/(1-C$2*C$3^($B97-1))</f>
        <v>5.219228195</v>
      </c>
      <c r="D97" s="152">
        <f t="shared" si="93"/>
        <v>14.8484588</v>
      </c>
      <c r="E97" s="152">
        <f t="shared" si="93"/>
        <v>49.45423486</v>
      </c>
      <c r="F97" s="152">
        <f t="shared" si="93"/>
        <v>222.1847278</v>
      </c>
      <c r="G97" s="152">
        <f t="shared" si="93"/>
        <v>1310.158111</v>
      </c>
      <c r="H97" s="152">
        <f t="shared" si="93"/>
        <v>11350.44484</v>
      </c>
      <c r="I97" s="152">
        <f t="shared" si="93"/>
        <v>156703.8591</v>
      </c>
      <c r="J97" s="152">
        <f t="shared" si="93"/>
        <v>3655692.639</v>
      </c>
      <c r="K97" s="152">
        <f t="shared" si="93"/>
        <v>149657558.4</v>
      </c>
      <c r="L97" s="152">
        <f t="shared" si="93"/>
        <v>12028328167</v>
      </c>
      <c r="M97" s="152">
        <f t="shared" si="93"/>
        <v>2252218588468</v>
      </c>
      <c r="N97" s="152">
        <f t="shared" si="93"/>
        <v>1.08982E+15</v>
      </c>
      <c r="O97" s="152">
        <f t="shared" si="93"/>
        <v>1.55882E+18</v>
      </c>
      <c r="P97" s="152">
        <f t="shared" si="93"/>
        <v>7.56847E+21</v>
      </c>
      <c r="Q97" s="152">
        <f t="shared" si="93"/>
        <v>1.45301E+26</v>
      </c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6">
        <v>94.0</v>
      </c>
      <c r="C98" s="152">
        <f t="shared" ref="C98:Q98" si="94">C97/(1-C$2*C$3^($B98-1))</f>
        <v>5.220585205</v>
      </c>
      <c r="D98" s="152">
        <f t="shared" si="94"/>
        <v>14.85642053</v>
      </c>
      <c r="E98" s="152">
        <f t="shared" si="94"/>
        <v>49.50247539</v>
      </c>
      <c r="F98" s="152">
        <f t="shared" si="94"/>
        <v>222.5602794</v>
      </c>
      <c r="G98" s="152">
        <f t="shared" si="94"/>
        <v>1313.820488</v>
      </c>
      <c r="H98" s="152">
        <f t="shared" si="94"/>
        <v>11401.53293</v>
      </c>
      <c r="I98" s="152">
        <f t="shared" si="94"/>
        <v>157815.6769</v>
      </c>
      <c r="J98" s="152">
        <f t="shared" si="94"/>
        <v>3695778.655</v>
      </c>
      <c r="K98" s="152">
        <f t="shared" si="94"/>
        <v>152145901.7</v>
      </c>
      <c r="L98" s="152">
        <f t="shared" si="94"/>
        <v>12327079149</v>
      </c>
      <c r="M98" s="152">
        <f t="shared" si="94"/>
        <v>2334875726489</v>
      </c>
      <c r="N98" s="152">
        <f t="shared" si="94"/>
        <v>1.14834E+15</v>
      </c>
      <c r="O98" s="152">
        <f t="shared" si="94"/>
        <v>1.68032E+18</v>
      </c>
      <c r="P98" s="152">
        <f t="shared" si="94"/>
        <v>8.42051E+21</v>
      </c>
      <c r="Q98" s="152">
        <f t="shared" si="94"/>
        <v>1.68903E+26</v>
      </c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6">
        <v>95.0</v>
      </c>
      <c r="C99" s="152">
        <f t="shared" ref="C99:Q99" si="95">C98/(1-C$2*C$3^($B99-1))</f>
        <v>5.221858391</v>
      </c>
      <c r="D99" s="152">
        <f t="shared" si="95"/>
        <v>14.86391631</v>
      </c>
      <c r="E99" s="152">
        <f t="shared" si="95"/>
        <v>49.54805639</v>
      </c>
      <c r="F99" s="152">
        <f t="shared" si="95"/>
        <v>222.916496</v>
      </c>
      <c r="G99" s="152">
        <f t="shared" si="95"/>
        <v>1317.308985</v>
      </c>
      <c r="H99" s="152">
        <f t="shared" si="95"/>
        <v>11450.42867</v>
      </c>
      <c r="I99" s="152">
        <f t="shared" si="95"/>
        <v>158885.782</v>
      </c>
      <c r="J99" s="152">
        <f t="shared" si="95"/>
        <v>3734625.214</v>
      </c>
      <c r="K99" s="152">
        <f t="shared" si="95"/>
        <v>154577952.6</v>
      </c>
      <c r="L99" s="152">
        <f t="shared" si="95"/>
        <v>12622277685</v>
      </c>
      <c r="M99" s="152">
        <f t="shared" si="95"/>
        <v>2417727004562</v>
      </c>
      <c r="N99" s="152">
        <f t="shared" si="95"/>
        <v>1.20811E+15</v>
      </c>
      <c r="O99" s="152">
        <f t="shared" si="95"/>
        <v>1.80762E+18</v>
      </c>
      <c r="P99" s="152">
        <f t="shared" si="95"/>
        <v>9.34427E+21</v>
      </c>
      <c r="Q99" s="152">
        <f t="shared" si="95"/>
        <v>1.95702E+26</v>
      </c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6">
        <v>96.0</v>
      </c>
      <c r="C100" s="152">
        <f t="shared" ref="C100:Q100" si="96">C99/(1-C$2*C$3^($B100-1))</f>
        <v>5.223052913</v>
      </c>
      <c r="D100" s="152">
        <f t="shared" si="96"/>
        <v>14.87097318</v>
      </c>
      <c r="E100" s="152">
        <f t="shared" si="96"/>
        <v>49.59112225</v>
      </c>
      <c r="F100" s="152">
        <f t="shared" si="96"/>
        <v>223.2543443</v>
      </c>
      <c r="G100" s="152">
        <f t="shared" si="96"/>
        <v>1320.631416</v>
      </c>
      <c r="H100" s="152">
        <f t="shared" si="96"/>
        <v>11497.21671</v>
      </c>
      <c r="I100" s="152">
        <f t="shared" si="96"/>
        <v>159915.432</v>
      </c>
      <c r="J100" s="152">
        <f t="shared" si="96"/>
        <v>3772254.426</v>
      </c>
      <c r="K100" s="152">
        <f t="shared" si="96"/>
        <v>156953541.6</v>
      </c>
      <c r="L100" s="152">
        <f t="shared" si="96"/>
        <v>12913721744</v>
      </c>
      <c r="M100" s="152">
        <f t="shared" si="96"/>
        <v>2500678687408</v>
      </c>
      <c r="N100" s="152">
        <f t="shared" si="96"/>
        <v>1.26908E+15</v>
      </c>
      <c r="O100" s="152">
        <f t="shared" si="96"/>
        <v>1.94075E+18</v>
      </c>
      <c r="P100" s="152">
        <f t="shared" si="96"/>
        <v>1.03433E+22</v>
      </c>
      <c r="Q100" s="152">
        <f t="shared" si="96"/>
        <v>2.26037E+26</v>
      </c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6">
        <v>97.0</v>
      </c>
      <c r="C101" s="152">
        <f t="shared" ref="C101:Q101" si="97">C100/(1-C$2*C$3^($B101-1))</f>
        <v>5.224173615</v>
      </c>
      <c r="D101" s="152">
        <f t="shared" si="97"/>
        <v>14.87761667</v>
      </c>
      <c r="E101" s="152">
        <f t="shared" si="97"/>
        <v>49.63180978</v>
      </c>
      <c r="F101" s="152">
        <f t="shared" si="97"/>
        <v>223.5747459</v>
      </c>
      <c r="G101" s="152">
        <f t="shared" si="97"/>
        <v>1323.795287</v>
      </c>
      <c r="H101" s="152">
        <f t="shared" si="97"/>
        <v>11541.97932</v>
      </c>
      <c r="I101" s="152">
        <f t="shared" si="97"/>
        <v>160905.874</v>
      </c>
      <c r="J101" s="152">
        <f t="shared" si="97"/>
        <v>3808689.388</v>
      </c>
      <c r="K101" s="152">
        <f t="shared" si="97"/>
        <v>159272625.2</v>
      </c>
      <c r="L101" s="152">
        <f t="shared" si="97"/>
        <v>13201226733</v>
      </c>
      <c r="M101" s="152">
        <f t="shared" si="97"/>
        <v>2583639812610</v>
      </c>
      <c r="N101" s="152">
        <f t="shared" si="97"/>
        <v>1.33118E+15</v>
      </c>
      <c r="O101" s="152">
        <f t="shared" si="97"/>
        <v>2.07969E+18</v>
      </c>
      <c r="P101" s="152">
        <f t="shared" si="97"/>
        <v>1.1421E+22</v>
      </c>
      <c r="Q101" s="152">
        <f t="shared" si="97"/>
        <v>2.60266E+26</v>
      </c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6">
        <v>98.0</v>
      </c>
      <c r="C102" s="152">
        <f t="shared" ref="C102:Q102" si="98">C101/(1-C$2*C$3^($B102-1))</f>
        <v>5.225225045</v>
      </c>
      <c r="D102" s="152">
        <f t="shared" si="98"/>
        <v>14.88387082</v>
      </c>
      <c r="E102" s="152">
        <f t="shared" si="98"/>
        <v>49.67024856</v>
      </c>
      <c r="F102" s="152">
        <f t="shared" si="98"/>
        <v>223.8785785</v>
      </c>
      <c r="G102" s="152">
        <f t="shared" si="98"/>
        <v>1326.807804</v>
      </c>
      <c r="H102" s="152">
        <f t="shared" si="98"/>
        <v>11584.79633</v>
      </c>
      <c r="I102" s="152">
        <f t="shared" si="98"/>
        <v>161858.3414</v>
      </c>
      <c r="J102" s="152">
        <f t="shared" si="98"/>
        <v>3843954.035</v>
      </c>
      <c r="K102" s="152">
        <f t="shared" si="98"/>
        <v>161535276.9</v>
      </c>
      <c r="L102" s="152">
        <f t="shared" si="98"/>
        <v>13484625062</v>
      </c>
      <c r="M102" s="152">
        <f t="shared" si="98"/>
        <v>2666522391918</v>
      </c>
      <c r="N102" s="152">
        <f t="shared" si="98"/>
        <v>1.39434E+15</v>
      </c>
      <c r="O102" s="152">
        <f t="shared" si="98"/>
        <v>2.22445E+18</v>
      </c>
      <c r="P102" s="152">
        <f t="shared" si="98"/>
        <v>1.25809E+22</v>
      </c>
      <c r="Q102" s="152">
        <f t="shared" si="98"/>
        <v>2.98774E+26</v>
      </c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6">
        <v>99.0</v>
      </c>
      <c r="C103" s="152">
        <f t="shared" ref="C103:Q103" si="99">C102/(1-C$2*C$3^($B103-1))</f>
        <v>5.226211472</v>
      </c>
      <c r="D103" s="152">
        <f t="shared" si="99"/>
        <v>14.8897583</v>
      </c>
      <c r="E103" s="152">
        <f t="shared" si="99"/>
        <v>49.70656129</v>
      </c>
      <c r="F103" s="152">
        <f t="shared" si="99"/>
        <v>224.1666782</v>
      </c>
      <c r="G103" s="152">
        <f t="shared" si="99"/>
        <v>1329.675882</v>
      </c>
      <c r="H103" s="152">
        <f t="shared" si="99"/>
        <v>11625.74518</v>
      </c>
      <c r="I103" s="152">
        <f t="shared" si="99"/>
        <v>162774.0518</v>
      </c>
      <c r="J103" s="152">
        <f t="shared" si="99"/>
        <v>3878073.008</v>
      </c>
      <c r="K103" s="152">
        <f t="shared" si="99"/>
        <v>163741678.9</v>
      </c>
      <c r="L103" s="152">
        <f t="shared" si="99"/>
        <v>13763765652</v>
      </c>
      <c r="M103" s="152">
        <f t="shared" si="99"/>
        <v>2749241584085</v>
      </c>
      <c r="N103" s="152">
        <f t="shared" si="99"/>
        <v>1.45849E+15</v>
      </c>
      <c r="O103" s="152">
        <f t="shared" si="99"/>
        <v>2.37498E+18</v>
      </c>
      <c r="P103" s="152">
        <f t="shared" si="99"/>
        <v>1.38262E+22</v>
      </c>
      <c r="Q103" s="152">
        <f t="shared" si="99"/>
        <v>3.41968E+26</v>
      </c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6">
        <v>100.0</v>
      </c>
      <c r="C104" s="152">
        <f t="shared" ref="C104:Q104" si="100">C103/(1-C$2*C$3^($B104-1))</f>
        <v>5.227136905</v>
      </c>
      <c r="D104" s="152">
        <f t="shared" si="100"/>
        <v>14.89530048</v>
      </c>
      <c r="E104" s="152">
        <f t="shared" si="100"/>
        <v>49.74086416</v>
      </c>
      <c r="F104" s="152">
        <f t="shared" si="100"/>
        <v>224.4398412</v>
      </c>
      <c r="G104" s="152">
        <f t="shared" si="100"/>
        <v>1332.40615</v>
      </c>
      <c r="H104" s="152">
        <f t="shared" si="100"/>
        <v>11664.90087</v>
      </c>
      <c r="I104" s="152">
        <f t="shared" si="100"/>
        <v>163654.2044</v>
      </c>
      <c r="J104" s="152">
        <f t="shared" si="100"/>
        <v>3911071.518</v>
      </c>
      <c r="K104" s="152">
        <f t="shared" si="100"/>
        <v>165892113.4</v>
      </c>
      <c r="L104" s="152">
        <f t="shared" si="100"/>
        <v>14038513410</v>
      </c>
      <c r="M104" s="152">
        <f t="shared" si="100"/>
        <v>2831715840321</v>
      </c>
      <c r="N104" s="152">
        <f t="shared" si="100"/>
        <v>1.52356E+15</v>
      </c>
      <c r="O104" s="152">
        <f t="shared" si="100"/>
        <v>2.53125E+18</v>
      </c>
      <c r="P104" s="152">
        <f t="shared" si="100"/>
        <v>1.51604E+22</v>
      </c>
      <c r="Q104" s="152">
        <f t="shared" si="100"/>
        <v>3.90278E+26</v>
      </c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6">
        <v>101.0</v>
      </c>
      <c r="C105" s="152">
        <f t="shared" ref="C105:Q105" si="101">C104/(1-C$2*C$3^($B105-1))</f>
        <v>5.228005105</v>
      </c>
      <c r="D105" s="152">
        <f t="shared" si="101"/>
        <v>14.9005175</v>
      </c>
      <c r="E105" s="152">
        <f t="shared" si="101"/>
        <v>49.77326717</v>
      </c>
      <c r="F105" s="152">
        <f t="shared" si="101"/>
        <v>224.698825</v>
      </c>
      <c r="G105" s="152">
        <f t="shared" si="101"/>
        <v>1335.004964</v>
      </c>
      <c r="H105" s="152">
        <f t="shared" si="101"/>
        <v>11702.33599</v>
      </c>
      <c r="I105" s="152">
        <f t="shared" si="101"/>
        <v>164499.9789</v>
      </c>
      <c r="J105" s="152">
        <f t="shared" si="101"/>
        <v>3942975.231</v>
      </c>
      <c r="K105" s="152">
        <f t="shared" si="101"/>
        <v>167986954.6</v>
      </c>
      <c r="L105" s="152">
        <f t="shared" si="101"/>
        <v>14308748664</v>
      </c>
      <c r="M105" s="152">
        <f t="shared" si="101"/>
        <v>2913867023619</v>
      </c>
      <c r="N105" s="152">
        <f t="shared" si="101"/>
        <v>1.58948E+15</v>
      </c>
      <c r="O105" s="152">
        <f t="shared" si="101"/>
        <v>2.69319E+18</v>
      </c>
      <c r="P105" s="152">
        <f t="shared" si="101"/>
        <v>1.65864E+22</v>
      </c>
      <c r="Q105" s="152">
        <f t="shared" si="101"/>
        <v>4.44157E+26</v>
      </c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6">
        <v>102.0</v>
      </c>
      <c r="C106" s="152">
        <f t="shared" ref="C106:Q106" si="102">C105/(1-C$2*C$3^($B106-1))</f>
        <v>5.228819604</v>
      </c>
      <c r="D106" s="152">
        <f t="shared" si="102"/>
        <v>14.90542833</v>
      </c>
      <c r="E106" s="152">
        <f t="shared" si="102"/>
        <v>49.80387442</v>
      </c>
      <c r="F106" s="152">
        <f t="shared" si="102"/>
        <v>224.9443506</v>
      </c>
      <c r="G106" s="152">
        <f t="shared" si="102"/>
        <v>1337.478412</v>
      </c>
      <c r="H106" s="152">
        <f t="shared" si="102"/>
        <v>11738.12075</v>
      </c>
      <c r="I106" s="152">
        <f t="shared" si="102"/>
        <v>165312.5332</v>
      </c>
      <c r="J106" s="152">
        <f t="shared" si="102"/>
        <v>3973810.157</v>
      </c>
      <c r="K106" s="152">
        <f t="shared" si="102"/>
        <v>170026660.9</v>
      </c>
      <c r="L106" s="152">
        <f t="shared" si="102"/>
        <v>14574366571</v>
      </c>
      <c r="M106" s="152">
        <f t="shared" si="102"/>
        <v>2995620503279</v>
      </c>
      <c r="N106" s="152">
        <f t="shared" si="102"/>
        <v>1.65617E+15</v>
      </c>
      <c r="O106" s="152">
        <f t="shared" si="102"/>
        <v>2.86073E+18</v>
      </c>
      <c r="P106" s="152">
        <f t="shared" si="102"/>
        <v>1.81074E+22</v>
      </c>
      <c r="Q106" s="152">
        <f t="shared" si="102"/>
        <v>5.04083E+26</v>
      </c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6">
        <v>103.0</v>
      </c>
      <c r="C107" s="152">
        <f t="shared" ref="C107:Q107" si="103">C106/(1-C$2*C$3^($B107-1))</f>
        <v>5.229583715</v>
      </c>
      <c r="D107" s="152">
        <f t="shared" si="103"/>
        <v>14.91005086</v>
      </c>
      <c r="E107" s="152">
        <f t="shared" si="103"/>
        <v>49.83278444</v>
      </c>
      <c r="F107" s="152">
        <f t="shared" si="103"/>
        <v>225.177104</v>
      </c>
      <c r="G107" s="152">
        <f t="shared" si="103"/>
        <v>1339.832323</v>
      </c>
      <c r="H107" s="152">
        <f t="shared" si="103"/>
        <v>11772.323</v>
      </c>
      <c r="I107" s="152">
        <f t="shared" si="103"/>
        <v>166093.0026</v>
      </c>
      <c r="J107" s="152">
        <f t="shared" si="103"/>
        <v>4003602.548</v>
      </c>
      <c r="K107" s="152">
        <f t="shared" si="103"/>
        <v>172011767.6</v>
      </c>
      <c r="L107" s="152">
        <f t="shared" si="103"/>
        <v>14835276509</v>
      </c>
      <c r="M107" s="152">
        <f t="shared" si="103"/>
        <v>3076905226049</v>
      </c>
      <c r="N107" s="152">
        <f t="shared" si="103"/>
        <v>1.72356E+15</v>
      </c>
      <c r="O107" s="152">
        <f t="shared" si="103"/>
        <v>3.03379E+18</v>
      </c>
      <c r="P107" s="152">
        <f t="shared" si="103"/>
        <v>1.97263E+22</v>
      </c>
      <c r="Q107" s="152">
        <f t="shared" si="103"/>
        <v>5.70554E+26</v>
      </c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6">
        <v>104.0</v>
      </c>
      <c r="C108" s="152">
        <f t="shared" ref="C108:Q108" si="104">C107/(1-C$2*C$3^($B108-1))</f>
        <v>5.23030055</v>
      </c>
      <c r="D108" s="152">
        <f t="shared" si="104"/>
        <v>14.91440193</v>
      </c>
      <c r="E108" s="152">
        <f t="shared" si="104"/>
        <v>49.86009044</v>
      </c>
      <c r="F108" s="152">
        <f t="shared" si="104"/>
        <v>225.3977374</v>
      </c>
      <c r="G108" s="152">
        <f t="shared" si="104"/>
        <v>1342.072277</v>
      </c>
      <c r="H108" s="152">
        <f t="shared" si="104"/>
        <v>11805.00824</v>
      </c>
      <c r="I108" s="152">
        <f t="shared" si="104"/>
        <v>166842.4982</v>
      </c>
      <c r="J108" s="152">
        <f t="shared" si="104"/>
        <v>4032378.806</v>
      </c>
      <c r="K108" s="152">
        <f t="shared" si="104"/>
        <v>173942879.4</v>
      </c>
      <c r="L108" s="152">
        <f t="shared" si="104"/>
        <v>15091401444</v>
      </c>
      <c r="M108" s="152">
        <f t="shared" si="104"/>
        <v>3157653765349</v>
      </c>
      <c r="N108" s="152">
        <f t="shared" si="104"/>
        <v>1.79158E+15</v>
      </c>
      <c r="O108" s="152">
        <f t="shared" si="104"/>
        <v>3.21226E+18</v>
      </c>
      <c r="P108" s="152">
        <f t="shared" si="104"/>
        <v>2.14459E+22</v>
      </c>
      <c r="Q108" s="152">
        <f t="shared" si="104"/>
        <v>6.44093E+26</v>
      </c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6">
        <v>105.0</v>
      </c>
      <c r="C109" s="152">
        <f t="shared" ref="C109:Q109" si="105">C108/(1-C$2*C$3^($B109-1))</f>
        <v>5.230973027</v>
      </c>
      <c r="D109" s="152">
        <f t="shared" si="105"/>
        <v>14.91849741</v>
      </c>
      <c r="E109" s="152">
        <f t="shared" si="105"/>
        <v>49.88588065</v>
      </c>
      <c r="F109" s="152">
        <f t="shared" si="105"/>
        <v>225.6068711</v>
      </c>
      <c r="G109" s="152">
        <f t="shared" si="105"/>
        <v>1344.203612</v>
      </c>
      <c r="H109" s="152">
        <f t="shared" si="105"/>
        <v>11836.23968</v>
      </c>
      <c r="I109" s="152">
        <f t="shared" si="105"/>
        <v>167562.1064</v>
      </c>
      <c r="J109" s="152">
        <f t="shared" si="105"/>
        <v>4060165.402</v>
      </c>
      <c r="K109" s="152">
        <f t="shared" si="105"/>
        <v>175820663.9</v>
      </c>
      <c r="L109" s="152">
        <f t="shared" si="105"/>
        <v>15342677296</v>
      </c>
      <c r="M109" s="152">
        <f t="shared" si="105"/>
        <v>3237802350086</v>
      </c>
      <c r="N109" s="152">
        <f t="shared" si="105"/>
        <v>1.86015E+15</v>
      </c>
      <c r="O109" s="152">
        <f t="shared" si="105"/>
        <v>3.39604E+18</v>
      </c>
      <c r="P109" s="152">
        <f t="shared" si="105"/>
        <v>2.32686E+22</v>
      </c>
      <c r="Q109" s="152">
        <f t="shared" si="105"/>
        <v>7.25239E+26</v>
      </c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6">
        <v>106.0</v>
      </c>
      <c r="C110" s="152">
        <f t="shared" ref="C110:Q110" si="106">C109/(1-C$2*C$3^($B110-1))</f>
        <v>5.231603887</v>
      </c>
      <c r="D110" s="152">
        <f t="shared" si="106"/>
        <v>14.92235225</v>
      </c>
      <c r="E110" s="152">
        <f t="shared" si="106"/>
        <v>49.91023849</v>
      </c>
      <c r="F110" s="152">
        <f t="shared" si="106"/>
        <v>225.8050947</v>
      </c>
      <c r="G110" s="152">
        <f t="shared" si="106"/>
        <v>1346.231435</v>
      </c>
      <c r="H110" s="152">
        <f t="shared" si="106"/>
        <v>11866.07828</v>
      </c>
      <c r="I110" s="152">
        <f t="shared" si="106"/>
        <v>168252.8879</v>
      </c>
      <c r="J110" s="152">
        <f t="shared" si="106"/>
        <v>4086988.792</v>
      </c>
      <c r="K110" s="152">
        <f t="shared" si="106"/>
        <v>177645845</v>
      </c>
      <c r="L110" s="152">
        <f t="shared" si="106"/>
        <v>15589052291</v>
      </c>
      <c r="M110" s="152">
        <f t="shared" si="106"/>
        <v>3317290874563</v>
      </c>
      <c r="N110" s="152">
        <f t="shared" si="106"/>
        <v>1.92921E+15</v>
      </c>
      <c r="O110" s="152">
        <f t="shared" si="106"/>
        <v>3.585E+18</v>
      </c>
      <c r="P110" s="152">
        <f t="shared" si="106"/>
        <v>2.51971E+22</v>
      </c>
      <c r="Q110" s="152">
        <f t="shared" si="106"/>
        <v>8.14557E+26</v>
      </c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6">
        <v>107.0</v>
      </c>
      <c r="C111" s="152">
        <f t="shared" ref="C111:Q111" si="107">C110/(1-C$2*C$3^($B111-1))</f>
        <v>5.2321957</v>
      </c>
      <c r="D111" s="152">
        <f t="shared" si="107"/>
        <v>14.92598054</v>
      </c>
      <c r="E111" s="152">
        <f t="shared" si="107"/>
        <v>49.93324289</v>
      </c>
      <c r="F111" s="152">
        <f t="shared" si="107"/>
        <v>225.9929687</v>
      </c>
      <c r="G111" s="152">
        <f t="shared" si="107"/>
        <v>1348.160628</v>
      </c>
      <c r="H111" s="152">
        <f t="shared" si="107"/>
        <v>11894.58277</v>
      </c>
      <c r="I111" s="152">
        <f t="shared" si="107"/>
        <v>168915.8773</v>
      </c>
      <c r="J111" s="152">
        <f t="shared" si="107"/>
        <v>4112875.354</v>
      </c>
      <c r="K111" s="152">
        <f t="shared" si="107"/>
        <v>179419196.8</v>
      </c>
      <c r="L111" s="152">
        <f t="shared" si="107"/>
        <v>15830486323</v>
      </c>
      <c r="M111" s="152">
        <f t="shared" si="107"/>
        <v>3396062891011</v>
      </c>
      <c r="N111" s="152">
        <f t="shared" si="107"/>
        <v>1.99867E+15</v>
      </c>
      <c r="O111" s="152">
        <f t="shared" si="107"/>
        <v>3.77901E+18</v>
      </c>
      <c r="P111" s="152">
        <f t="shared" si="107"/>
        <v>2.72334E+22</v>
      </c>
      <c r="Q111" s="152">
        <f t="shared" si="107"/>
        <v>9.12627E+26</v>
      </c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6">
        <v>108.0</v>
      </c>
      <c r="C112" s="152">
        <f t="shared" ref="C112:Q112" si="108">C111/(1-C$2*C$3^($B112-1))</f>
        <v>5.23275088</v>
      </c>
      <c r="D112" s="152">
        <f t="shared" si="108"/>
        <v>14.92939554</v>
      </c>
      <c r="E112" s="152">
        <f t="shared" si="108"/>
        <v>49.95496849</v>
      </c>
      <c r="F112" s="152">
        <f t="shared" si="108"/>
        <v>226.1710255</v>
      </c>
      <c r="G112" s="152">
        <f t="shared" si="108"/>
        <v>1349.995856</v>
      </c>
      <c r="H112" s="152">
        <f t="shared" si="108"/>
        <v>11921.80973</v>
      </c>
      <c r="I112" s="152">
        <f t="shared" si="108"/>
        <v>169552.0823</v>
      </c>
      <c r="J112" s="152">
        <f t="shared" si="108"/>
        <v>4137851.321</v>
      </c>
      <c r="K112" s="152">
        <f t="shared" si="108"/>
        <v>181141537.6</v>
      </c>
      <c r="L112" s="152">
        <f t="shared" si="108"/>
        <v>16066950302</v>
      </c>
      <c r="M112" s="152">
        <f t="shared" si="108"/>
        <v>3474065586236</v>
      </c>
      <c r="N112" s="152">
        <f t="shared" si="108"/>
        <v>2.06849E+15</v>
      </c>
      <c r="O112" s="152">
        <f t="shared" si="108"/>
        <v>3.97792E+18</v>
      </c>
      <c r="P112" s="152">
        <f t="shared" si="108"/>
        <v>2.93798E+22</v>
      </c>
      <c r="Q112" s="152">
        <f t="shared" si="108"/>
        <v>1.02005E+27</v>
      </c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6">
        <v>109.0</v>
      </c>
      <c r="C113" s="152">
        <f t="shared" ref="C113:Q113" si="109">C112/(1-C$2*C$3^($B113-1))</f>
        <v>5.233271691</v>
      </c>
      <c r="D113" s="152">
        <f t="shared" si="109"/>
        <v>14.93260974</v>
      </c>
      <c r="E113" s="152">
        <f t="shared" si="109"/>
        <v>49.97548589</v>
      </c>
      <c r="F113" s="152">
        <f t="shared" si="109"/>
        <v>226.3397711</v>
      </c>
      <c r="G113" s="152">
        <f t="shared" si="109"/>
        <v>1351.741577</v>
      </c>
      <c r="H113" s="152">
        <f t="shared" si="109"/>
        <v>11947.81362</v>
      </c>
      <c r="I113" s="152">
        <f t="shared" si="109"/>
        <v>170162.4839</v>
      </c>
      <c r="J113" s="152">
        <f t="shared" si="109"/>
        <v>4161942.727</v>
      </c>
      <c r="K113" s="152">
        <f t="shared" si="109"/>
        <v>182813724.9</v>
      </c>
      <c r="L113" s="152">
        <f t="shared" si="109"/>
        <v>16298425523</v>
      </c>
      <c r="M113" s="152">
        <f t="shared" si="109"/>
        <v>3551249743857</v>
      </c>
      <c r="N113" s="152">
        <f t="shared" si="109"/>
        <v>2.13857E+15</v>
      </c>
      <c r="O113" s="152">
        <f t="shared" si="109"/>
        <v>4.18158E+18</v>
      </c>
      <c r="P113" s="152">
        <f t="shared" si="109"/>
        <v>3.16379E+22</v>
      </c>
      <c r="Q113" s="152">
        <f t="shared" si="109"/>
        <v>1.13744E+27</v>
      </c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6">
        <v>110.0</v>
      </c>
      <c r="C114" s="152">
        <f t="shared" ref="C114:Q114" si="110">C113/(1-C$2*C$3^($B114-1))</f>
        <v>5.233760257</v>
      </c>
      <c r="D114" s="152">
        <f t="shared" si="110"/>
        <v>14.93563492</v>
      </c>
      <c r="E114" s="152">
        <f t="shared" si="110"/>
        <v>49.99486181</v>
      </c>
      <c r="F114" s="152">
        <f t="shared" si="110"/>
        <v>226.4996861</v>
      </c>
      <c r="G114" s="152">
        <f t="shared" si="110"/>
        <v>1353.402049</v>
      </c>
      <c r="H114" s="152">
        <f t="shared" si="110"/>
        <v>11972.64684</v>
      </c>
      <c r="I114" s="152">
        <f t="shared" si="110"/>
        <v>170748.0359</v>
      </c>
      <c r="J114" s="152">
        <f t="shared" si="110"/>
        <v>4185175.353</v>
      </c>
      <c r="K114" s="152">
        <f t="shared" si="110"/>
        <v>184436649.8</v>
      </c>
      <c r="L114" s="152">
        <f t="shared" si="110"/>
        <v>16524903037</v>
      </c>
      <c r="M114" s="152">
        <f t="shared" si="110"/>
        <v>3627569693566</v>
      </c>
      <c r="N114" s="152">
        <f t="shared" si="110"/>
        <v>2.20885E+15</v>
      </c>
      <c r="O114" s="152">
        <f t="shared" si="110"/>
        <v>4.38982E+18</v>
      </c>
      <c r="P114" s="152">
        <f t="shared" si="110"/>
        <v>3.40094E+22</v>
      </c>
      <c r="Q114" s="152">
        <f t="shared" si="110"/>
        <v>1.26542E+27</v>
      </c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6">
        <v>111.0</v>
      </c>
      <c r="C115" s="152">
        <f t="shared" ref="C115:Q115" si="111">C114/(1-C$2*C$3^($B115-1))</f>
        <v>5.234218572</v>
      </c>
      <c r="D115" s="152">
        <f t="shared" si="111"/>
        <v>14.93848216</v>
      </c>
      <c r="E115" s="152">
        <f t="shared" si="111"/>
        <v>50.01315938</v>
      </c>
      <c r="F115" s="152">
        <f t="shared" si="111"/>
        <v>226.6512269</v>
      </c>
      <c r="G115" s="152">
        <f t="shared" si="111"/>
        <v>1354.981339</v>
      </c>
      <c r="H115" s="152">
        <f t="shared" si="111"/>
        <v>11996.35977</v>
      </c>
      <c r="I115" s="152">
        <f t="shared" si="111"/>
        <v>171309.6649</v>
      </c>
      <c r="J115" s="152">
        <f t="shared" si="111"/>
        <v>4207574.686</v>
      </c>
      <c r="K115" s="152">
        <f t="shared" si="111"/>
        <v>186011232.4</v>
      </c>
      <c r="L115" s="152">
        <f t="shared" si="111"/>
        <v>16746383031</v>
      </c>
      <c r="M115" s="152">
        <f t="shared" si="111"/>
        <v>3702983248806</v>
      </c>
      <c r="N115" s="152">
        <f t="shared" si="111"/>
        <v>2.27928E+15</v>
      </c>
      <c r="O115" s="152">
        <f t="shared" si="111"/>
        <v>4.60247E+18</v>
      </c>
      <c r="P115" s="152">
        <f t="shared" si="111"/>
        <v>3.64958E+22</v>
      </c>
      <c r="Q115" s="152">
        <f t="shared" si="111"/>
        <v>1.40464E+27</v>
      </c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6">
        <v>112.0</v>
      </c>
      <c r="C116" s="152">
        <f t="shared" ref="C116:Q116" si="112">C115/(1-C$2*C$3^($B116-1))</f>
        <v>5.234648507</v>
      </c>
      <c r="D116" s="152">
        <f t="shared" si="112"/>
        <v>14.94116189</v>
      </c>
      <c r="E116" s="152">
        <f t="shared" si="112"/>
        <v>50.03043826</v>
      </c>
      <c r="F116" s="152">
        <f t="shared" si="112"/>
        <v>226.794827</v>
      </c>
      <c r="G116" s="152">
        <f t="shared" si="112"/>
        <v>1356.483327</v>
      </c>
      <c r="H116" s="152">
        <f t="shared" si="112"/>
        <v>12019.00084</v>
      </c>
      <c r="I116" s="152">
        <f t="shared" si="112"/>
        <v>171848.2703</v>
      </c>
      <c r="J116" s="152">
        <f t="shared" si="112"/>
        <v>4229165.876</v>
      </c>
      <c r="K116" s="152">
        <f t="shared" si="112"/>
        <v>187538417.1</v>
      </c>
      <c r="L116" s="152">
        <f t="shared" si="112"/>
        <v>16962874226</v>
      </c>
      <c r="M116" s="152">
        <f t="shared" si="112"/>
        <v>3777451634190</v>
      </c>
      <c r="N116" s="152">
        <f t="shared" si="112"/>
        <v>2.34978E+15</v>
      </c>
      <c r="O116" s="152">
        <f t="shared" si="112"/>
        <v>4.81935E+18</v>
      </c>
      <c r="P116" s="152">
        <f t="shared" si="112"/>
        <v>3.90983E+22</v>
      </c>
      <c r="Q116" s="152">
        <f t="shared" si="112"/>
        <v>1.55576E+27</v>
      </c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6">
        <v>113.0</v>
      </c>
      <c r="C117" s="152">
        <f t="shared" ref="C117:Q117" si="113">C116/(1-C$2*C$3^($B117-1))</f>
        <v>5.235051816</v>
      </c>
      <c r="D117" s="152">
        <f t="shared" si="113"/>
        <v>14.94368395</v>
      </c>
      <c r="E117" s="152">
        <f t="shared" si="113"/>
        <v>50.04675483</v>
      </c>
      <c r="F117" s="152">
        <f t="shared" si="113"/>
        <v>226.9308979</v>
      </c>
      <c r="G117" s="152">
        <f t="shared" si="113"/>
        <v>1357.911718</v>
      </c>
      <c r="H117" s="152">
        <f t="shared" si="113"/>
        <v>12040.61658</v>
      </c>
      <c r="I117" s="152">
        <f t="shared" si="113"/>
        <v>172364.7245</v>
      </c>
      <c r="J117" s="152">
        <f t="shared" si="113"/>
        <v>4249973.703</v>
      </c>
      <c r="K117" s="152">
        <f t="shared" si="113"/>
        <v>189019168.9</v>
      </c>
      <c r="L117" s="152">
        <f t="shared" si="113"/>
        <v>17174393289</v>
      </c>
      <c r="M117" s="152">
        <f t="shared" si="113"/>
        <v>3850939403945</v>
      </c>
      <c r="N117" s="152">
        <f t="shared" si="113"/>
        <v>2.42028E+15</v>
      </c>
      <c r="O117" s="152">
        <f t="shared" si="113"/>
        <v>5.04028E+18</v>
      </c>
      <c r="P117" s="152">
        <f t="shared" si="113"/>
        <v>4.18177E+22</v>
      </c>
      <c r="Q117" s="152">
        <f t="shared" si="113"/>
        <v>1.71944E+27</v>
      </c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6">
        <v>114.0</v>
      </c>
      <c r="C118" s="152">
        <f t="shared" ref="C118:Q118" si="114">C117/(1-C$2*C$3^($B118-1))</f>
        <v>5.235430148</v>
      </c>
      <c r="D118" s="152">
        <f t="shared" si="114"/>
        <v>14.94605758</v>
      </c>
      <c r="E118" s="152">
        <f t="shared" si="114"/>
        <v>50.06216242</v>
      </c>
      <c r="F118" s="152">
        <f t="shared" si="114"/>
        <v>227.0598302</v>
      </c>
      <c r="G118" s="152">
        <f t="shared" si="114"/>
        <v>1359.270047</v>
      </c>
      <c r="H118" s="152">
        <f t="shared" si="114"/>
        <v>12061.25169</v>
      </c>
      <c r="I118" s="152">
        <f t="shared" si="114"/>
        <v>172859.8731</v>
      </c>
      <c r="J118" s="152">
        <f t="shared" si="114"/>
        <v>4270022.542</v>
      </c>
      <c r="K118" s="152">
        <f t="shared" si="114"/>
        <v>190454468.8</v>
      </c>
      <c r="L118" s="152">
        <f t="shared" si="114"/>
        <v>17380964259</v>
      </c>
      <c r="M118" s="152">
        <f t="shared" si="114"/>
        <v>3923414352590</v>
      </c>
      <c r="N118" s="152">
        <f t="shared" si="114"/>
        <v>2.49074E+15</v>
      </c>
      <c r="O118" s="152">
        <f t="shared" si="114"/>
        <v>5.26506E+18</v>
      </c>
      <c r="P118" s="152">
        <f t="shared" si="114"/>
        <v>4.46548E+22</v>
      </c>
      <c r="Q118" s="152">
        <f t="shared" si="114"/>
        <v>1.89634E+27</v>
      </c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6">
        <v>115.0</v>
      </c>
      <c r="C119" s="152">
        <f t="shared" ref="C119:Q119" si="115">C118/(1-C$2*C$3^($B119-1))</f>
        <v>5.235785048</v>
      </c>
      <c r="D119" s="152">
        <f t="shared" si="115"/>
        <v>14.94829149</v>
      </c>
      <c r="E119" s="152">
        <f t="shared" si="115"/>
        <v>50.07671142</v>
      </c>
      <c r="F119" s="152">
        <f t="shared" si="115"/>
        <v>227.1819948</v>
      </c>
      <c r="G119" s="152">
        <f t="shared" si="115"/>
        <v>1360.561685</v>
      </c>
      <c r="H119" s="152">
        <f t="shared" si="115"/>
        <v>12080.94907</v>
      </c>
      <c r="I119" s="152">
        <f t="shared" si="115"/>
        <v>173334.5349</v>
      </c>
      <c r="J119" s="152">
        <f t="shared" si="115"/>
        <v>4289336.345</v>
      </c>
      <c r="K119" s="152">
        <f t="shared" si="115"/>
        <v>191845310.6</v>
      </c>
      <c r="L119" s="152">
        <f t="shared" si="115"/>
        <v>17582617997</v>
      </c>
      <c r="M119" s="152">
        <f t="shared" si="115"/>
        <v>3994847418992</v>
      </c>
      <c r="N119" s="152">
        <f t="shared" si="115"/>
        <v>2.56108E+15</v>
      </c>
      <c r="O119" s="152">
        <f t="shared" si="115"/>
        <v>5.49349E+18</v>
      </c>
      <c r="P119" s="152">
        <f t="shared" si="115"/>
        <v>4.76102E+22</v>
      </c>
      <c r="Q119" s="152">
        <f t="shared" si="115"/>
        <v>2.08716E+27</v>
      </c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6">
        <v>116.0</v>
      </c>
      <c r="C120" s="152">
        <f t="shared" ref="C120:Q120" si="116">C119/(1-C$2*C$3^($B120-1))</f>
        <v>5.236117965</v>
      </c>
      <c r="D120" s="152">
        <f t="shared" si="116"/>
        <v>14.95039391</v>
      </c>
      <c r="E120" s="152">
        <f t="shared" si="116"/>
        <v>50.09044943</v>
      </c>
      <c r="F120" s="152">
        <f t="shared" si="116"/>
        <v>227.2977437</v>
      </c>
      <c r="G120" s="152">
        <f t="shared" si="116"/>
        <v>1361.78985</v>
      </c>
      <c r="H120" s="152">
        <f t="shared" si="116"/>
        <v>12099.74988</v>
      </c>
      <c r="I120" s="152">
        <f t="shared" si="116"/>
        <v>173789.5027</v>
      </c>
      <c r="J120" s="152">
        <f t="shared" si="116"/>
        <v>4307938.608</v>
      </c>
      <c r="K120" s="152">
        <f t="shared" si="116"/>
        <v>193192697.6</v>
      </c>
      <c r="L120" s="152">
        <f t="shared" si="116"/>
        <v>17779391649</v>
      </c>
      <c r="M120" s="152">
        <f t="shared" si="116"/>
        <v>4065212584870</v>
      </c>
      <c r="N120" s="152">
        <f t="shared" si="116"/>
        <v>2.63125E+15</v>
      </c>
      <c r="O120" s="152">
        <f t="shared" si="116"/>
        <v>5.72538E+18</v>
      </c>
      <c r="P120" s="152">
        <f t="shared" si="116"/>
        <v>5.0684E+22</v>
      </c>
      <c r="Q120" s="152">
        <f t="shared" si="116"/>
        <v>2.29255E+27</v>
      </c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6">
        <v>117.0</v>
      </c>
      <c r="C121" s="152">
        <f t="shared" ref="C121:Q121" si="117">C120/(1-C$2*C$3^($B121-1))</f>
        <v>5.236430259</v>
      </c>
      <c r="D121" s="152">
        <f t="shared" si="117"/>
        <v>14.95237254</v>
      </c>
      <c r="E121" s="152">
        <f t="shared" si="117"/>
        <v>50.10342148</v>
      </c>
      <c r="F121" s="152">
        <f t="shared" si="117"/>
        <v>227.4074107</v>
      </c>
      <c r="G121" s="152">
        <f t="shared" si="117"/>
        <v>1362.957607</v>
      </c>
      <c r="H121" s="152">
        <f t="shared" si="117"/>
        <v>12117.69362</v>
      </c>
      <c r="I121" s="152">
        <f t="shared" si="117"/>
        <v>174225.5432</v>
      </c>
      <c r="J121" s="152">
        <f t="shared" si="117"/>
        <v>4325852.362</v>
      </c>
      <c r="K121" s="152">
        <f t="shared" si="117"/>
        <v>194497639</v>
      </c>
      <c r="L121" s="152">
        <f t="shared" si="117"/>
        <v>17971328134</v>
      </c>
      <c r="M121" s="152">
        <f t="shared" si="117"/>
        <v>4134486768768</v>
      </c>
      <c r="N121" s="152">
        <f t="shared" si="117"/>
        <v>2.70121E+15</v>
      </c>
      <c r="O121" s="152">
        <f t="shared" si="117"/>
        <v>5.96051E+18</v>
      </c>
      <c r="P121" s="152">
        <f t="shared" si="117"/>
        <v>5.38762E+22</v>
      </c>
      <c r="Q121" s="152">
        <f t="shared" si="117"/>
        <v>2.51322E+27</v>
      </c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6">
        <v>118.0</v>
      </c>
      <c r="C122" s="152">
        <f t="shared" ref="C122:Q122" si="118">C121/(1-C$2*C$3^($B122-1))</f>
        <v>5.236723208</v>
      </c>
      <c r="D122" s="152">
        <f t="shared" si="118"/>
        <v>14.95423467</v>
      </c>
      <c r="E122" s="152">
        <f t="shared" si="118"/>
        <v>50.11567008</v>
      </c>
      <c r="F122" s="152">
        <f t="shared" si="118"/>
        <v>227.5113128</v>
      </c>
      <c r="G122" s="152">
        <f t="shared" si="118"/>
        <v>1364.067879</v>
      </c>
      <c r="H122" s="152">
        <f t="shared" si="118"/>
        <v>12134.81818</v>
      </c>
      <c r="I122" s="152">
        <f t="shared" si="118"/>
        <v>174643.3977</v>
      </c>
      <c r="J122" s="152">
        <f t="shared" si="118"/>
        <v>4343100.148</v>
      </c>
      <c r="K122" s="152">
        <f t="shared" si="118"/>
        <v>195761147.9</v>
      </c>
      <c r="L122" s="152">
        <f t="shared" si="118"/>
        <v>18158475649</v>
      </c>
      <c r="M122" s="152">
        <f t="shared" si="118"/>
        <v>4202649716418</v>
      </c>
      <c r="N122" s="152">
        <f t="shared" si="118"/>
        <v>2.77088E+15</v>
      </c>
      <c r="O122" s="152">
        <f t="shared" si="118"/>
        <v>6.19868E+18</v>
      </c>
      <c r="P122" s="152">
        <f t="shared" si="118"/>
        <v>5.71866E+22</v>
      </c>
      <c r="Q122" s="152">
        <f t="shared" si="118"/>
        <v>2.74983E+27</v>
      </c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6">
        <v>119.0</v>
      </c>
      <c r="C123" s="152">
        <f t="shared" ref="C123:Q123" si="119">C122/(1-C$2*C$3^($B123-1))</f>
        <v>5.236998009</v>
      </c>
      <c r="D123" s="152">
        <f t="shared" si="119"/>
        <v>14.95598713</v>
      </c>
      <c r="E123" s="152">
        <f t="shared" si="119"/>
        <v>50.12723543</v>
      </c>
      <c r="F123" s="152">
        <f t="shared" si="119"/>
        <v>227.6097507</v>
      </c>
      <c r="G123" s="152">
        <f t="shared" si="119"/>
        <v>1365.123454</v>
      </c>
      <c r="H123" s="152">
        <f t="shared" si="119"/>
        <v>12151.15985</v>
      </c>
      <c r="I123" s="152">
        <f t="shared" si="119"/>
        <v>175043.7824</v>
      </c>
      <c r="J123" s="152">
        <f t="shared" si="119"/>
        <v>4359704.01</v>
      </c>
      <c r="K123" s="152">
        <f t="shared" si="119"/>
        <v>196984237.6</v>
      </c>
      <c r="L123" s="152">
        <f t="shared" si="119"/>
        <v>18340887197</v>
      </c>
      <c r="M123" s="152">
        <f t="shared" si="119"/>
        <v>4269683888361</v>
      </c>
      <c r="N123" s="152">
        <f t="shared" si="119"/>
        <v>2.84023E+15</v>
      </c>
      <c r="O123" s="152">
        <f t="shared" si="119"/>
        <v>6.43968E+18</v>
      </c>
      <c r="P123" s="152">
        <f t="shared" si="119"/>
        <v>6.06148E+22</v>
      </c>
      <c r="Q123" s="152">
        <f t="shared" si="119"/>
        <v>3.00306E+27</v>
      </c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6">
        <v>120.0</v>
      </c>
      <c r="C124" s="152">
        <f t="shared" ref="C124:Q124" si="120">C123/(1-C$2*C$3^($B124-1))</f>
        <v>5.237255784</v>
      </c>
      <c r="D124" s="152">
        <f t="shared" si="120"/>
        <v>14.95763638</v>
      </c>
      <c r="E124" s="152">
        <f t="shared" si="120"/>
        <v>50.1381555</v>
      </c>
      <c r="F124" s="152">
        <f t="shared" si="120"/>
        <v>227.7030096</v>
      </c>
      <c r="G124" s="152">
        <f t="shared" si="120"/>
        <v>1366.126988</v>
      </c>
      <c r="H124" s="152">
        <f t="shared" si="120"/>
        <v>12166.75346</v>
      </c>
      <c r="I124" s="152">
        <f t="shared" si="120"/>
        <v>175427.389</v>
      </c>
      <c r="J124" s="152">
        <f t="shared" si="120"/>
        <v>4375685.483</v>
      </c>
      <c r="K124" s="152">
        <f t="shared" si="120"/>
        <v>198167920.2</v>
      </c>
      <c r="L124" s="152">
        <f t="shared" si="120"/>
        <v>18518620137</v>
      </c>
      <c r="M124" s="152">
        <f t="shared" si="120"/>
        <v>4335574345629</v>
      </c>
      <c r="N124" s="152">
        <f t="shared" si="120"/>
        <v>2.9092E+15</v>
      </c>
      <c r="O124" s="152">
        <f t="shared" si="120"/>
        <v>6.68329E+18</v>
      </c>
      <c r="P124" s="152">
        <f t="shared" si="120"/>
        <v>6.416E+22</v>
      </c>
      <c r="Q124" s="152">
        <f t="shared" si="120"/>
        <v>3.27359E+27</v>
      </c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6">
        <v>121.0</v>
      </c>
      <c r="C125" s="152">
        <f t="shared" ref="C125:Q125" si="121">C124/(1-C$2*C$3^($B125-1))</f>
        <v>5.237497589</v>
      </c>
      <c r="D125" s="152">
        <f t="shared" si="121"/>
        <v>14.95918849</v>
      </c>
      <c r="E125" s="152">
        <f t="shared" si="121"/>
        <v>50.14846617</v>
      </c>
      <c r="F125" s="152">
        <f t="shared" si="121"/>
        <v>227.79136</v>
      </c>
      <c r="G125" s="152">
        <f t="shared" si="121"/>
        <v>1367.081011</v>
      </c>
      <c r="H125" s="152">
        <f t="shared" si="121"/>
        <v>12181.63234</v>
      </c>
      <c r="I125" s="152">
        <f t="shared" si="121"/>
        <v>175794.8852</v>
      </c>
      <c r="J125" s="152">
        <f t="shared" si="121"/>
        <v>4391065.586</v>
      </c>
      <c r="K125" s="152">
        <f t="shared" si="121"/>
        <v>199313203.8</v>
      </c>
      <c r="L125" s="152">
        <f t="shared" si="121"/>
        <v>18691735755</v>
      </c>
      <c r="M125" s="152">
        <f t="shared" si="121"/>
        <v>4400308634220</v>
      </c>
      <c r="N125" s="152">
        <f t="shared" si="121"/>
        <v>2.97775E+15</v>
      </c>
      <c r="O125" s="152">
        <f t="shared" si="121"/>
        <v>6.92931E+18</v>
      </c>
      <c r="P125" s="152">
        <f t="shared" si="121"/>
        <v>6.78214E+22</v>
      </c>
      <c r="Q125" s="152">
        <f t="shared" si="121"/>
        <v>3.56206E+27</v>
      </c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6">
        <v>122.0</v>
      </c>
      <c r="C126" s="152">
        <f t="shared" ref="C126:Q126" si="122">C125/(1-C$2*C$3^($B126-1))</f>
        <v>5.237724411</v>
      </c>
      <c r="D126" s="152">
        <f t="shared" si="122"/>
        <v>14.96064917</v>
      </c>
      <c r="E126" s="152">
        <f t="shared" si="122"/>
        <v>50.15820133</v>
      </c>
      <c r="F126" s="152">
        <f t="shared" si="122"/>
        <v>227.8750586</v>
      </c>
      <c r="G126" s="152">
        <f t="shared" si="122"/>
        <v>1367.987933</v>
      </c>
      <c r="H126" s="152">
        <f t="shared" si="122"/>
        <v>12195.82843</v>
      </c>
      <c r="I126" s="152">
        <f t="shared" si="122"/>
        <v>176146.915</v>
      </c>
      <c r="J126" s="152">
        <f t="shared" si="122"/>
        <v>4405864.816</v>
      </c>
      <c r="K126" s="152">
        <f t="shared" si="122"/>
        <v>200421090.9</v>
      </c>
      <c r="L126" s="152">
        <f t="shared" si="122"/>
        <v>18860298851</v>
      </c>
      <c r="M126" s="152">
        <f t="shared" si="122"/>
        <v>4463876669010</v>
      </c>
      <c r="N126" s="152">
        <f t="shared" si="122"/>
        <v>3.04583E+15</v>
      </c>
      <c r="O126" s="152">
        <f t="shared" si="122"/>
        <v>7.17751E+18</v>
      </c>
      <c r="P126" s="152">
        <f t="shared" si="122"/>
        <v>7.15977E+22</v>
      </c>
      <c r="Q126" s="152">
        <f t="shared" si="122"/>
        <v>3.86914E+27</v>
      </c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6">
        <v>123.0</v>
      </c>
      <c r="C127" s="152">
        <f t="shared" ref="C127:Q127" si="123">C126/(1-C$2*C$3^($B127-1))</f>
        <v>5.237937179</v>
      </c>
      <c r="D127" s="152">
        <f t="shared" si="123"/>
        <v>14.96202379</v>
      </c>
      <c r="E127" s="152">
        <f t="shared" si="123"/>
        <v>50.167393</v>
      </c>
      <c r="F127" s="152">
        <f t="shared" si="123"/>
        <v>227.9543487</v>
      </c>
      <c r="G127" s="152">
        <f t="shared" si="123"/>
        <v>1368.850053</v>
      </c>
      <c r="H127" s="152">
        <f t="shared" si="123"/>
        <v>12209.37233</v>
      </c>
      <c r="I127" s="152">
        <f t="shared" si="123"/>
        <v>176484.0998</v>
      </c>
      <c r="J127" s="152">
        <f t="shared" si="123"/>
        <v>4420103.142</v>
      </c>
      <c r="K127" s="152">
        <f t="shared" si="123"/>
        <v>201492576.1</v>
      </c>
      <c r="L127" s="152">
        <f t="shared" si="123"/>
        <v>19024377357</v>
      </c>
      <c r="M127" s="152">
        <f t="shared" si="123"/>
        <v>4526270617734</v>
      </c>
      <c r="N127" s="152">
        <f t="shared" si="123"/>
        <v>3.11341E+15</v>
      </c>
      <c r="O127" s="152">
        <f t="shared" si="123"/>
        <v>7.42768E+18</v>
      </c>
      <c r="P127" s="152">
        <f t="shared" si="123"/>
        <v>7.54876E+22</v>
      </c>
      <c r="Q127" s="152">
        <f t="shared" si="123"/>
        <v>4.19546E+27</v>
      </c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6">
        <v>124.0</v>
      </c>
      <c r="C128" s="152">
        <f t="shared" ref="C128:Q128" si="124">C127/(1-C$2*C$3^($B128-1))</f>
        <v>5.238136763</v>
      </c>
      <c r="D128" s="152">
        <f t="shared" si="124"/>
        <v>14.96331742</v>
      </c>
      <c r="E128" s="152">
        <f t="shared" si="124"/>
        <v>50.17607144</v>
      </c>
      <c r="F128" s="152">
        <f t="shared" si="124"/>
        <v>228.0294612</v>
      </c>
      <c r="G128" s="152">
        <f t="shared" si="124"/>
        <v>1369.669557</v>
      </c>
      <c r="H128" s="152">
        <f t="shared" si="124"/>
        <v>12222.29333</v>
      </c>
      <c r="I128" s="152">
        <f t="shared" si="124"/>
        <v>176807.0383</v>
      </c>
      <c r="J128" s="152">
        <f t="shared" si="124"/>
        <v>4433800.009</v>
      </c>
      <c r="K128" s="152">
        <f t="shared" si="124"/>
        <v>202528645</v>
      </c>
      <c r="L128" s="152">
        <f t="shared" si="124"/>
        <v>19184041970</v>
      </c>
      <c r="M128" s="152">
        <f t="shared" si="124"/>
        <v>4587484785553</v>
      </c>
      <c r="N128" s="152">
        <f t="shared" si="124"/>
        <v>3.18044E+15</v>
      </c>
      <c r="O128" s="152">
        <f t="shared" si="124"/>
        <v>7.67961E+18</v>
      </c>
      <c r="P128" s="152">
        <f t="shared" si="124"/>
        <v>7.94895E+22</v>
      </c>
      <c r="Q128" s="152">
        <f t="shared" si="124"/>
        <v>4.54163E+27</v>
      </c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6">
        <v>125.0</v>
      </c>
      <c r="C129" s="152">
        <f t="shared" ref="C129:Q129" si="125">C128/(1-C$2*C$3^($B129-1))</f>
        <v>5.23832398</v>
      </c>
      <c r="D129" s="152">
        <f t="shared" si="125"/>
        <v>14.96453482</v>
      </c>
      <c r="E129" s="152">
        <f t="shared" si="125"/>
        <v>50.18426523</v>
      </c>
      <c r="F129" s="152">
        <f t="shared" si="125"/>
        <v>228.100615</v>
      </c>
      <c r="G129" s="152">
        <f t="shared" si="125"/>
        <v>1370.448528</v>
      </c>
      <c r="H129" s="152">
        <f t="shared" si="125"/>
        <v>12234.61946</v>
      </c>
      <c r="I129" s="152">
        <f t="shared" si="125"/>
        <v>177116.3075</v>
      </c>
      <c r="J129" s="152">
        <f t="shared" si="125"/>
        <v>4446974.335</v>
      </c>
      <c r="K129" s="152">
        <f t="shared" si="125"/>
        <v>203530272.7</v>
      </c>
      <c r="L129" s="152">
        <f t="shared" si="125"/>
        <v>19339365803</v>
      </c>
      <c r="M129" s="152">
        <f t="shared" si="125"/>
        <v>4647515500699</v>
      </c>
      <c r="N129" s="152">
        <f t="shared" si="125"/>
        <v>3.24688E+15</v>
      </c>
      <c r="O129" s="152">
        <f t="shared" si="125"/>
        <v>7.93309E+18</v>
      </c>
      <c r="P129" s="152">
        <f t="shared" si="125"/>
        <v>8.36016E+22</v>
      </c>
      <c r="Q129" s="152">
        <f t="shared" si="125"/>
        <v>4.90828E+27</v>
      </c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6">
        <v>126.0</v>
      </c>
      <c r="C130" s="152">
        <f t="shared" ref="C130:Q130" si="126">C129/(1-C$2*C$3^($B130-1))</f>
        <v>5.238499595</v>
      </c>
      <c r="D130" s="152">
        <f t="shared" si="126"/>
        <v>14.96568049</v>
      </c>
      <c r="E130" s="152">
        <f t="shared" si="126"/>
        <v>50.19200135</v>
      </c>
      <c r="F130" s="152">
        <f t="shared" si="126"/>
        <v>228.1680175</v>
      </c>
      <c r="G130" s="152">
        <f t="shared" si="126"/>
        <v>1371.188951</v>
      </c>
      <c r="H130" s="152">
        <f t="shared" si="126"/>
        <v>12246.37756</v>
      </c>
      <c r="I130" s="152">
        <f t="shared" si="126"/>
        <v>177412.4632</v>
      </c>
      <c r="J130" s="152">
        <f t="shared" si="126"/>
        <v>4459644.509</v>
      </c>
      <c r="K130" s="152">
        <f t="shared" si="126"/>
        <v>204498421.9</v>
      </c>
      <c r="L130" s="152">
        <f t="shared" si="126"/>
        <v>19490424060</v>
      </c>
      <c r="M130" s="152">
        <f t="shared" si="126"/>
        <v>4706361001632</v>
      </c>
      <c r="N130" s="152">
        <f t="shared" si="126"/>
        <v>3.31271E+15</v>
      </c>
      <c r="O130" s="152">
        <f t="shared" si="126"/>
        <v>8.18791E+18</v>
      </c>
      <c r="P130" s="152">
        <f t="shared" si="126"/>
        <v>8.7822E+22</v>
      </c>
      <c r="Q130" s="152">
        <f t="shared" si="126"/>
        <v>5.29596E+27</v>
      </c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6">
        <v>127.0</v>
      </c>
      <c r="C131" s="152">
        <f t="shared" ref="C131:Q131" si="127">C130/(1-C$2*C$3^($B131-1))</f>
        <v>5.238664327</v>
      </c>
      <c r="D131" s="152">
        <f t="shared" si="127"/>
        <v>14.96675864</v>
      </c>
      <c r="E131" s="152">
        <f t="shared" si="127"/>
        <v>50.19930532</v>
      </c>
      <c r="F131" s="152">
        <f t="shared" si="127"/>
        <v>228.2318655</v>
      </c>
      <c r="G131" s="152">
        <f t="shared" si="127"/>
        <v>1371.892714</v>
      </c>
      <c r="H131" s="152">
        <f t="shared" si="127"/>
        <v>12257.59328</v>
      </c>
      <c r="I131" s="152">
        <f t="shared" si="127"/>
        <v>177696.0407</v>
      </c>
      <c r="J131" s="152">
        <f t="shared" si="127"/>
        <v>4471828.403</v>
      </c>
      <c r="K131" s="152">
        <f t="shared" si="127"/>
        <v>205434042.6</v>
      </c>
      <c r="L131" s="152">
        <f t="shared" si="127"/>
        <v>19637293735</v>
      </c>
      <c r="M131" s="152">
        <f t="shared" si="127"/>
        <v>4764021326076</v>
      </c>
      <c r="N131" s="152">
        <f t="shared" si="127"/>
        <v>3.37788E+15</v>
      </c>
      <c r="O131" s="152">
        <f t="shared" si="127"/>
        <v>8.44386E+18</v>
      </c>
      <c r="P131" s="152">
        <f t="shared" si="127"/>
        <v>9.21484E+22</v>
      </c>
      <c r="Q131" s="152">
        <f t="shared" si="127"/>
        <v>5.70526E+27</v>
      </c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6">
        <v>128.0</v>
      </c>
      <c r="C132" s="152">
        <f t="shared" ref="C132:Q132" si="128">C131/(1-C$2*C$3^($B132-1))</f>
        <v>5.23881885</v>
      </c>
      <c r="D132" s="152">
        <f t="shared" si="128"/>
        <v>14.96777325</v>
      </c>
      <c r="E132" s="152">
        <f t="shared" si="128"/>
        <v>50.20620121</v>
      </c>
      <c r="F132" s="152">
        <f t="shared" si="128"/>
        <v>228.2923456</v>
      </c>
      <c r="G132" s="152">
        <f t="shared" si="128"/>
        <v>1372.561614</v>
      </c>
      <c r="H132" s="152">
        <f t="shared" si="128"/>
        <v>12268.29119</v>
      </c>
      <c r="I132" s="152">
        <f t="shared" si="128"/>
        <v>177967.5549</v>
      </c>
      <c r="J132" s="152">
        <f t="shared" si="128"/>
        <v>4483543.367</v>
      </c>
      <c r="K132" s="152">
        <f t="shared" si="128"/>
        <v>206338070.6</v>
      </c>
      <c r="L132" s="152">
        <f t="shared" si="128"/>
        <v>19780053317</v>
      </c>
      <c r="M132" s="152">
        <f t="shared" si="128"/>
        <v>4820498202273</v>
      </c>
      <c r="N132" s="152">
        <f t="shared" si="128"/>
        <v>3.44238E+15</v>
      </c>
      <c r="O132" s="152">
        <f t="shared" si="128"/>
        <v>8.70075E+18</v>
      </c>
      <c r="P132" s="152">
        <f t="shared" si="128"/>
        <v>9.65786E+22</v>
      </c>
      <c r="Q132" s="152">
        <f t="shared" si="128"/>
        <v>6.13671E+27</v>
      </c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6">
        <v>129.0</v>
      </c>
      <c r="C133" s="152">
        <f t="shared" ref="C133:Q133" si="129">C132/(1-C$2*C$3^($B133-1))</f>
        <v>5.238963797</v>
      </c>
      <c r="D133" s="152">
        <f t="shared" si="129"/>
        <v>14.96872805</v>
      </c>
      <c r="E133" s="152">
        <f t="shared" si="129"/>
        <v>50.21271178</v>
      </c>
      <c r="F133" s="152">
        <f t="shared" si="129"/>
        <v>228.3496347</v>
      </c>
      <c r="G133" s="152">
        <f t="shared" si="129"/>
        <v>1373.197364</v>
      </c>
      <c r="H133" s="152">
        <f t="shared" si="129"/>
        <v>12278.49478</v>
      </c>
      <c r="I133" s="152">
        <f t="shared" si="129"/>
        <v>178227.5017</v>
      </c>
      <c r="J133" s="152">
        <f t="shared" si="129"/>
        <v>4494806.239</v>
      </c>
      <c r="K133" s="152">
        <f t="shared" si="129"/>
        <v>207211426.5</v>
      </c>
      <c r="L133" s="152">
        <f t="shared" si="129"/>
        <v>19918782527</v>
      </c>
      <c r="M133" s="152">
        <f t="shared" si="129"/>
        <v>4875794942735</v>
      </c>
      <c r="N133" s="152">
        <f t="shared" si="129"/>
        <v>3.50616E+15</v>
      </c>
      <c r="O133" s="152">
        <f t="shared" si="129"/>
        <v>8.95836E+18</v>
      </c>
      <c r="P133" s="152">
        <f t="shared" si="129"/>
        <v>1.0111E+23</v>
      </c>
      <c r="Q133" s="152">
        <f t="shared" si="129"/>
        <v>6.59081E+27</v>
      </c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6">
        <v>130.0</v>
      </c>
      <c r="C134" s="152">
        <f t="shared" ref="C134:Q134" si="130">C133/(1-C$2*C$3^($B134-1))</f>
        <v>5.239099761</v>
      </c>
      <c r="D134" s="152">
        <f t="shared" si="130"/>
        <v>14.96962658</v>
      </c>
      <c r="E134" s="152">
        <f t="shared" si="130"/>
        <v>50.2188585</v>
      </c>
      <c r="F134" s="152">
        <f t="shared" si="130"/>
        <v>228.4039003</v>
      </c>
      <c r="G134" s="152">
        <f t="shared" si="130"/>
        <v>1373.801592</v>
      </c>
      <c r="H134" s="152">
        <f t="shared" si="130"/>
        <v>12288.22651</v>
      </c>
      <c r="I134" s="152">
        <f t="shared" si="130"/>
        <v>178476.3578</v>
      </c>
      <c r="J134" s="152">
        <f t="shared" si="130"/>
        <v>4505633.351</v>
      </c>
      <c r="K134" s="152">
        <f t="shared" si="130"/>
        <v>208055015.3</v>
      </c>
      <c r="L134" s="152">
        <f t="shared" si="130"/>
        <v>20053562065</v>
      </c>
      <c r="M134" s="152">
        <f t="shared" si="130"/>
        <v>4929916340732</v>
      </c>
      <c r="N134" s="152">
        <f t="shared" si="130"/>
        <v>3.56921E+15</v>
      </c>
      <c r="O134" s="152">
        <f t="shared" si="130"/>
        <v>9.21651E+18</v>
      </c>
      <c r="P134" s="152">
        <f t="shared" si="130"/>
        <v>1.0574E+23</v>
      </c>
      <c r="Q134" s="152">
        <f t="shared" si="130"/>
        <v>7.06806E+27</v>
      </c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6">
        <v>131.0</v>
      </c>
      <c r="C135" s="152">
        <f t="shared" ref="C135:Q135" si="131">C134/(1-C$2*C$3^($B135-1))</f>
        <v>5.239227298</v>
      </c>
      <c r="D135" s="152">
        <f t="shared" si="131"/>
        <v>14.97047214</v>
      </c>
      <c r="E135" s="152">
        <f t="shared" si="131"/>
        <v>50.22466168</v>
      </c>
      <c r="F135" s="152">
        <f t="shared" si="131"/>
        <v>228.4553014</v>
      </c>
      <c r="G135" s="152">
        <f t="shared" si="131"/>
        <v>1374.375849</v>
      </c>
      <c r="H135" s="152">
        <f t="shared" si="131"/>
        <v>12297.50786</v>
      </c>
      <c r="I135" s="152">
        <f t="shared" si="131"/>
        <v>178714.5818</v>
      </c>
      <c r="J135" s="152">
        <f t="shared" si="131"/>
        <v>4516040.535</v>
      </c>
      <c r="K135" s="152">
        <f t="shared" si="131"/>
        <v>208869725.6</v>
      </c>
      <c r="L135" s="152">
        <f t="shared" si="131"/>
        <v>20184473376</v>
      </c>
      <c r="M135" s="152">
        <f t="shared" si="131"/>
        <v>4982868569730</v>
      </c>
      <c r="N135" s="152">
        <f t="shared" si="131"/>
        <v>3.63149E+15</v>
      </c>
      <c r="O135" s="152">
        <f t="shared" si="131"/>
        <v>9.47499E+18</v>
      </c>
      <c r="P135" s="152">
        <f t="shared" si="131"/>
        <v>1.10465E+23</v>
      </c>
      <c r="Q135" s="152">
        <f t="shared" si="131"/>
        <v>7.5689E+27</v>
      </c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6">
        <v>132.0</v>
      </c>
      <c r="C136" s="152">
        <f t="shared" ref="C136:Q136" si="132">C135/(1-C$2*C$3^($B136-1))</f>
        <v>5.23934693</v>
      </c>
      <c r="D136" s="152">
        <f t="shared" si="132"/>
        <v>14.97126786</v>
      </c>
      <c r="E136" s="152">
        <f t="shared" si="132"/>
        <v>50.23014048</v>
      </c>
      <c r="F136" s="152">
        <f t="shared" si="132"/>
        <v>228.5039886</v>
      </c>
      <c r="G136" s="152">
        <f t="shared" si="132"/>
        <v>1374.921609</v>
      </c>
      <c r="H136" s="152">
        <f t="shared" si="132"/>
        <v>12306.35934</v>
      </c>
      <c r="I136" s="152">
        <f t="shared" si="132"/>
        <v>178942.6145</v>
      </c>
      <c r="J136" s="152">
        <f t="shared" si="132"/>
        <v>4526043.13</v>
      </c>
      <c r="K136" s="152">
        <f t="shared" si="132"/>
        <v>209656428.9</v>
      </c>
      <c r="L136" s="152">
        <f t="shared" si="132"/>
        <v>20311598434</v>
      </c>
      <c r="M136" s="152">
        <f t="shared" si="132"/>
        <v>5034659085929</v>
      </c>
      <c r="N136" s="152">
        <f t="shared" si="132"/>
        <v>3.693E+15</v>
      </c>
      <c r="O136" s="152">
        <f t="shared" si="132"/>
        <v>9.73363E+18</v>
      </c>
      <c r="P136" s="152">
        <f t="shared" si="132"/>
        <v>1.15283E+23</v>
      </c>
      <c r="Q136" s="152">
        <f t="shared" si="132"/>
        <v>8.09376E+27</v>
      </c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6">
        <v>133.0</v>
      </c>
      <c r="C137" s="152">
        <f t="shared" ref="C137:Q137" si="133">C136/(1-C$2*C$3^($B137-1))</f>
        <v>5.239459148</v>
      </c>
      <c r="D137" s="152">
        <f t="shared" si="133"/>
        <v>14.97201666</v>
      </c>
      <c r="E137" s="152">
        <f t="shared" si="133"/>
        <v>50.235313</v>
      </c>
      <c r="F137" s="152">
        <f t="shared" si="133"/>
        <v>228.5501047</v>
      </c>
      <c r="G137" s="152">
        <f t="shared" si="133"/>
        <v>1375.440277</v>
      </c>
      <c r="H137" s="152">
        <f t="shared" si="133"/>
        <v>12314.80059</v>
      </c>
      <c r="I137" s="152">
        <f t="shared" si="133"/>
        <v>179160.8797</v>
      </c>
      <c r="J137" s="152">
        <f t="shared" si="133"/>
        <v>4535655.993</v>
      </c>
      <c r="K137" s="152">
        <f t="shared" si="133"/>
        <v>210415979.3</v>
      </c>
      <c r="L137" s="152">
        <f t="shared" si="133"/>
        <v>20435019540</v>
      </c>
      <c r="M137" s="152">
        <f t="shared" si="133"/>
        <v>5085296534053</v>
      </c>
      <c r="N137" s="152">
        <f t="shared" si="133"/>
        <v>3.7537E+15</v>
      </c>
      <c r="O137" s="152">
        <f t="shared" si="133"/>
        <v>9.99223E+18</v>
      </c>
      <c r="P137" s="152">
        <f t="shared" si="133"/>
        <v>1.20191E+23</v>
      </c>
      <c r="Q137" s="152">
        <f t="shared" si="133"/>
        <v>8.64303E+27</v>
      </c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6">
        <v>134.0</v>
      </c>
      <c r="C138" s="152">
        <f t="shared" ref="C138:Q138" si="134">C137/(1-C$2*C$3^($B138-1))</f>
        <v>5.23956441</v>
      </c>
      <c r="D138" s="152">
        <f t="shared" si="134"/>
        <v>14.97272132</v>
      </c>
      <c r="E138" s="152">
        <f t="shared" si="134"/>
        <v>50.24019633</v>
      </c>
      <c r="F138" s="152">
        <f t="shared" si="134"/>
        <v>228.593785</v>
      </c>
      <c r="G138" s="152">
        <f t="shared" si="134"/>
        <v>1375.933189</v>
      </c>
      <c r="H138" s="152">
        <f t="shared" si="134"/>
        <v>12322.85037</v>
      </c>
      <c r="I138" s="152">
        <f t="shared" si="134"/>
        <v>179369.7845</v>
      </c>
      <c r="J138" s="152">
        <f t="shared" si="134"/>
        <v>4544893.503</v>
      </c>
      <c r="K138" s="152">
        <f t="shared" si="134"/>
        <v>211149212.9</v>
      </c>
      <c r="L138" s="152">
        <f t="shared" si="134"/>
        <v>20554819135</v>
      </c>
      <c r="M138" s="152">
        <f t="shared" si="134"/>
        <v>5134790656480</v>
      </c>
      <c r="N138" s="152">
        <f t="shared" si="134"/>
        <v>3.81358E+15</v>
      </c>
      <c r="O138" s="152">
        <f t="shared" si="134"/>
        <v>1.02506E+19</v>
      </c>
      <c r="P138" s="152">
        <f t="shared" si="134"/>
        <v>1.25185E+23</v>
      </c>
      <c r="Q138" s="152">
        <f t="shared" si="134"/>
        <v>9.21707E+27</v>
      </c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6">
        <v>135.0</v>
      </c>
      <c r="C139" s="152">
        <f t="shared" ref="C139:Q139" si="135">C138/(1-C$2*C$3^($B139-1))</f>
        <v>5.239663148</v>
      </c>
      <c r="D139" s="152">
        <f t="shared" si="135"/>
        <v>14.97338444</v>
      </c>
      <c r="E139" s="152">
        <f t="shared" si="135"/>
        <v>50.24480662</v>
      </c>
      <c r="F139" s="152">
        <f t="shared" si="135"/>
        <v>228.6351577</v>
      </c>
      <c r="G139" s="152">
        <f t="shared" si="135"/>
        <v>1376.401614</v>
      </c>
      <c r="H139" s="152">
        <f t="shared" si="135"/>
        <v>12330.52658</v>
      </c>
      <c r="I139" s="152">
        <f t="shared" si="135"/>
        <v>179569.7201</v>
      </c>
      <c r="J139" s="152">
        <f t="shared" si="135"/>
        <v>4553769.576</v>
      </c>
      <c r="K139" s="152">
        <f t="shared" si="135"/>
        <v>211856948</v>
      </c>
      <c r="L139" s="152">
        <f t="shared" si="135"/>
        <v>20671079628</v>
      </c>
      <c r="M139" s="152">
        <f t="shared" si="135"/>
        <v>5183152205804</v>
      </c>
      <c r="N139" s="152">
        <f t="shared" si="135"/>
        <v>3.87263E+15</v>
      </c>
      <c r="O139" s="152">
        <f t="shared" si="135"/>
        <v>1.05086E+19</v>
      </c>
      <c r="P139" s="152">
        <f t="shared" si="135"/>
        <v>1.30262E+23</v>
      </c>
      <c r="Q139" s="152">
        <f t="shared" si="135"/>
        <v>9.81619E+27</v>
      </c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6">
        <v>136.0</v>
      </c>
      <c r="C140" s="152">
        <f t="shared" ref="C140:Q140" si="136">C139/(1-C$2*C$3^($B140-1))</f>
        <v>5.239755766</v>
      </c>
      <c r="D140" s="152">
        <f t="shared" si="136"/>
        <v>14.97400845</v>
      </c>
      <c r="E140" s="152">
        <f t="shared" si="136"/>
        <v>50.24915911</v>
      </c>
      <c r="F140" s="152">
        <f t="shared" si="136"/>
        <v>228.6743444</v>
      </c>
      <c r="G140" s="152">
        <f t="shared" si="136"/>
        <v>1376.846761</v>
      </c>
      <c r="H140" s="152">
        <f t="shared" si="136"/>
        <v>12337.84635</v>
      </c>
      <c r="I140" s="152">
        <f t="shared" si="136"/>
        <v>179761.0623</v>
      </c>
      <c r="J140" s="152">
        <f t="shared" si="136"/>
        <v>4562297.672</v>
      </c>
      <c r="K140" s="152">
        <f t="shared" si="136"/>
        <v>212539984.2</v>
      </c>
      <c r="L140" s="152">
        <f t="shared" si="136"/>
        <v>20783883241</v>
      </c>
      <c r="M140" s="152">
        <f t="shared" si="136"/>
        <v>5230392860858</v>
      </c>
      <c r="N140" s="152">
        <f t="shared" si="136"/>
        <v>3.93082E+15</v>
      </c>
      <c r="O140" s="152">
        <f t="shared" si="136"/>
        <v>1.07661E+19</v>
      </c>
      <c r="P140" s="152">
        <f t="shared" si="136"/>
        <v>1.35419E+23</v>
      </c>
      <c r="Q140" s="152">
        <f t="shared" si="136"/>
        <v>1.04407E+28</v>
      </c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6">
        <v>137.0</v>
      </c>
      <c r="C141" s="152">
        <f t="shared" ref="C141:Q141" si="137">C140/(1-C$2*C$3^($B141-1))</f>
        <v>5.239842643</v>
      </c>
      <c r="D141" s="152">
        <f t="shared" si="137"/>
        <v>14.97459568</v>
      </c>
      <c r="E141" s="152">
        <f t="shared" si="137"/>
        <v>50.2532682</v>
      </c>
      <c r="F141" s="152">
        <f t="shared" si="137"/>
        <v>228.7114602</v>
      </c>
      <c r="G141" s="152">
        <f t="shared" si="137"/>
        <v>1377.269781</v>
      </c>
      <c r="H141" s="152">
        <f t="shared" si="137"/>
        <v>12344.82604</v>
      </c>
      <c r="I141" s="152">
        <f t="shared" si="137"/>
        <v>179944.1717</v>
      </c>
      <c r="J141" s="152">
        <f t="shared" si="137"/>
        <v>4570490.802</v>
      </c>
      <c r="K141" s="152">
        <f t="shared" si="137"/>
        <v>213199102.7</v>
      </c>
      <c r="L141" s="152">
        <f t="shared" si="137"/>
        <v>20893311860</v>
      </c>
      <c r="M141" s="152">
        <f t="shared" si="137"/>
        <v>5276525146253</v>
      </c>
      <c r="N141" s="152">
        <f t="shared" si="137"/>
        <v>3.98815E+15</v>
      </c>
      <c r="O141" s="152">
        <f t="shared" si="137"/>
        <v>1.10228E+19</v>
      </c>
      <c r="P141" s="152">
        <f t="shared" si="137"/>
        <v>1.40652E+23</v>
      </c>
      <c r="Q141" s="152">
        <f t="shared" si="137"/>
        <v>1.10908E+28</v>
      </c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6">
        <v>138.0</v>
      </c>
      <c r="C142" s="152">
        <f t="shared" ref="C142:Q142" si="138">C141/(1-C$2*C$3^($B142-1))</f>
        <v>5.239924134</v>
      </c>
      <c r="D142" s="152">
        <f t="shared" si="138"/>
        <v>14.97514827</v>
      </c>
      <c r="E142" s="152">
        <f t="shared" si="138"/>
        <v>50.25714748</v>
      </c>
      <c r="F142" s="152">
        <f t="shared" si="138"/>
        <v>228.7466143</v>
      </c>
      <c r="G142" s="152">
        <f t="shared" si="138"/>
        <v>1377.671768</v>
      </c>
      <c r="H142" s="152">
        <f t="shared" si="138"/>
        <v>12351.48127</v>
      </c>
      <c r="I142" s="152">
        <f t="shared" si="138"/>
        <v>180119.3947</v>
      </c>
      <c r="J142" s="152">
        <f t="shared" si="138"/>
        <v>4578361.545</v>
      </c>
      <c r="K142" s="152">
        <f t="shared" si="138"/>
        <v>213835066.1</v>
      </c>
      <c r="L142" s="152">
        <f t="shared" si="138"/>
        <v>20999446903</v>
      </c>
      <c r="M142" s="152">
        <f t="shared" si="138"/>
        <v>5321562355414</v>
      </c>
      <c r="N142" s="152">
        <f t="shared" si="138"/>
        <v>4.04461E+15</v>
      </c>
      <c r="O142" s="152">
        <f t="shared" si="138"/>
        <v>1.12787E+19</v>
      </c>
      <c r="P142" s="152">
        <f t="shared" si="138"/>
        <v>1.45957E+23</v>
      </c>
      <c r="Q142" s="152">
        <f t="shared" si="138"/>
        <v>1.17667E+28</v>
      </c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6">
        <v>139.0</v>
      </c>
      <c r="C143" s="152">
        <f t="shared" ref="C143:Q143" si="139">C142/(1-C$2*C$3^($B143-1))</f>
        <v>5.240000575</v>
      </c>
      <c r="D143" s="152">
        <f t="shared" si="139"/>
        <v>14.97566829</v>
      </c>
      <c r="E143" s="152">
        <f t="shared" si="139"/>
        <v>50.26080978</v>
      </c>
      <c r="F143" s="152">
        <f t="shared" si="139"/>
        <v>228.77991</v>
      </c>
      <c r="G143" s="152">
        <f t="shared" si="139"/>
        <v>1378.053761</v>
      </c>
      <c r="H143" s="152">
        <f t="shared" si="139"/>
        <v>12357.82696</v>
      </c>
      <c r="I143" s="152">
        <f t="shared" si="139"/>
        <v>180287.0639</v>
      </c>
      <c r="J143" s="152">
        <f t="shared" si="139"/>
        <v>4585922.052</v>
      </c>
      <c r="K143" s="152">
        <f t="shared" si="139"/>
        <v>214448618.3</v>
      </c>
      <c r="L143" s="152">
        <f t="shared" si="139"/>
        <v>21102369200</v>
      </c>
      <c r="M143" s="152">
        <f t="shared" si="139"/>
        <v>5365518477131</v>
      </c>
      <c r="N143" s="152">
        <f t="shared" si="139"/>
        <v>4.10019E+15</v>
      </c>
      <c r="O143" s="152">
        <f t="shared" si="139"/>
        <v>1.15336E+19</v>
      </c>
      <c r="P143" s="152">
        <f t="shared" si="139"/>
        <v>1.51331E+23</v>
      </c>
      <c r="Q143" s="152">
        <f t="shared" si="139"/>
        <v>1.24687E+28</v>
      </c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6">
        <v>140.0</v>
      </c>
      <c r="C144" s="152">
        <f t="shared" ref="C144:Q144" si="140">C143/(1-C$2*C$3^($B144-1))</f>
        <v>5.240072277</v>
      </c>
      <c r="D144" s="152">
        <f t="shared" si="140"/>
        <v>14.97615763</v>
      </c>
      <c r="E144" s="152">
        <f t="shared" si="140"/>
        <v>50.26426723</v>
      </c>
      <c r="F144" s="152">
        <f t="shared" si="140"/>
        <v>228.8114454</v>
      </c>
      <c r="G144" s="152">
        <f t="shared" si="140"/>
        <v>1378.41675</v>
      </c>
      <c r="H144" s="152">
        <f t="shared" si="140"/>
        <v>12363.87737</v>
      </c>
      <c r="I144" s="152">
        <f t="shared" si="140"/>
        <v>180447.4982</v>
      </c>
      <c r="J144" s="152">
        <f t="shared" si="140"/>
        <v>4593184.06</v>
      </c>
      <c r="K144" s="152">
        <f t="shared" si="140"/>
        <v>215040484.6</v>
      </c>
      <c r="L144" s="152">
        <f t="shared" si="140"/>
        <v>21202158886</v>
      </c>
      <c r="M144" s="152">
        <f t="shared" si="140"/>
        <v>5408408125574</v>
      </c>
      <c r="N144" s="152">
        <f t="shared" si="140"/>
        <v>4.15487E+15</v>
      </c>
      <c r="O144" s="152">
        <f t="shared" si="140"/>
        <v>1.17873E+19</v>
      </c>
      <c r="P144" s="152">
        <f t="shared" si="140"/>
        <v>1.5677E+23</v>
      </c>
      <c r="Q144" s="152">
        <f t="shared" si="140"/>
        <v>1.31967E+28</v>
      </c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6">
        <v>141.0</v>
      </c>
      <c r="C145" s="152">
        <f t="shared" ref="C145:Q145" si="141">C144/(1-C$2*C$3^($B145-1))</f>
        <v>5.240139534</v>
      </c>
      <c r="D145" s="152">
        <f t="shared" si="141"/>
        <v>14.97661812</v>
      </c>
      <c r="E145" s="152">
        <f t="shared" si="141"/>
        <v>50.26753128</v>
      </c>
      <c r="F145" s="152">
        <f t="shared" si="141"/>
        <v>228.8413134</v>
      </c>
      <c r="G145" s="152">
        <f t="shared" si="141"/>
        <v>1378.761676</v>
      </c>
      <c r="H145" s="152">
        <f t="shared" si="141"/>
        <v>12369.64609</v>
      </c>
      <c r="I145" s="152">
        <f t="shared" si="141"/>
        <v>180601.004</v>
      </c>
      <c r="J145" s="152">
        <f t="shared" si="141"/>
        <v>4600158.901</v>
      </c>
      <c r="K145" s="152">
        <f t="shared" si="141"/>
        <v>215611371.5</v>
      </c>
      <c r="L145" s="152">
        <f t="shared" si="141"/>
        <v>21298895295</v>
      </c>
      <c r="M145" s="152">
        <f t="shared" si="141"/>
        <v>5450246473747</v>
      </c>
      <c r="N145" s="152">
        <f t="shared" si="141"/>
        <v>4.20865E+15</v>
      </c>
      <c r="O145" s="152">
        <f t="shared" si="141"/>
        <v>1.20396E+19</v>
      </c>
      <c r="P145" s="152">
        <f t="shared" si="141"/>
        <v>1.62271E+23</v>
      </c>
      <c r="Q145" s="152">
        <f t="shared" si="141"/>
        <v>1.3951E+28</v>
      </c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6">
        <v>142.0</v>
      </c>
      <c r="C146" s="152">
        <f t="shared" ref="C146:Q146" si="142">C145/(1-C$2*C$3^($B146-1))</f>
        <v>5.240202623</v>
      </c>
      <c r="D146" s="152">
        <f t="shared" si="142"/>
        <v>14.97705145</v>
      </c>
      <c r="E146" s="152">
        <f t="shared" si="142"/>
        <v>50.27061273</v>
      </c>
      <c r="F146" s="152">
        <f t="shared" si="142"/>
        <v>228.8696018</v>
      </c>
      <c r="G146" s="152">
        <f t="shared" si="142"/>
        <v>1379.089433</v>
      </c>
      <c r="H146" s="152">
        <f t="shared" si="142"/>
        <v>12375.14613</v>
      </c>
      <c r="I146" s="152">
        <f t="shared" si="142"/>
        <v>180747.8748</v>
      </c>
      <c r="J146" s="152">
        <f t="shared" si="142"/>
        <v>4606857.514</v>
      </c>
      <c r="K146" s="152">
        <f t="shared" si="142"/>
        <v>216161967.2</v>
      </c>
      <c r="L146" s="152">
        <f t="shared" si="142"/>
        <v>21392656876</v>
      </c>
      <c r="M146" s="152">
        <f t="shared" si="142"/>
        <v>5491049190328</v>
      </c>
      <c r="N146" s="152">
        <f t="shared" si="142"/>
        <v>4.26153E+15</v>
      </c>
      <c r="O146" s="152">
        <f t="shared" si="142"/>
        <v>1.22906E+19</v>
      </c>
      <c r="P146" s="152">
        <f t="shared" si="142"/>
        <v>1.67829E+23</v>
      </c>
      <c r="Q146" s="152">
        <f t="shared" si="142"/>
        <v>1.47316E+28</v>
      </c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6">
        <v>143.0</v>
      </c>
      <c r="C147" s="152">
        <f t="shared" ref="C147:Q147" si="143">C146/(1-C$2*C$3^($B147-1))</f>
        <v>5.2402618</v>
      </c>
      <c r="D147" s="152">
        <f t="shared" si="143"/>
        <v>14.97745923</v>
      </c>
      <c r="E147" s="152">
        <f t="shared" si="143"/>
        <v>50.27352179</v>
      </c>
      <c r="F147" s="152">
        <f t="shared" si="143"/>
        <v>228.8963941</v>
      </c>
      <c r="G147" s="152">
        <f t="shared" si="143"/>
        <v>1379.400873</v>
      </c>
      <c r="H147" s="152">
        <f t="shared" si="143"/>
        <v>12380.3899</v>
      </c>
      <c r="I147" s="152">
        <f t="shared" si="143"/>
        <v>180888.3924</v>
      </c>
      <c r="J147" s="152">
        <f t="shared" si="143"/>
        <v>4613290.453</v>
      </c>
      <c r="K147" s="152">
        <f t="shared" si="143"/>
        <v>216692941.3</v>
      </c>
      <c r="L147" s="152">
        <f t="shared" si="143"/>
        <v>21483521111</v>
      </c>
      <c r="M147" s="152">
        <f t="shared" si="143"/>
        <v>5530832379829</v>
      </c>
      <c r="N147" s="152">
        <f t="shared" si="143"/>
        <v>4.3135E+15</v>
      </c>
      <c r="O147" s="152">
        <f t="shared" si="143"/>
        <v>1.254E+19</v>
      </c>
      <c r="P147" s="152">
        <f t="shared" si="143"/>
        <v>1.73441E+23</v>
      </c>
      <c r="Q147" s="152">
        <f t="shared" si="143"/>
        <v>1.55384E+28</v>
      </c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6">
        <v>144.0</v>
      </c>
      <c r="C148" s="152">
        <f t="shared" ref="C148:Q148" si="144">C147/(1-C$2*C$3^($B148-1))</f>
        <v>5.240317309</v>
      </c>
      <c r="D148" s="152">
        <f t="shared" si="144"/>
        <v>14.97784296</v>
      </c>
      <c r="E148" s="152">
        <f t="shared" si="144"/>
        <v>50.27626809</v>
      </c>
      <c r="F148" s="152">
        <f t="shared" si="144"/>
        <v>228.9217692</v>
      </c>
      <c r="G148" s="152">
        <f t="shared" si="144"/>
        <v>1379.696805</v>
      </c>
      <c r="H148" s="152">
        <f t="shared" si="144"/>
        <v>12385.38922</v>
      </c>
      <c r="I148" s="152">
        <f t="shared" si="144"/>
        <v>181022.8272</v>
      </c>
      <c r="J148" s="152">
        <f t="shared" si="144"/>
        <v>4619467.903</v>
      </c>
      <c r="K148" s="152">
        <f t="shared" si="144"/>
        <v>217204945.3</v>
      </c>
      <c r="L148" s="152">
        <f t="shared" si="144"/>
        <v>21571564442</v>
      </c>
      <c r="M148" s="152">
        <f t="shared" si="144"/>
        <v>5569612526003</v>
      </c>
      <c r="N148" s="152">
        <f t="shared" si="144"/>
        <v>4.36456E+15</v>
      </c>
      <c r="O148" s="152">
        <f t="shared" si="144"/>
        <v>1.27877E+19</v>
      </c>
      <c r="P148" s="152">
        <f t="shared" si="144"/>
        <v>1.79103E+23</v>
      </c>
      <c r="Q148" s="152">
        <f t="shared" si="144"/>
        <v>1.63715E+28</v>
      </c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6">
        <v>145.0</v>
      </c>
      <c r="C149" s="152">
        <f t="shared" ref="C149:Q149" si="145">C148/(1-C$2*C$3^($B149-1))</f>
        <v>5.240369377</v>
      </c>
      <c r="D149" s="152">
        <f t="shared" si="145"/>
        <v>14.97820406</v>
      </c>
      <c r="E149" s="152">
        <f t="shared" si="145"/>
        <v>50.27886073</v>
      </c>
      <c r="F149" s="152">
        <f t="shared" si="145"/>
        <v>228.945802</v>
      </c>
      <c r="G149" s="152">
        <f t="shared" si="145"/>
        <v>1379.977997</v>
      </c>
      <c r="H149" s="152">
        <f t="shared" si="145"/>
        <v>12390.1554</v>
      </c>
      <c r="I149" s="152">
        <f t="shared" si="145"/>
        <v>181151.4381</v>
      </c>
      <c r="J149" s="152">
        <f t="shared" si="145"/>
        <v>4625399.685</v>
      </c>
      <c r="K149" s="152">
        <f t="shared" si="145"/>
        <v>217698612.6</v>
      </c>
      <c r="L149" s="152">
        <f t="shared" si="145"/>
        <v>21656862210</v>
      </c>
      <c r="M149" s="152">
        <f t="shared" si="145"/>
        <v>5607406438422</v>
      </c>
      <c r="N149" s="152">
        <f t="shared" si="145"/>
        <v>4.41471E+15</v>
      </c>
      <c r="O149" s="152">
        <f t="shared" si="145"/>
        <v>1.30336E+19</v>
      </c>
      <c r="P149" s="152">
        <f t="shared" si="145"/>
        <v>1.8481E+23</v>
      </c>
      <c r="Q149" s="152">
        <f t="shared" si="145"/>
        <v>1.72308E+28</v>
      </c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6">
        <v>146.0</v>
      </c>
      <c r="C150" s="152">
        <f t="shared" ref="C150:Q150" si="146">C149/(1-C$2*C$3^($B150-1))</f>
        <v>5.240418217</v>
      </c>
      <c r="D150" s="152">
        <f t="shared" si="146"/>
        <v>14.97854386</v>
      </c>
      <c r="E150" s="152">
        <f t="shared" si="146"/>
        <v>50.2813083</v>
      </c>
      <c r="F150" s="152">
        <f t="shared" si="146"/>
        <v>228.9685633</v>
      </c>
      <c r="G150" s="152">
        <f t="shared" si="146"/>
        <v>1380.245181</v>
      </c>
      <c r="H150" s="152">
        <f t="shared" si="146"/>
        <v>12394.69925</v>
      </c>
      <c r="I150" s="152">
        <f t="shared" si="146"/>
        <v>181274.4736</v>
      </c>
      <c r="J150" s="152">
        <f t="shared" si="146"/>
        <v>4631095.269</v>
      </c>
      <c r="K150" s="152">
        <f t="shared" si="146"/>
        <v>218174558.8</v>
      </c>
      <c r="L150" s="152">
        <f t="shared" si="146"/>
        <v>21739488599</v>
      </c>
      <c r="M150" s="152">
        <f t="shared" si="146"/>
        <v>5644231202142</v>
      </c>
      <c r="N150" s="152">
        <f t="shared" si="146"/>
        <v>4.46395E+15</v>
      </c>
      <c r="O150" s="152">
        <f t="shared" si="146"/>
        <v>1.32775E+19</v>
      </c>
      <c r="P150" s="152">
        <f t="shared" si="146"/>
        <v>1.9056E+23</v>
      </c>
      <c r="Q150" s="152">
        <f t="shared" si="146"/>
        <v>1.81162E+28</v>
      </c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6">
        <v>147.0</v>
      </c>
      <c r="C151" s="152">
        <f t="shared" ref="C151:Q151" si="147">C150/(1-C$2*C$3^($B151-1))</f>
        <v>5.24046403</v>
      </c>
      <c r="D151" s="152">
        <f t="shared" si="147"/>
        <v>14.97886362</v>
      </c>
      <c r="E151" s="152">
        <f t="shared" si="147"/>
        <v>50.28361892</v>
      </c>
      <c r="F151" s="152">
        <f t="shared" si="147"/>
        <v>228.9901202</v>
      </c>
      <c r="G151" s="152">
        <f t="shared" si="147"/>
        <v>1380.499053</v>
      </c>
      <c r="H151" s="152">
        <f t="shared" si="147"/>
        <v>12399.03104</v>
      </c>
      <c r="I151" s="152">
        <f t="shared" si="147"/>
        <v>181392.1719</v>
      </c>
      <c r="J151" s="152">
        <f t="shared" si="147"/>
        <v>4636563.783</v>
      </c>
      <c r="K151" s="152">
        <f t="shared" si="147"/>
        <v>218633382</v>
      </c>
      <c r="L151" s="152">
        <f t="shared" si="147"/>
        <v>21819516585</v>
      </c>
      <c r="M151" s="152">
        <f t="shared" si="147"/>
        <v>5680104130357</v>
      </c>
      <c r="N151" s="152">
        <f t="shared" si="147"/>
        <v>4.51228E+15</v>
      </c>
      <c r="O151" s="152">
        <f t="shared" si="147"/>
        <v>1.35195E+19</v>
      </c>
      <c r="P151" s="152">
        <f t="shared" si="147"/>
        <v>1.96349E+23</v>
      </c>
      <c r="Q151" s="152">
        <f t="shared" si="147"/>
        <v>1.90275E+28</v>
      </c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6">
        <v>148.0</v>
      </c>
      <c r="C152" s="152">
        <f t="shared" ref="C152:Q152" si="148">C151/(1-C$2*C$3^($B152-1))</f>
        <v>5.240507002</v>
      </c>
      <c r="D152" s="152">
        <f t="shared" si="148"/>
        <v>14.97916452</v>
      </c>
      <c r="E152" s="152">
        <f t="shared" si="148"/>
        <v>50.28580023</v>
      </c>
      <c r="F152" s="152">
        <f t="shared" si="148"/>
        <v>229.0105365</v>
      </c>
      <c r="G152" s="152">
        <f t="shared" si="148"/>
        <v>1380.740273</v>
      </c>
      <c r="H152" s="152">
        <f t="shared" si="148"/>
        <v>12403.16062</v>
      </c>
      <c r="I152" s="152">
        <f t="shared" si="148"/>
        <v>181504.7614</v>
      </c>
      <c r="J152" s="152">
        <f t="shared" si="148"/>
        <v>4641814.027</v>
      </c>
      <c r="K152" s="152">
        <f t="shared" si="148"/>
        <v>219075662.8</v>
      </c>
      <c r="L152" s="152">
        <f t="shared" si="148"/>
        <v>21897017896</v>
      </c>
      <c r="M152" s="152">
        <f t="shared" si="148"/>
        <v>5715042719955</v>
      </c>
      <c r="N152" s="152">
        <f t="shared" si="148"/>
        <v>4.55971E+15</v>
      </c>
      <c r="O152" s="152">
        <f t="shared" si="148"/>
        <v>1.37594E+19</v>
      </c>
      <c r="P152" s="152">
        <f t="shared" si="148"/>
        <v>2.02172E+23</v>
      </c>
      <c r="Q152" s="152">
        <f t="shared" si="148"/>
        <v>1.99646E+28</v>
      </c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6">
        <v>149.0</v>
      </c>
      <c r="C153" s="152">
        <f t="shared" ref="C153:Q153" si="149">C152/(1-C$2*C$3^($B153-1))</f>
        <v>5.240547311</v>
      </c>
      <c r="D153" s="152">
        <f t="shared" si="149"/>
        <v>14.97944767</v>
      </c>
      <c r="E153" s="152">
        <f t="shared" si="149"/>
        <v>50.28785948</v>
      </c>
      <c r="F153" s="152">
        <f t="shared" si="149"/>
        <v>229.0298723</v>
      </c>
      <c r="G153" s="152">
        <f t="shared" si="149"/>
        <v>1380.96947</v>
      </c>
      <c r="H153" s="152">
        <f t="shared" si="149"/>
        <v>12407.09735</v>
      </c>
      <c r="I153" s="152">
        <f t="shared" si="149"/>
        <v>181612.4607</v>
      </c>
      <c r="J153" s="152">
        <f t="shared" si="149"/>
        <v>4646854.478</v>
      </c>
      <c r="K153" s="152">
        <f t="shared" si="149"/>
        <v>219501964.8</v>
      </c>
      <c r="L153" s="152">
        <f t="shared" si="149"/>
        <v>21972062976</v>
      </c>
      <c r="M153" s="152">
        <f t="shared" si="149"/>
        <v>5749064609873</v>
      </c>
      <c r="N153" s="152">
        <f t="shared" si="149"/>
        <v>4.60622E+15</v>
      </c>
      <c r="O153" s="152">
        <f t="shared" si="149"/>
        <v>1.3997E+19</v>
      </c>
      <c r="P153" s="152">
        <f t="shared" si="149"/>
        <v>2.08026E+23</v>
      </c>
      <c r="Q153" s="152">
        <f t="shared" si="149"/>
        <v>2.09272E+28</v>
      </c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6">
        <v>150.0</v>
      </c>
      <c r="C154" s="152">
        <f t="shared" ref="C154:Q154" si="150">C153/(1-C$2*C$3^($B154-1))</f>
        <v>5.24058512</v>
      </c>
      <c r="D154" s="152">
        <f t="shared" si="150"/>
        <v>14.97971412</v>
      </c>
      <c r="E154" s="152">
        <f t="shared" si="150"/>
        <v>50.28980348</v>
      </c>
      <c r="F154" s="152">
        <f t="shared" si="150"/>
        <v>229.0481848</v>
      </c>
      <c r="G154" s="152">
        <f t="shared" si="150"/>
        <v>1381.187242</v>
      </c>
      <c r="H154" s="152">
        <f t="shared" si="150"/>
        <v>12410.85019</v>
      </c>
      <c r="I154" s="152">
        <f t="shared" si="150"/>
        <v>181715.4797</v>
      </c>
      <c r="J154" s="152">
        <f t="shared" si="150"/>
        <v>4651693.304</v>
      </c>
      <c r="K154" s="152">
        <f t="shared" si="150"/>
        <v>219912835</v>
      </c>
      <c r="L154" s="152">
        <f t="shared" si="150"/>
        <v>22044720955</v>
      </c>
      <c r="M154" s="152">
        <f t="shared" si="150"/>
        <v>5782187542146</v>
      </c>
      <c r="N154" s="152">
        <f t="shared" si="150"/>
        <v>4.65184E+15</v>
      </c>
      <c r="O154" s="152">
        <f t="shared" si="150"/>
        <v>1.42324E+19</v>
      </c>
      <c r="P154" s="152">
        <f t="shared" si="150"/>
        <v>2.13907E+23</v>
      </c>
      <c r="Q154" s="152">
        <f t="shared" si="150"/>
        <v>2.19151E+28</v>
      </c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6">
        <v>151.0</v>
      </c>
      <c r="C155" s="152">
        <f t="shared" ref="C155:Q155" si="151">C154/(1-C$2*C$3^($B155-1))</f>
        <v>5.240620586</v>
      </c>
      <c r="D155" s="152">
        <f t="shared" si="151"/>
        <v>14.97996485</v>
      </c>
      <c r="E155" s="152">
        <f t="shared" si="151"/>
        <v>50.29163868</v>
      </c>
      <c r="F155" s="152">
        <f t="shared" si="151"/>
        <v>229.0655281</v>
      </c>
      <c r="G155" s="152">
        <f t="shared" si="151"/>
        <v>1381.394156</v>
      </c>
      <c r="H155" s="152">
        <f t="shared" si="151"/>
        <v>12414.42768</v>
      </c>
      <c r="I155" s="152">
        <f t="shared" si="151"/>
        <v>181814.0193</v>
      </c>
      <c r="J155" s="152">
        <f t="shared" si="151"/>
        <v>4656338.372</v>
      </c>
      <c r="K155" s="152">
        <f t="shared" si="151"/>
        <v>220308803.9</v>
      </c>
      <c r="L155" s="152">
        <f t="shared" si="151"/>
        <v>22115059621</v>
      </c>
      <c r="M155" s="152">
        <f t="shared" si="151"/>
        <v>5814429325560</v>
      </c>
      <c r="N155" s="152">
        <f t="shared" si="151"/>
        <v>4.69655E+15</v>
      </c>
      <c r="O155" s="152">
        <f t="shared" si="151"/>
        <v>1.44654E+19</v>
      </c>
      <c r="P155" s="152">
        <f t="shared" si="151"/>
        <v>2.19811E+23</v>
      </c>
      <c r="Q155" s="152">
        <f t="shared" si="151"/>
        <v>2.29279E+28</v>
      </c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6">
        <v>152.0</v>
      </c>
      <c r="C156" s="152">
        <f t="shared" ref="C156:Q156" si="152">C155/(1-C$2*C$3^($B156-1))</f>
        <v>5.240653853</v>
      </c>
      <c r="D156" s="152">
        <f t="shared" si="152"/>
        <v>14.9802008</v>
      </c>
      <c r="E156" s="152">
        <f t="shared" si="152"/>
        <v>50.29337118</v>
      </c>
      <c r="F156" s="152">
        <f t="shared" si="152"/>
        <v>229.0819533</v>
      </c>
      <c r="G156" s="152">
        <f t="shared" si="152"/>
        <v>1381.590753</v>
      </c>
      <c r="H156" s="152">
        <f t="shared" si="152"/>
        <v>12417.83797</v>
      </c>
      <c r="I156" s="152">
        <f t="shared" si="152"/>
        <v>181908.272</v>
      </c>
      <c r="J156" s="152">
        <f t="shared" si="152"/>
        <v>4660797.258</v>
      </c>
      <c r="K156" s="152">
        <f t="shared" si="152"/>
        <v>220690385.6</v>
      </c>
      <c r="L156" s="152">
        <f t="shared" si="152"/>
        <v>22183145407</v>
      </c>
      <c r="M156" s="152">
        <f t="shared" si="152"/>
        <v>5845807801796</v>
      </c>
      <c r="N156" s="152">
        <f t="shared" si="152"/>
        <v>4.74038E+15</v>
      </c>
      <c r="O156" s="152">
        <f t="shared" si="152"/>
        <v>1.4696E+19</v>
      </c>
      <c r="P156" s="152">
        <f t="shared" si="152"/>
        <v>2.25735E+23</v>
      </c>
      <c r="Q156" s="152">
        <f t="shared" si="152"/>
        <v>2.39655E+28</v>
      </c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6">
        <v>153.0</v>
      </c>
      <c r="C157" s="152">
        <f t="shared" ref="C157:Q157" si="153">C156/(1-C$2*C$3^($B157-1))</f>
        <v>5.240685058</v>
      </c>
      <c r="D157" s="152">
        <f t="shared" si="153"/>
        <v>14.98042282</v>
      </c>
      <c r="E157" s="152">
        <f t="shared" si="153"/>
        <v>50.29500671</v>
      </c>
      <c r="F157" s="152">
        <f t="shared" si="153"/>
        <v>229.0975091</v>
      </c>
      <c r="G157" s="152">
        <f t="shared" si="153"/>
        <v>1381.777544</v>
      </c>
      <c r="H157" s="152">
        <f t="shared" si="153"/>
        <v>12421.08882</v>
      </c>
      <c r="I157" s="152">
        <f t="shared" si="153"/>
        <v>181998.4222</v>
      </c>
      <c r="J157" s="152">
        <f t="shared" si="153"/>
        <v>4665077.256</v>
      </c>
      <c r="K157" s="152">
        <f t="shared" si="153"/>
        <v>221058078.9</v>
      </c>
      <c r="L157" s="152">
        <f t="shared" si="153"/>
        <v>22249043370</v>
      </c>
      <c r="M157" s="152">
        <f t="shared" si="153"/>
        <v>5876340813961</v>
      </c>
      <c r="N157" s="152">
        <f t="shared" si="153"/>
        <v>4.78332E+15</v>
      </c>
      <c r="O157" s="152">
        <f t="shared" si="153"/>
        <v>1.4924E+19</v>
      </c>
      <c r="P157" s="152">
        <f t="shared" si="153"/>
        <v>2.31674E+23</v>
      </c>
      <c r="Q157" s="152">
        <f t="shared" si="153"/>
        <v>2.50273E+28</v>
      </c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6">
        <v>154.0</v>
      </c>
      <c r="C158" s="152">
        <f t="shared" ref="C158:Q158" si="154">C157/(1-C$2*C$3^($B158-1))</f>
        <v>5.240714328</v>
      </c>
      <c r="D158" s="152">
        <f t="shared" si="154"/>
        <v>14.98063175</v>
      </c>
      <c r="E158" s="152">
        <f t="shared" si="154"/>
        <v>50.29655069</v>
      </c>
      <c r="F158" s="152">
        <f t="shared" si="154"/>
        <v>229.1122413</v>
      </c>
      <c r="G158" s="152">
        <f t="shared" si="154"/>
        <v>1381.95502</v>
      </c>
      <c r="H158" s="152">
        <f t="shared" si="154"/>
        <v>12424.18765</v>
      </c>
      <c r="I158" s="152">
        <f t="shared" si="154"/>
        <v>182084.6466</v>
      </c>
      <c r="J158" s="152">
        <f t="shared" si="154"/>
        <v>4669185.389</v>
      </c>
      <c r="K158" s="152">
        <f t="shared" si="154"/>
        <v>221412366.7</v>
      </c>
      <c r="L158" s="152">
        <f t="shared" si="154"/>
        <v>22312817180</v>
      </c>
      <c r="M158" s="152">
        <f t="shared" si="154"/>
        <v>5906046177410</v>
      </c>
      <c r="N158" s="152">
        <f t="shared" si="154"/>
        <v>4.82538E+15</v>
      </c>
      <c r="O158" s="152">
        <f t="shared" si="154"/>
        <v>1.51495E+19</v>
      </c>
      <c r="P158" s="152">
        <f t="shared" si="154"/>
        <v>2.37627E+23</v>
      </c>
      <c r="Q158" s="152">
        <f t="shared" si="154"/>
        <v>2.6113E+28</v>
      </c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6">
        <v>155.0</v>
      </c>
      <c r="C159" s="152">
        <f t="shared" ref="C159:Q159" si="155">C158/(1-C$2*C$3^($B159-1))</f>
        <v>5.240741783</v>
      </c>
      <c r="D159" s="152">
        <f t="shared" si="155"/>
        <v>14.98082836</v>
      </c>
      <c r="E159" s="152">
        <f t="shared" si="155"/>
        <v>50.29800825</v>
      </c>
      <c r="F159" s="152">
        <f t="shared" si="155"/>
        <v>229.1261936</v>
      </c>
      <c r="G159" s="152">
        <f t="shared" si="155"/>
        <v>1382.123641</v>
      </c>
      <c r="H159" s="152">
        <f t="shared" si="155"/>
        <v>12427.14154</v>
      </c>
      <c r="I159" s="152">
        <f t="shared" si="155"/>
        <v>182167.1145</v>
      </c>
      <c r="J159" s="152">
        <f t="shared" si="155"/>
        <v>4673128.415</v>
      </c>
      <c r="K159" s="152">
        <f t="shared" si="155"/>
        <v>221753717.1</v>
      </c>
      <c r="L159" s="152">
        <f t="shared" si="155"/>
        <v>22374529116</v>
      </c>
      <c r="M159" s="152">
        <f t="shared" si="155"/>
        <v>5934941652751</v>
      </c>
      <c r="N159" s="152">
        <f t="shared" si="155"/>
        <v>4.86657E+15</v>
      </c>
      <c r="O159" s="152">
        <f t="shared" si="155"/>
        <v>1.53724E+19</v>
      </c>
      <c r="P159" s="152">
        <f t="shared" si="155"/>
        <v>2.43588E+23</v>
      </c>
      <c r="Q159" s="152">
        <f t="shared" si="155"/>
        <v>2.72223E+28</v>
      </c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6">
        <v>156.0</v>
      </c>
      <c r="C160" s="152">
        <f t="shared" ref="C160:Q160" si="156">C159/(1-C$2*C$3^($B160-1))</f>
        <v>5.240767537</v>
      </c>
      <c r="D160" s="152">
        <f t="shared" si="156"/>
        <v>14.98101337</v>
      </c>
      <c r="E160" s="152">
        <f t="shared" si="156"/>
        <v>50.29938423</v>
      </c>
      <c r="F160" s="152">
        <f t="shared" si="156"/>
        <v>229.1394072</v>
      </c>
      <c r="G160" s="152">
        <f t="shared" si="156"/>
        <v>1382.283851</v>
      </c>
      <c r="H160" s="152">
        <f t="shared" si="156"/>
        <v>12429.95724</v>
      </c>
      <c r="I160" s="152">
        <f t="shared" si="156"/>
        <v>182245.988</v>
      </c>
      <c r="J160" s="152">
        <f t="shared" si="156"/>
        <v>4676912.84</v>
      </c>
      <c r="K160" s="152">
        <f t="shared" si="156"/>
        <v>222082583.1</v>
      </c>
      <c r="L160" s="152">
        <f t="shared" si="156"/>
        <v>22434240061</v>
      </c>
      <c r="M160" s="152">
        <f t="shared" si="156"/>
        <v>5963044920932</v>
      </c>
      <c r="N160" s="152">
        <f t="shared" si="156"/>
        <v>4.9069E+15</v>
      </c>
      <c r="O160" s="152">
        <f t="shared" si="156"/>
        <v>1.55925E+19</v>
      </c>
      <c r="P160" s="152">
        <f t="shared" si="156"/>
        <v>2.49555E+23</v>
      </c>
      <c r="Q160" s="152">
        <f t="shared" si="156"/>
        <v>2.83545E+28</v>
      </c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6">
        <v>157.0</v>
      </c>
      <c r="C161" s="152">
        <f t="shared" ref="C161:Q161" si="157">C160/(1-C$2*C$3^($B161-1))</f>
        <v>5.240791694</v>
      </c>
      <c r="D161" s="152">
        <f t="shared" si="157"/>
        <v>14.98118746</v>
      </c>
      <c r="E161" s="152">
        <f t="shared" si="157"/>
        <v>50.30068319</v>
      </c>
      <c r="F161" s="152">
        <f t="shared" si="157"/>
        <v>229.1519211</v>
      </c>
      <c r="G161" s="152">
        <f t="shared" si="157"/>
        <v>1382.436066</v>
      </c>
      <c r="H161" s="152">
        <f t="shared" si="157"/>
        <v>12432.64118</v>
      </c>
      <c r="I161" s="152">
        <f t="shared" si="157"/>
        <v>182321.4222</v>
      </c>
      <c r="J161" s="152">
        <f t="shared" si="157"/>
        <v>4680544.921</v>
      </c>
      <c r="K161" s="152">
        <f t="shared" si="157"/>
        <v>222399403.6</v>
      </c>
      <c r="L161" s="152">
        <f t="shared" si="157"/>
        <v>22492009501</v>
      </c>
      <c r="M161" s="152">
        <f t="shared" si="157"/>
        <v>5990373560318</v>
      </c>
      <c r="N161" s="152">
        <f t="shared" si="157"/>
        <v>4.94637E+15</v>
      </c>
      <c r="O161" s="152">
        <f t="shared" si="157"/>
        <v>1.58099E+19</v>
      </c>
      <c r="P161" s="152">
        <f t="shared" si="157"/>
        <v>2.55524E+23</v>
      </c>
      <c r="Q161" s="152">
        <f t="shared" si="157"/>
        <v>2.95093E+28</v>
      </c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6">
        <v>158.0</v>
      </c>
      <c r="C162" s="152">
        <f t="shared" ref="C162:Q162" si="158">C161/(1-C$2*C$3^($B162-1))</f>
        <v>5.240814353</v>
      </c>
      <c r="D162" s="152">
        <f t="shared" si="158"/>
        <v>14.98135129</v>
      </c>
      <c r="E162" s="152">
        <f t="shared" si="158"/>
        <v>50.30190943</v>
      </c>
      <c r="F162" s="152">
        <f t="shared" si="158"/>
        <v>229.1637724</v>
      </c>
      <c r="G162" s="152">
        <f t="shared" si="158"/>
        <v>1382.580686</v>
      </c>
      <c r="H162" s="152">
        <f t="shared" si="158"/>
        <v>12435.1995</v>
      </c>
      <c r="I162" s="152">
        <f t="shared" si="158"/>
        <v>182393.5658</v>
      </c>
      <c r="J162" s="152">
        <f t="shared" si="158"/>
        <v>4684030.682</v>
      </c>
      <c r="K162" s="152">
        <f t="shared" si="158"/>
        <v>222704603.1</v>
      </c>
      <c r="L162" s="152">
        <f t="shared" si="158"/>
        <v>22547895526</v>
      </c>
      <c r="M162" s="152">
        <f t="shared" si="158"/>
        <v>6016945025643</v>
      </c>
      <c r="N162" s="152">
        <f t="shared" si="158"/>
        <v>4.985E+15</v>
      </c>
      <c r="O162" s="152">
        <f t="shared" si="158"/>
        <v>1.60246E+19</v>
      </c>
      <c r="P162" s="152">
        <f t="shared" si="158"/>
        <v>2.61492E+23</v>
      </c>
      <c r="Q162" s="152">
        <f t="shared" si="158"/>
        <v>3.06861E+28</v>
      </c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6">
        <v>159.0</v>
      </c>
      <c r="C163" s="152">
        <f t="shared" ref="C163:Q163" si="159">C162/(1-C$2*C$3^($B163-1))</f>
        <v>5.240835607</v>
      </c>
      <c r="D163" s="152">
        <f t="shared" si="159"/>
        <v>14.98150545</v>
      </c>
      <c r="E163" s="152">
        <f t="shared" si="159"/>
        <v>50.30306704</v>
      </c>
      <c r="F163" s="152">
        <f t="shared" si="159"/>
        <v>229.1749962</v>
      </c>
      <c r="G163" s="152">
        <f t="shared" si="159"/>
        <v>1382.718089</v>
      </c>
      <c r="H163" s="152">
        <f t="shared" si="159"/>
        <v>12437.63806</v>
      </c>
      <c r="I163" s="152">
        <f t="shared" si="159"/>
        <v>182462.5613</v>
      </c>
      <c r="J163" s="152">
        <f t="shared" si="159"/>
        <v>4687375.913</v>
      </c>
      <c r="K163" s="152">
        <f t="shared" si="159"/>
        <v>222998592.6</v>
      </c>
      <c r="L163" s="152">
        <f t="shared" si="159"/>
        <v>22601954840</v>
      </c>
      <c r="M163" s="152">
        <f t="shared" si="159"/>
        <v>6042776628765</v>
      </c>
      <c r="N163" s="152">
        <f t="shared" si="159"/>
        <v>5.02279E+15</v>
      </c>
      <c r="O163" s="152">
        <f t="shared" si="159"/>
        <v>1.62364E+19</v>
      </c>
      <c r="P163" s="152">
        <f t="shared" si="159"/>
        <v>2.67456E+23</v>
      </c>
      <c r="Q163" s="152">
        <f t="shared" si="159"/>
        <v>3.18845E+28</v>
      </c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6">
        <v>160.0</v>
      </c>
      <c r="C164" s="152">
        <f t="shared" ref="C164:Q164" si="160">C163/(1-C$2*C$3^($B164-1))</f>
        <v>5.240855544</v>
      </c>
      <c r="D164" s="152">
        <f t="shared" si="160"/>
        <v>14.98165052</v>
      </c>
      <c r="E164" s="152">
        <f t="shared" si="160"/>
        <v>50.30415984</v>
      </c>
      <c r="F164" s="152">
        <f t="shared" si="160"/>
        <v>229.1856256</v>
      </c>
      <c r="G164" s="152">
        <f t="shared" si="160"/>
        <v>1382.848634</v>
      </c>
      <c r="H164" s="152">
        <f t="shared" si="160"/>
        <v>12439.96243</v>
      </c>
      <c r="I164" s="152">
        <f t="shared" si="160"/>
        <v>182528.5447</v>
      </c>
      <c r="J164" s="152">
        <f t="shared" si="160"/>
        <v>4690586.187</v>
      </c>
      <c r="K164" s="152">
        <f t="shared" si="160"/>
        <v>223281769.7</v>
      </c>
      <c r="L164" s="152">
        <f t="shared" si="160"/>
        <v>22654242762</v>
      </c>
      <c r="M164" s="152">
        <f t="shared" si="160"/>
        <v>6067885521110</v>
      </c>
      <c r="N164" s="152">
        <f t="shared" si="160"/>
        <v>5.05975E+15</v>
      </c>
      <c r="O164" s="152">
        <f t="shared" si="160"/>
        <v>1.64454E+19</v>
      </c>
      <c r="P164" s="152">
        <f t="shared" si="160"/>
        <v>2.73412E+23</v>
      </c>
      <c r="Q164" s="152">
        <f t="shared" si="160"/>
        <v>3.31037E+28</v>
      </c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6">
        <v>161.0</v>
      </c>
      <c r="C165" s="152">
        <f t="shared" ref="C165:Q165" si="161">C164/(1-C$2*C$3^($B165-1))</f>
        <v>5.240874245</v>
      </c>
      <c r="D165" s="152">
        <f t="shared" si="161"/>
        <v>14.98178703</v>
      </c>
      <c r="E165" s="152">
        <f t="shared" si="161"/>
        <v>50.30519146</v>
      </c>
      <c r="F165" s="152">
        <f t="shared" si="161"/>
        <v>229.195692</v>
      </c>
      <c r="G165" s="152">
        <f t="shared" si="161"/>
        <v>1382.972663</v>
      </c>
      <c r="H165" s="152">
        <f t="shared" si="161"/>
        <v>12442.17796</v>
      </c>
      <c r="I165" s="152">
        <f t="shared" si="161"/>
        <v>182591.6467</v>
      </c>
      <c r="J165" s="152">
        <f t="shared" si="161"/>
        <v>4693666.862</v>
      </c>
      <c r="K165" s="152">
        <f t="shared" si="161"/>
        <v>223554518.8</v>
      </c>
      <c r="L165" s="152">
        <f t="shared" si="161"/>
        <v>22704813243</v>
      </c>
      <c r="M165" s="152">
        <f t="shared" si="161"/>
        <v>6092288677723</v>
      </c>
      <c r="N165" s="152">
        <f t="shared" si="161"/>
        <v>5.0959E+15</v>
      </c>
      <c r="O165" s="152">
        <f t="shared" si="161"/>
        <v>1.66515E+19</v>
      </c>
      <c r="P165" s="152">
        <f t="shared" si="161"/>
        <v>2.79358E+23</v>
      </c>
      <c r="Q165" s="152">
        <f t="shared" si="161"/>
        <v>3.43434E+28</v>
      </c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6">
        <v>162.0</v>
      </c>
      <c r="C166" s="152">
        <f t="shared" ref="C166:Q166" si="162">C165/(1-C$2*C$3^($B166-1))</f>
        <v>5.240891786</v>
      </c>
      <c r="D166" s="152">
        <f t="shared" si="162"/>
        <v>14.98191548</v>
      </c>
      <c r="E166" s="152">
        <f t="shared" si="162"/>
        <v>50.30616533</v>
      </c>
      <c r="F166" s="152">
        <f t="shared" si="162"/>
        <v>229.2052254</v>
      </c>
      <c r="G166" s="152">
        <f t="shared" si="162"/>
        <v>1383.0905</v>
      </c>
      <c r="H166" s="152">
        <f t="shared" si="162"/>
        <v>12444.28972</v>
      </c>
      <c r="I166" s="152">
        <f t="shared" si="162"/>
        <v>182651.9922</v>
      </c>
      <c r="J166" s="152">
        <f t="shared" si="162"/>
        <v>4696623.09</v>
      </c>
      <c r="K166" s="152">
        <f t="shared" si="162"/>
        <v>223817211.7</v>
      </c>
      <c r="L166" s="152">
        <f t="shared" si="162"/>
        <v>22753718872</v>
      </c>
      <c r="M166" s="152">
        <f t="shared" si="162"/>
        <v>6116002882844</v>
      </c>
      <c r="N166" s="152">
        <f t="shared" si="162"/>
        <v>5.13125E+15</v>
      </c>
      <c r="O166" s="152">
        <f t="shared" si="162"/>
        <v>1.68547E+19</v>
      </c>
      <c r="P166" s="152">
        <f t="shared" si="162"/>
        <v>2.85291E+23</v>
      </c>
      <c r="Q166" s="152">
        <f t="shared" si="162"/>
        <v>3.56028E+28</v>
      </c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6">
        <v>163.0</v>
      </c>
      <c r="C167" s="152">
        <f t="shared" ref="C167:Q167" si="163">C166/(1-C$2*C$3^($B167-1))</f>
        <v>5.24090824</v>
      </c>
      <c r="D167" s="152">
        <f t="shared" si="163"/>
        <v>14.98203636</v>
      </c>
      <c r="E167" s="152">
        <f t="shared" si="163"/>
        <v>50.30708469</v>
      </c>
      <c r="F167" s="152">
        <f t="shared" si="163"/>
        <v>229.2142538</v>
      </c>
      <c r="G167" s="152">
        <f t="shared" si="163"/>
        <v>1383.202454</v>
      </c>
      <c r="H167" s="152">
        <f t="shared" si="163"/>
        <v>12446.30255</v>
      </c>
      <c r="I167" s="152">
        <f t="shared" si="163"/>
        <v>182709.7007</v>
      </c>
      <c r="J167" s="152">
        <f t="shared" si="163"/>
        <v>4699459.825</v>
      </c>
      <c r="K167" s="152">
        <f t="shared" si="163"/>
        <v>224070208</v>
      </c>
      <c r="L167" s="152">
        <f t="shared" si="163"/>
        <v>22801010894</v>
      </c>
      <c r="M167" s="152">
        <f t="shared" si="163"/>
        <v>6139044716908</v>
      </c>
      <c r="N167" s="152">
        <f t="shared" si="163"/>
        <v>5.1658E+15</v>
      </c>
      <c r="O167" s="152">
        <f t="shared" si="163"/>
        <v>1.7055E+19</v>
      </c>
      <c r="P167" s="152">
        <f t="shared" si="163"/>
        <v>2.91207E+23</v>
      </c>
      <c r="Q167" s="152">
        <f t="shared" si="163"/>
        <v>3.68813E+28</v>
      </c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6">
        <v>164.0</v>
      </c>
      <c r="C168" s="152">
        <f t="shared" ref="C168:Q168" si="164">C167/(1-C$2*C$3^($B168-1))</f>
        <v>5.240923674</v>
      </c>
      <c r="D168" s="152">
        <f t="shared" si="164"/>
        <v>14.98215011</v>
      </c>
      <c r="E168" s="152">
        <f t="shared" si="164"/>
        <v>50.30795257</v>
      </c>
      <c r="F168" s="152">
        <f t="shared" si="164"/>
        <v>229.222804</v>
      </c>
      <c r="G168" s="152">
        <f t="shared" si="164"/>
        <v>1383.308819</v>
      </c>
      <c r="H168" s="152">
        <f t="shared" si="164"/>
        <v>12448.22107</v>
      </c>
      <c r="I168" s="152">
        <f t="shared" si="164"/>
        <v>182764.8867</v>
      </c>
      <c r="J168" s="152">
        <f t="shared" si="164"/>
        <v>4702181.83</v>
      </c>
      <c r="K168" s="152">
        <f t="shared" si="164"/>
        <v>224313855</v>
      </c>
      <c r="L168" s="152">
        <f t="shared" si="164"/>
        <v>22846739221</v>
      </c>
      <c r="M168" s="152">
        <f t="shared" si="164"/>
        <v>6161430544903</v>
      </c>
      <c r="N168" s="152">
        <f t="shared" si="164"/>
        <v>5.19957E+15</v>
      </c>
      <c r="O168" s="152">
        <f t="shared" si="164"/>
        <v>1.72523E+19</v>
      </c>
      <c r="P168" s="152">
        <f t="shared" si="164"/>
        <v>2.97104E+23</v>
      </c>
      <c r="Q168" s="152">
        <f t="shared" si="164"/>
        <v>3.81783E+28</v>
      </c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6">
        <v>165.0</v>
      </c>
      <c r="C169" s="152">
        <f t="shared" ref="C169:Q169" si="165">C168/(1-C$2*C$3^($B169-1))</f>
        <v>5.24093815</v>
      </c>
      <c r="D169" s="152">
        <f t="shared" si="165"/>
        <v>14.98225714</v>
      </c>
      <c r="E169" s="152">
        <f t="shared" si="165"/>
        <v>50.30877187</v>
      </c>
      <c r="F169" s="152">
        <f t="shared" si="165"/>
        <v>229.2309014</v>
      </c>
      <c r="G169" s="152">
        <f t="shared" si="165"/>
        <v>1383.409874</v>
      </c>
      <c r="H169" s="152">
        <f t="shared" si="165"/>
        <v>12450.04969</v>
      </c>
      <c r="I169" s="152">
        <f t="shared" si="165"/>
        <v>182817.6597</v>
      </c>
      <c r="J169" s="152">
        <f t="shared" si="165"/>
        <v>4704793.682</v>
      </c>
      <c r="K169" s="152">
        <f t="shared" si="165"/>
        <v>224548488.7</v>
      </c>
      <c r="L169" s="152">
        <f t="shared" si="165"/>
        <v>22890952453</v>
      </c>
      <c r="M169" s="152">
        <f t="shared" si="165"/>
        <v>6183176505995</v>
      </c>
      <c r="N169" s="152">
        <f t="shared" si="165"/>
        <v>5.23256E+15</v>
      </c>
      <c r="O169" s="152">
        <f t="shared" si="165"/>
        <v>1.74466E+19</v>
      </c>
      <c r="P169" s="152">
        <f t="shared" si="165"/>
        <v>3.0298E+23</v>
      </c>
      <c r="Q169" s="152">
        <f t="shared" si="165"/>
        <v>3.94932E+28</v>
      </c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6">
        <v>166.0</v>
      </c>
      <c r="C170" s="152">
        <f t="shared" ref="C170:Q170" si="166">C169/(1-C$2*C$3^($B170-1))</f>
        <v>5.24095173</v>
      </c>
      <c r="D170" s="152">
        <f t="shared" si="166"/>
        <v>14.98235787</v>
      </c>
      <c r="E170" s="152">
        <f t="shared" si="166"/>
        <v>50.30954529</v>
      </c>
      <c r="F170" s="152">
        <f t="shared" si="166"/>
        <v>229.2385699</v>
      </c>
      <c r="G170" s="152">
        <f t="shared" si="166"/>
        <v>1383.505882</v>
      </c>
      <c r="H170" s="152">
        <f t="shared" si="166"/>
        <v>12451.79261</v>
      </c>
      <c r="I170" s="152">
        <f t="shared" si="166"/>
        <v>182868.1246</v>
      </c>
      <c r="J170" s="152">
        <f t="shared" si="166"/>
        <v>4707299.783</v>
      </c>
      <c r="K170" s="152">
        <f t="shared" si="166"/>
        <v>224774433.4</v>
      </c>
      <c r="L170" s="152">
        <f t="shared" si="166"/>
        <v>22933697895</v>
      </c>
      <c r="M170" s="152">
        <f t="shared" si="166"/>
        <v>6204298504352</v>
      </c>
      <c r="N170" s="152">
        <f t="shared" si="166"/>
        <v>5.2648E+15</v>
      </c>
      <c r="O170" s="152">
        <f t="shared" si="166"/>
        <v>1.7638E+19</v>
      </c>
      <c r="P170" s="152">
        <f t="shared" si="166"/>
        <v>3.08831E+23</v>
      </c>
      <c r="Q170" s="152">
        <f t="shared" si="166"/>
        <v>4.08252E+28</v>
      </c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6">
        <v>167.0</v>
      </c>
      <c r="C171" s="152">
        <f t="shared" ref="C171:Q171" si="167">C170/(1-C$2*C$3^($B171-1))</f>
        <v>5.240964467</v>
      </c>
      <c r="D171" s="152">
        <f t="shared" si="167"/>
        <v>14.98245265</v>
      </c>
      <c r="E171" s="152">
        <f t="shared" si="167"/>
        <v>50.31027542</v>
      </c>
      <c r="F171" s="152">
        <f t="shared" si="167"/>
        <v>229.2458321</v>
      </c>
      <c r="G171" s="152">
        <f t="shared" si="167"/>
        <v>1383.597095</v>
      </c>
      <c r="H171" s="152">
        <f t="shared" si="167"/>
        <v>12453.45383</v>
      </c>
      <c r="I171" s="152">
        <f t="shared" si="167"/>
        <v>182916.3818</v>
      </c>
      <c r="J171" s="152">
        <f t="shared" si="167"/>
        <v>4709704.361</v>
      </c>
      <c r="K171" s="152">
        <f t="shared" si="167"/>
        <v>224992002.6</v>
      </c>
      <c r="L171" s="152">
        <f t="shared" si="167"/>
        <v>22975021572</v>
      </c>
      <c r="M171" s="152">
        <f t="shared" si="167"/>
        <v>6224812201082</v>
      </c>
      <c r="N171" s="152">
        <f t="shared" si="167"/>
        <v>5.29629E+15</v>
      </c>
      <c r="O171" s="152">
        <f t="shared" si="167"/>
        <v>1.78264E+19</v>
      </c>
      <c r="P171" s="152">
        <f t="shared" si="167"/>
        <v>3.14656E+23</v>
      </c>
      <c r="Q171" s="152">
        <f t="shared" si="167"/>
        <v>4.21737E+28</v>
      </c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6">
        <v>168.0</v>
      </c>
      <c r="C172" s="152">
        <f t="shared" ref="C172:Q172" si="168">C171/(1-C$2*C$3^($B172-1))</f>
        <v>5.240976415</v>
      </c>
      <c r="D172" s="152">
        <f t="shared" si="168"/>
        <v>14.98254184</v>
      </c>
      <c r="E172" s="152">
        <f t="shared" si="168"/>
        <v>50.31096467</v>
      </c>
      <c r="F172" s="152">
        <f t="shared" si="168"/>
        <v>229.2527097</v>
      </c>
      <c r="G172" s="152">
        <f t="shared" si="168"/>
        <v>1383.683754</v>
      </c>
      <c r="H172" s="152">
        <f t="shared" si="168"/>
        <v>12455.03718</v>
      </c>
      <c r="I172" s="152">
        <f t="shared" si="168"/>
        <v>182962.5274</v>
      </c>
      <c r="J172" s="152">
        <f t="shared" si="168"/>
        <v>4712011.481</v>
      </c>
      <c r="K172" s="152">
        <f t="shared" si="168"/>
        <v>225201499</v>
      </c>
      <c r="L172" s="152">
        <f t="shared" si="168"/>
        <v>23014968255</v>
      </c>
      <c r="M172" s="152">
        <f t="shared" si="168"/>
        <v>6244733007232</v>
      </c>
      <c r="N172" s="152">
        <f t="shared" si="168"/>
        <v>5.32705E+15</v>
      </c>
      <c r="O172" s="152">
        <f t="shared" si="168"/>
        <v>1.80118E+19</v>
      </c>
      <c r="P172" s="152">
        <f t="shared" si="168"/>
        <v>3.20451E+23</v>
      </c>
      <c r="Q172" s="152">
        <f t="shared" si="168"/>
        <v>4.35379E+28</v>
      </c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6">
        <v>169.0</v>
      </c>
      <c r="C173" s="152">
        <f t="shared" ref="C173:Q173" si="169">C172/(1-C$2*C$3^($B173-1))</f>
        <v>5.240987622</v>
      </c>
      <c r="D173" s="152">
        <f t="shared" si="169"/>
        <v>14.98262576</v>
      </c>
      <c r="E173" s="152">
        <f t="shared" si="169"/>
        <v>50.31161532</v>
      </c>
      <c r="F173" s="152">
        <f t="shared" si="169"/>
        <v>229.2592229</v>
      </c>
      <c r="G173" s="152">
        <f t="shared" si="169"/>
        <v>1383.766084</v>
      </c>
      <c r="H173" s="152">
        <f t="shared" si="169"/>
        <v>12456.54629</v>
      </c>
      <c r="I173" s="152">
        <f t="shared" si="169"/>
        <v>183006.6531</v>
      </c>
      <c r="J173" s="152">
        <f t="shared" si="169"/>
        <v>4714225.049</v>
      </c>
      <c r="K173" s="152">
        <f t="shared" si="169"/>
        <v>225403215.1</v>
      </c>
      <c r="L173" s="152">
        <f t="shared" si="169"/>
        <v>23053581478</v>
      </c>
      <c r="M173" s="152">
        <f t="shared" si="169"/>
        <v>6264076077763</v>
      </c>
      <c r="N173" s="152">
        <f t="shared" si="169"/>
        <v>5.35708E+15</v>
      </c>
      <c r="O173" s="152">
        <f t="shared" si="169"/>
        <v>1.81942E+19</v>
      </c>
      <c r="P173" s="152">
        <f t="shared" si="169"/>
        <v>3.26215E+23</v>
      </c>
      <c r="Q173" s="152">
        <f t="shared" si="169"/>
        <v>4.49173E+28</v>
      </c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6">
        <v>170.0</v>
      </c>
      <c r="C174" s="152">
        <f t="shared" ref="C174:Q174" si="170">C173/(1-C$2*C$3^($B174-1))</f>
        <v>5.240998134</v>
      </c>
      <c r="D174" s="152">
        <f t="shared" si="170"/>
        <v>14.98270474</v>
      </c>
      <c r="E174" s="152">
        <f t="shared" si="170"/>
        <v>50.31222955</v>
      </c>
      <c r="F174" s="152">
        <f t="shared" si="170"/>
        <v>229.2653911</v>
      </c>
      <c r="G174" s="152">
        <f t="shared" si="170"/>
        <v>1383.844302</v>
      </c>
      <c r="H174" s="152">
        <f t="shared" si="170"/>
        <v>12457.98464</v>
      </c>
      <c r="I174" s="152">
        <f t="shared" si="170"/>
        <v>183048.8471</v>
      </c>
      <c r="J174" s="152">
        <f t="shared" si="170"/>
        <v>4716348.816</v>
      </c>
      <c r="K174" s="152">
        <f t="shared" si="170"/>
        <v>225597433.2</v>
      </c>
      <c r="L174" s="152">
        <f t="shared" si="170"/>
        <v>23090903563</v>
      </c>
      <c r="M174" s="152">
        <f t="shared" si="170"/>
        <v>6282856306447</v>
      </c>
      <c r="N174" s="152">
        <f t="shared" si="170"/>
        <v>5.3864E+15</v>
      </c>
      <c r="O174" s="152">
        <f t="shared" si="170"/>
        <v>1.83736E+19</v>
      </c>
      <c r="P174" s="152">
        <f t="shared" si="170"/>
        <v>3.31945E+23</v>
      </c>
      <c r="Q174" s="152">
        <f t="shared" si="170"/>
        <v>4.6311E+28</v>
      </c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6">
        <v>171.0</v>
      </c>
      <c r="C175" s="152">
        <f t="shared" ref="C175:Q175" si="171">C174/(1-C$2*C$3^($B175-1))</f>
        <v>5.241007995</v>
      </c>
      <c r="D175" s="152">
        <f t="shared" si="171"/>
        <v>14.98277906</v>
      </c>
      <c r="E175" s="152">
        <f t="shared" si="171"/>
        <v>50.31280939</v>
      </c>
      <c r="F175" s="152">
        <f t="shared" si="171"/>
        <v>229.2712326</v>
      </c>
      <c r="G175" s="152">
        <f t="shared" si="171"/>
        <v>1383.918614</v>
      </c>
      <c r="H175" s="152">
        <f t="shared" si="171"/>
        <v>12459.35554</v>
      </c>
      <c r="I175" s="152">
        <f t="shared" si="171"/>
        <v>183089.1934</v>
      </c>
      <c r="J175" s="152">
        <f t="shared" si="171"/>
        <v>4718386.39</v>
      </c>
      <c r="K175" s="152">
        <f t="shared" si="171"/>
        <v>225784425.9</v>
      </c>
      <c r="L175" s="152">
        <f t="shared" si="171"/>
        <v>23126975638</v>
      </c>
      <c r="M175" s="152">
        <f t="shared" si="171"/>
        <v>6301088321616</v>
      </c>
      <c r="N175" s="152">
        <f t="shared" si="171"/>
        <v>5.41502E+15</v>
      </c>
      <c r="O175" s="152">
        <f t="shared" si="171"/>
        <v>1.855E+19</v>
      </c>
      <c r="P175" s="152">
        <f t="shared" si="171"/>
        <v>3.3764E+23</v>
      </c>
      <c r="Q175" s="152">
        <f t="shared" si="171"/>
        <v>4.77183E+28</v>
      </c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6">
        <v>172.0</v>
      </c>
      <c r="C176" s="152">
        <f t="shared" ref="C176:Q176" si="172">C175/(1-C$2*C$3^($B176-1))</f>
        <v>5.241017244</v>
      </c>
      <c r="D176" s="152">
        <f t="shared" si="172"/>
        <v>14.98284899</v>
      </c>
      <c r="E176" s="152">
        <f t="shared" si="172"/>
        <v>50.31335677</v>
      </c>
      <c r="F176" s="152">
        <f t="shared" si="172"/>
        <v>229.2767645</v>
      </c>
      <c r="G176" s="152">
        <f t="shared" si="172"/>
        <v>1383.989213</v>
      </c>
      <c r="H176" s="152">
        <f t="shared" si="172"/>
        <v>12460.66214</v>
      </c>
      <c r="I176" s="152">
        <f t="shared" si="172"/>
        <v>183127.7726</v>
      </c>
      <c r="J176" s="152">
        <f t="shared" si="172"/>
        <v>4720341.232</v>
      </c>
      <c r="K176" s="152">
        <f t="shared" si="172"/>
        <v>225964456.2</v>
      </c>
      <c r="L176" s="152">
        <f t="shared" si="172"/>
        <v>23161837663</v>
      </c>
      <c r="M176" s="152">
        <f t="shared" si="172"/>
        <v>6318786482720</v>
      </c>
      <c r="N176" s="152">
        <f t="shared" si="172"/>
        <v>5.44295E+15</v>
      </c>
      <c r="O176" s="152">
        <f t="shared" si="172"/>
        <v>1.87235E+19</v>
      </c>
      <c r="P176" s="152">
        <f t="shared" si="172"/>
        <v>3.43296E+23</v>
      </c>
      <c r="Q176" s="152">
        <f t="shared" si="172"/>
        <v>4.91386E+28</v>
      </c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6">
        <v>173.0</v>
      </c>
      <c r="C177" s="152">
        <f t="shared" ref="C177:Q177" si="173">C176/(1-C$2*C$3^($B177-1))</f>
        <v>5.241025919</v>
      </c>
      <c r="D177" s="152">
        <f t="shared" si="173"/>
        <v>14.9829148</v>
      </c>
      <c r="E177" s="152">
        <f t="shared" si="173"/>
        <v>50.31387349</v>
      </c>
      <c r="F177" s="152">
        <f t="shared" si="173"/>
        <v>229.2820034</v>
      </c>
      <c r="G177" s="152">
        <f t="shared" si="173"/>
        <v>1384.056286</v>
      </c>
      <c r="H177" s="152">
        <f t="shared" si="173"/>
        <v>12461.90746</v>
      </c>
      <c r="I177" s="152">
        <f t="shared" si="173"/>
        <v>183164.6618</v>
      </c>
      <c r="J177" s="152">
        <f t="shared" si="173"/>
        <v>4722216.67</v>
      </c>
      <c r="K177" s="152">
        <f t="shared" si="173"/>
        <v>226137778.3</v>
      </c>
      <c r="L177" s="152">
        <f t="shared" si="173"/>
        <v>23195528452</v>
      </c>
      <c r="M177" s="152">
        <f t="shared" si="173"/>
        <v>6335964877620</v>
      </c>
      <c r="N177" s="152">
        <f t="shared" si="173"/>
        <v>5.47021E+15</v>
      </c>
      <c r="O177" s="152">
        <f t="shared" si="173"/>
        <v>1.88939E+19</v>
      </c>
      <c r="P177" s="152">
        <f t="shared" si="173"/>
        <v>3.48914E+23</v>
      </c>
      <c r="Q177" s="152">
        <f t="shared" si="173"/>
        <v>5.0571E+28</v>
      </c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6">
        <v>174.0</v>
      </c>
      <c r="C178" s="152">
        <f t="shared" ref="C178:Q178" si="174">C177/(1-C$2*C$3^($B178-1))</f>
        <v>5.241034057</v>
      </c>
      <c r="D178" s="152">
        <f t="shared" si="174"/>
        <v>14.98297672</v>
      </c>
      <c r="E178" s="152">
        <f t="shared" si="174"/>
        <v>50.31436129</v>
      </c>
      <c r="F178" s="152">
        <f t="shared" si="174"/>
        <v>229.2869648</v>
      </c>
      <c r="G178" s="152">
        <f t="shared" si="174"/>
        <v>1384.120008</v>
      </c>
      <c r="H178" s="152">
        <f t="shared" si="174"/>
        <v>12463.09436</v>
      </c>
      <c r="I178" s="152">
        <f t="shared" si="174"/>
        <v>183199.9346</v>
      </c>
      <c r="J178" s="152">
        <f t="shared" si="174"/>
        <v>4724015.901</v>
      </c>
      <c r="K178" s="152">
        <f t="shared" si="174"/>
        <v>226304637.2</v>
      </c>
      <c r="L178" s="152">
        <f t="shared" si="174"/>
        <v>23228085697</v>
      </c>
      <c r="M178" s="152">
        <f t="shared" si="174"/>
        <v>6352637320569</v>
      </c>
      <c r="N178" s="152">
        <f t="shared" si="174"/>
        <v>5.49681E+15</v>
      </c>
      <c r="O178" s="152">
        <f t="shared" si="174"/>
        <v>1.90614E+19</v>
      </c>
      <c r="P178" s="152">
        <f t="shared" si="174"/>
        <v>3.54489E+23</v>
      </c>
      <c r="Q178" s="152">
        <f t="shared" si="174"/>
        <v>5.20148E+28</v>
      </c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6">
        <v>175.0</v>
      </c>
      <c r="C179" s="152">
        <f t="shared" ref="C179:Q179" si="175">C178/(1-C$2*C$3^($B179-1))</f>
        <v>5.241041691</v>
      </c>
      <c r="D179" s="152">
        <f t="shared" si="175"/>
        <v>14.98303499</v>
      </c>
      <c r="E179" s="152">
        <f t="shared" si="175"/>
        <v>50.31482177</v>
      </c>
      <c r="F179" s="152">
        <f t="shared" si="175"/>
        <v>229.2916633</v>
      </c>
      <c r="G179" s="152">
        <f t="shared" si="175"/>
        <v>1384.180546</v>
      </c>
      <c r="H179" s="152">
        <f t="shared" si="175"/>
        <v>12464.22558</v>
      </c>
      <c r="I179" s="152">
        <f t="shared" si="175"/>
        <v>183233.6616</v>
      </c>
      <c r="J179" s="152">
        <f t="shared" si="175"/>
        <v>4725741.994</v>
      </c>
      <c r="K179" s="152">
        <f t="shared" si="175"/>
        <v>226465269.3</v>
      </c>
      <c r="L179" s="152">
        <f t="shared" si="175"/>
        <v>23259545990</v>
      </c>
      <c r="M179" s="152">
        <f t="shared" si="175"/>
        <v>6368817350836</v>
      </c>
      <c r="N179" s="152">
        <f t="shared" si="175"/>
        <v>5.52276E+15</v>
      </c>
      <c r="O179" s="152">
        <f t="shared" si="175"/>
        <v>1.9226E+19</v>
      </c>
      <c r="P179" s="152">
        <f t="shared" si="175"/>
        <v>3.60021E+23</v>
      </c>
      <c r="Q179" s="152">
        <f t="shared" si="175"/>
        <v>5.34693E+28</v>
      </c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6">
        <v>176.0</v>
      </c>
      <c r="C180" s="152">
        <f t="shared" ref="C180:Q180" si="176">C179/(1-C$2*C$3^($B180-1))</f>
        <v>5.241048851</v>
      </c>
      <c r="D180" s="152">
        <f t="shared" si="176"/>
        <v>14.98308983</v>
      </c>
      <c r="E180" s="152">
        <f t="shared" si="176"/>
        <v>50.31525647</v>
      </c>
      <c r="F180" s="152">
        <f t="shared" si="176"/>
        <v>229.2961128</v>
      </c>
      <c r="G180" s="152">
        <f t="shared" si="176"/>
        <v>1384.23806</v>
      </c>
      <c r="H180" s="152">
        <f t="shared" si="176"/>
        <v>12465.30372</v>
      </c>
      <c r="I180" s="152">
        <f t="shared" si="176"/>
        <v>183265.9103</v>
      </c>
      <c r="J180" s="152">
        <f t="shared" si="176"/>
        <v>4727397.896</v>
      </c>
      <c r="K180" s="152">
        <f t="shared" si="176"/>
        <v>226619903</v>
      </c>
      <c r="L180" s="152">
        <f t="shared" si="176"/>
        <v>23289944851</v>
      </c>
      <c r="M180" s="152">
        <f t="shared" si="176"/>
        <v>6384518231924</v>
      </c>
      <c r="N180" s="152">
        <f t="shared" si="176"/>
        <v>5.54807E+15</v>
      </c>
      <c r="O180" s="152">
        <f t="shared" si="176"/>
        <v>1.93876E+19</v>
      </c>
      <c r="P180" s="152">
        <f t="shared" si="176"/>
        <v>3.65509E+23</v>
      </c>
      <c r="Q180" s="152">
        <f t="shared" si="176"/>
        <v>5.49338E+28</v>
      </c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6">
        <v>177.0</v>
      </c>
      <c r="C181" s="152">
        <f t="shared" ref="C181:Q181" si="177">C180/(1-C$2*C$3^($B181-1))</f>
        <v>5.241055567</v>
      </c>
      <c r="D181" s="152">
        <f t="shared" si="177"/>
        <v>14.98314142</v>
      </c>
      <c r="E181" s="152">
        <f t="shared" si="177"/>
        <v>50.31566683</v>
      </c>
      <c r="F181" s="152">
        <f t="shared" si="177"/>
        <v>229.3003267</v>
      </c>
      <c r="G181" s="152">
        <f t="shared" si="177"/>
        <v>1384.292701</v>
      </c>
      <c r="H181" s="152">
        <f t="shared" si="177"/>
        <v>12466.33128</v>
      </c>
      <c r="I181" s="152">
        <f t="shared" si="177"/>
        <v>183296.7453</v>
      </c>
      <c r="J181" s="152">
        <f t="shared" si="177"/>
        <v>4728986.441</v>
      </c>
      <c r="K181" s="152">
        <f t="shared" si="177"/>
        <v>226768758.2</v>
      </c>
      <c r="L181" s="152">
        <f t="shared" si="177"/>
        <v>23319316748</v>
      </c>
      <c r="M181" s="152">
        <f t="shared" si="177"/>
        <v>6399752951322</v>
      </c>
      <c r="N181" s="152">
        <f t="shared" si="177"/>
        <v>5.57276E+15</v>
      </c>
      <c r="O181" s="152">
        <f t="shared" si="177"/>
        <v>1.95464E+19</v>
      </c>
      <c r="P181" s="152">
        <f t="shared" si="177"/>
        <v>3.7095E+23</v>
      </c>
      <c r="Q181" s="152">
        <f t="shared" si="177"/>
        <v>5.64075E+28</v>
      </c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6">
        <v>178.0</v>
      </c>
      <c r="C182" s="152">
        <f t="shared" ref="C182:Q182" si="178">C181/(1-C$2*C$3^($B182-1))</f>
        <v>5.241061866</v>
      </c>
      <c r="D182" s="152">
        <f t="shared" si="178"/>
        <v>14.98318998</v>
      </c>
      <c r="E182" s="152">
        <f t="shared" si="178"/>
        <v>50.31605421</v>
      </c>
      <c r="F182" s="152">
        <f t="shared" si="178"/>
        <v>229.3043172</v>
      </c>
      <c r="G182" s="152">
        <f t="shared" si="178"/>
        <v>1384.344611</v>
      </c>
      <c r="H182" s="152">
        <f t="shared" si="178"/>
        <v>12467.31062</v>
      </c>
      <c r="I182" s="152">
        <f t="shared" si="178"/>
        <v>183326.2282</v>
      </c>
      <c r="J182" s="152">
        <f t="shared" si="178"/>
        <v>4730510.346</v>
      </c>
      <c r="K182" s="152">
        <f t="shared" si="178"/>
        <v>226912047.5</v>
      </c>
      <c r="L182" s="152">
        <f t="shared" si="178"/>
        <v>23347695120</v>
      </c>
      <c r="M182" s="152">
        <f t="shared" si="178"/>
        <v>6414534220774</v>
      </c>
      <c r="N182" s="152">
        <f t="shared" si="178"/>
        <v>5.59683E+15</v>
      </c>
      <c r="O182" s="152">
        <f t="shared" si="178"/>
        <v>1.97022E+19</v>
      </c>
      <c r="P182" s="152">
        <f t="shared" si="178"/>
        <v>3.76343E+23</v>
      </c>
      <c r="Q182" s="152">
        <f t="shared" si="178"/>
        <v>5.78896E+28</v>
      </c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6">
        <v>179.0</v>
      </c>
      <c r="C183" s="152">
        <f t="shared" ref="C183:Q183" si="179">C182/(1-C$2*C$3^($B183-1))</f>
        <v>5.241067776</v>
      </c>
      <c r="D183" s="152">
        <f t="shared" si="179"/>
        <v>14.98323567</v>
      </c>
      <c r="E183" s="152">
        <f t="shared" si="179"/>
        <v>50.3164199</v>
      </c>
      <c r="F183" s="152">
        <f t="shared" si="179"/>
        <v>229.3080963</v>
      </c>
      <c r="G183" s="152">
        <f t="shared" si="179"/>
        <v>1384.393928</v>
      </c>
      <c r="H183" s="152">
        <f t="shared" si="179"/>
        <v>12468.244</v>
      </c>
      <c r="I183" s="152">
        <f t="shared" si="179"/>
        <v>183354.4183</v>
      </c>
      <c r="J183" s="152">
        <f t="shared" si="179"/>
        <v>4731972.223</v>
      </c>
      <c r="K183" s="152">
        <f t="shared" si="179"/>
        <v>227049975.6</v>
      </c>
      <c r="L183" s="152">
        <f t="shared" si="179"/>
        <v>23375112409</v>
      </c>
      <c r="M183" s="152">
        <f t="shared" si="179"/>
        <v>6428874476998</v>
      </c>
      <c r="N183" s="152">
        <f t="shared" si="179"/>
        <v>5.6203E+15</v>
      </c>
      <c r="O183" s="152">
        <f t="shared" si="179"/>
        <v>1.98551E+19</v>
      </c>
      <c r="P183" s="152">
        <f t="shared" si="179"/>
        <v>3.81687E+23</v>
      </c>
      <c r="Q183" s="152">
        <f t="shared" si="179"/>
        <v>5.93795E+28</v>
      </c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6">
        <v>180.0</v>
      </c>
      <c r="C184" s="152">
        <f t="shared" ref="C184:Q184" si="180">C183/(1-C$2*C$3^($B184-1))</f>
        <v>5.241073318</v>
      </c>
      <c r="D184" s="152">
        <f t="shared" si="180"/>
        <v>14.98327866</v>
      </c>
      <c r="E184" s="152">
        <f t="shared" si="180"/>
        <v>50.31676511</v>
      </c>
      <c r="F184" s="152">
        <f t="shared" si="180"/>
        <v>229.3116752</v>
      </c>
      <c r="G184" s="152">
        <f t="shared" si="180"/>
        <v>1384.44078</v>
      </c>
      <c r="H184" s="152">
        <f t="shared" si="180"/>
        <v>12469.13357</v>
      </c>
      <c r="I184" s="152">
        <f t="shared" si="180"/>
        <v>183381.3719</v>
      </c>
      <c r="J184" s="152">
        <f t="shared" si="180"/>
        <v>4733374.578</v>
      </c>
      <c r="K184" s="152">
        <f t="shared" si="180"/>
        <v>227182739.9</v>
      </c>
      <c r="L184" s="152">
        <f t="shared" si="180"/>
        <v>23401600073</v>
      </c>
      <c r="M184" s="152">
        <f t="shared" si="180"/>
        <v>6442785882839</v>
      </c>
      <c r="N184" s="152">
        <f t="shared" si="180"/>
        <v>5.64319E+15</v>
      </c>
      <c r="O184" s="152">
        <f t="shared" si="180"/>
        <v>2.00052E+19</v>
      </c>
      <c r="P184" s="152">
        <f t="shared" si="180"/>
        <v>3.86981E+23</v>
      </c>
      <c r="Q184" s="152">
        <f t="shared" si="180"/>
        <v>6.08764E+28</v>
      </c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6">
        <v>181.0</v>
      </c>
      <c r="C185" s="152">
        <f t="shared" ref="C185:Q185" si="181">C184/(1-C$2*C$3^($B185-1))</f>
        <v>5.241078517</v>
      </c>
      <c r="D185" s="152">
        <f t="shared" si="181"/>
        <v>14.98331912</v>
      </c>
      <c r="E185" s="152">
        <f t="shared" si="181"/>
        <v>50.317091</v>
      </c>
      <c r="F185" s="152">
        <f t="shared" si="181"/>
        <v>229.3150644</v>
      </c>
      <c r="G185" s="152">
        <f t="shared" si="181"/>
        <v>1384.485291</v>
      </c>
      <c r="H185" s="152">
        <f t="shared" si="181"/>
        <v>12469.98139</v>
      </c>
      <c r="I185" s="152">
        <f t="shared" si="181"/>
        <v>183407.1432</v>
      </c>
      <c r="J185" s="152">
        <f t="shared" si="181"/>
        <v>4734719.819</v>
      </c>
      <c r="K185" s="152">
        <f t="shared" si="181"/>
        <v>227310531.1</v>
      </c>
      <c r="L185" s="152">
        <f t="shared" si="181"/>
        <v>23427188618</v>
      </c>
      <c r="M185" s="152">
        <f t="shared" si="181"/>
        <v>6456280328799</v>
      </c>
      <c r="N185" s="152">
        <f t="shared" si="181"/>
        <v>5.6655E+15</v>
      </c>
      <c r="O185" s="152">
        <f t="shared" si="181"/>
        <v>2.01525E+19</v>
      </c>
      <c r="P185" s="152">
        <f t="shared" si="181"/>
        <v>3.92222E+23</v>
      </c>
      <c r="Q185" s="152">
        <f t="shared" si="181"/>
        <v>6.23796E+28</v>
      </c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6">
        <v>182.0</v>
      </c>
      <c r="C186" s="152">
        <f t="shared" ref="C186:Q186" si="182">C185/(1-C$2*C$3^($B186-1))</f>
        <v>5.241083394</v>
      </c>
      <c r="D186" s="152">
        <f t="shared" si="182"/>
        <v>14.98335719</v>
      </c>
      <c r="E186" s="152">
        <f t="shared" si="182"/>
        <v>50.31739864</v>
      </c>
      <c r="F186" s="152">
        <f t="shared" si="182"/>
        <v>229.3182741</v>
      </c>
      <c r="G186" s="152">
        <f t="shared" si="182"/>
        <v>1384.527578</v>
      </c>
      <c r="H186" s="152">
        <f t="shared" si="182"/>
        <v>12470.78942</v>
      </c>
      <c r="I186" s="152">
        <f t="shared" si="182"/>
        <v>183431.7839</v>
      </c>
      <c r="J186" s="152">
        <f t="shared" si="182"/>
        <v>4736010.256</v>
      </c>
      <c r="K186" s="152">
        <f t="shared" si="182"/>
        <v>227433532.8</v>
      </c>
      <c r="L186" s="152">
        <f t="shared" si="182"/>
        <v>23451907618</v>
      </c>
      <c r="M186" s="152">
        <f t="shared" si="182"/>
        <v>6469369434930</v>
      </c>
      <c r="N186" s="152">
        <f t="shared" si="182"/>
        <v>5.68725E+15</v>
      </c>
      <c r="O186" s="152">
        <f t="shared" si="182"/>
        <v>2.0297E+19</v>
      </c>
      <c r="P186" s="152">
        <f t="shared" si="182"/>
        <v>3.97411E+23</v>
      </c>
      <c r="Q186" s="152">
        <f t="shared" si="182"/>
        <v>6.38884E+28</v>
      </c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6">
        <v>183.0</v>
      </c>
      <c r="C187" s="152">
        <f t="shared" ref="C187:Q187" si="183">C186/(1-C$2*C$3^($B187-1))</f>
        <v>5.241087969</v>
      </c>
      <c r="D187" s="152">
        <f t="shared" si="183"/>
        <v>14.98339301</v>
      </c>
      <c r="E187" s="152">
        <f t="shared" si="183"/>
        <v>50.31768905</v>
      </c>
      <c r="F187" s="152">
        <f t="shared" si="183"/>
        <v>229.3213137</v>
      </c>
      <c r="G187" s="152">
        <f t="shared" si="183"/>
        <v>1384.567752</v>
      </c>
      <c r="H187" s="152">
        <f t="shared" si="183"/>
        <v>12471.55952</v>
      </c>
      <c r="I187" s="152">
        <f t="shared" si="183"/>
        <v>183455.3434</v>
      </c>
      <c r="J187" s="152">
        <f t="shared" si="183"/>
        <v>4737248.109</v>
      </c>
      <c r="K187" s="152">
        <f t="shared" si="183"/>
        <v>227551921.9</v>
      </c>
      <c r="L187" s="152">
        <f t="shared" si="183"/>
        <v>23475785741</v>
      </c>
      <c r="M187" s="152">
        <f t="shared" si="183"/>
        <v>6482064553043</v>
      </c>
      <c r="N187" s="152">
        <f t="shared" si="183"/>
        <v>5.70844E+15</v>
      </c>
      <c r="O187" s="152">
        <f t="shared" si="183"/>
        <v>2.04387E+19</v>
      </c>
      <c r="P187" s="152">
        <f t="shared" si="183"/>
        <v>4.02547E+23</v>
      </c>
      <c r="Q187" s="152">
        <f t="shared" si="183"/>
        <v>6.5402E+28</v>
      </c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6">
        <v>184.0</v>
      </c>
      <c r="C188" s="152">
        <f t="shared" ref="C188:Q188" si="184">C187/(1-C$2*C$3^($B188-1))</f>
        <v>5.24109226</v>
      </c>
      <c r="D188" s="152">
        <f t="shared" si="184"/>
        <v>14.98342672</v>
      </c>
      <c r="E188" s="152">
        <f t="shared" si="184"/>
        <v>50.3179632</v>
      </c>
      <c r="F188" s="152">
        <f t="shared" si="184"/>
        <v>229.3241922</v>
      </c>
      <c r="G188" s="152">
        <f t="shared" si="184"/>
        <v>1384.605918</v>
      </c>
      <c r="H188" s="152">
        <f t="shared" si="184"/>
        <v>12472.29346</v>
      </c>
      <c r="I188" s="152">
        <f t="shared" si="184"/>
        <v>183477.869</v>
      </c>
      <c r="J188" s="152">
        <f t="shared" si="184"/>
        <v>4738435.508</v>
      </c>
      <c r="K188" s="152">
        <f t="shared" si="184"/>
        <v>227665869.3</v>
      </c>
      <c r="L188" s="152">
        <f t="shared" si="184"/>
        <v>23498850768</v>
      </c>
      <c r="M188" s="152">
        <f t="shared" si="184"/>
        <v>6494376769211</v>
      </c>
      <c r="N188" s="152">
        <f t="shared" si="184"/>
        <v>5.7291E+15</v>
      </c>
      <c r="O188" s="152">
        <f t="shared" si="184"/>
        <v>2.05777E+19</v>
      </c>
      <c r="P188" s="152">
        <f t="shared" si="184"/>
        <v>4.07627E+23</v>
      </c>
      <c r="Q188" s="152">
        <f t="shared" si="184"/>
        <v>6.69198E+28</v>
      </c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6">
        <v>185.0</v>
      </c>
      <c r="C189" s="152">
        <f t="shared" ref="C189:Q189" si="185">C188/(1-C$2*C$3^($B189-1))</f>
        <v>5.241096284</v>
      </c>
      <c r="D189" s="152">
        <f t="shared" si="185"/>
        <v>14.98345845</v>
      </c>
      <c r="E189" s="152">
        <f t="shared" si="185"/>
        <v>50.318222</v>
      </c>
      <c r="F189" s="152">
        <f t="shared" si="185"/>
        <v>229.3269182</v>
      </c>
      <c r="G189" s="152">
        <f t="shared" si="185"/>
        <v>1384.642177</v>
      </c>
      <c r="H189" s="152">
        <f t="shared" si="185"/>
        <v>12472.99295</v>
      </c>
      <c r="I189" s="152">
        <f t="shared" si="185"/>
        <v>183499.4061</v>
      </c>
      <c r="J189" s="152">
        <f t="shared" si="185"/>
        <v>4739574.497</v>
      </c>
      <c r="K189" s="152">
        <f t="shared" si="185"/>
        <v>227775539.5</v>
      </c>
      <c r="L189" s="152">
        <f t="shared" si="185"/>
        <v>23521129622</v>
      </c>
      <c r="M189" s="152">
        <f t="shared" si="185"/>
        <v>6506316906532</v>
      </c>
      <c r="N189" s="152">
        <f t="shared" si="185"/>
        <v>5.74922E+15</v>
      </c>
      <c r="O189" s="152">
        <f t="shared" si="185"/>
        <v>2.07139E+19</v>
      </c>
      <c r="P189" s="152">
        <f t="shared" si="185"/>
        <v>4.12652E+23</v>
      </c>
      <c r="Q189" s="152">
        <f t="shared" si="185"/>
        <v>6.8441E+28</v>
      </c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6">
        <v>186.0</v>
      </c>
      <c r="C190" s="152">
        <f t="shared" ref="C190:Q190" si="186">C189/(1-C$2*C$3^($B190-1))</f>
        <v>5.24110006</v>
      </c>
      <c r="D190" s="152">
        <f t="shared" si="186"/>
        <v>14.9834883</v>
      </c>
      <c r="E190" s="152">
        <f t="shared" si="186"/>
        <v>50.3184663</v>
      </c>
      <c r="F190" s="152">
        <f t="shared" si="186"/>
        <v>229.3294997</v>
      </c>
      <c r="G190" s="152">
        <f t="shared" si="186"/>
        <v>1384.676623</v>
      </c>
      <c r="H190" s="152">
        <f t="shared" si="186"/>
        <v>12473.6596</v>
      </c>
      <c r="I190" s="152">
        <f t="shared" si="186"/>
        <v>183519.9978</v>
      </c>
      <c r="J190" s="152">
        <f t="shared" si="186"/>
        <v>4740667.039</v>
      </c>
      <c r="K190" s="152">
        <f t="shared" si="186"/>
        <v>227881091.2</v>
      </c>
      <c r="L190" s="152">
        <f t="shared" si="186"/>
        <v>23542648385</v>
      </c>
      <c r="M190" s="152">
        <f t="shared" si="186"/>
        <v>6517895528135</v>
      </c>
      <c r="N190" s="152">
        <f t="shared" si="186"/>
        <v>5.76883E+15</v>
      </c>
      <c r="O190" s="152">
        <f t="shared" si="186"/>
        <v>2.08474E+19</v>
      </c>
      <c r="P190" s="152">
        <f t="shared" si="186"/>
        <v>4.1762E+23</v>
      </c>
      <c r="Q190" s="152">
        <f t="shared" si="186"/>
        <v>6.9965E+28</v>
      </c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6">
        <v>187.0</v>
      </c>
      <c r="C191" s="152">
        <f t="shared" ref="C191:Q191" si="187">C190/(1-C$2*C$3^($B191-1))</f>
        <v>5.241103601</v>
      </c>
      <c r="D191" s="152">
        <f t="shared" si="187"/>
        <v>14.98351639</v>
      </c>
      <c r="E191" s="152">
        <f t="shared" si="187"/>
        <v>50.31869693</v>
      </c>
      <c r="F191" s="152">
        <f t="shared" si="187"/>
        <v>229.3319445</v>
      </c>
      <c r="G191" s="152">
        <f t="shared" si="187"/>
        <v>1384.709349</v>
      </c>
      <c r="H191" s="152">
        <f t="shared" si="187"/>
        <v>12474.29495</v>
      </c>
      <c r="I191" s="152">
        <f t="shared" si="187"/>
        <v>183539.6856</v>
      </c>
      <c r="J191" s="152">
        <f t="shared" si="187"/>
        <v>4741715.019</v>
      </c>
      <c r="K191" s="152">
        <f t="shared" si="187"/>
        <v>227982677.1</v>
      </c>
      <c r="L191" s="152">
        <f t="shared" si="187"/>
        <v>23563432324</v>
      </c>
      <c r="M191" s="152">
        <f t="shared" si="187"/>
        <v>6529122940389</v>
      </c>
      <c r="N191" s="152">
        <f t="shared" si="187"/>
        <v>5.78793E+15</v>
      </c>
      <c r="O191" s="152">
        <f t="shared" si="187"/>
        <v>2.09783E+19</v>
      </c>
      <c r="P191" s="152">
        <f t="shared" si="187"/>
        <v>4.22531E+23</v>
      </c>
      <c r="Q191" s="152">
        <f t="shared" si="187"/>
        <v>7.14911E+28</v>
      </c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6">
        <v>188.0</v>
      </c>
      <c r="C192" s="152">
        <f t="shared" ref="C192:Q192" si="188">C191/(1-C$2*C$3^($B192-1))</f>
        <v>5.241106922</v>
      </c>
      <c r="D192" s="152">
        <f t="shared" si="188"/>
        <v>14.98354282</v>
      </c>
      <c r="E192" s="152">
        <f t="shared" si="188"/>
        <v>50.31891464</v>
      </c>
      <c r="F192" s="152">
        <f t="shared" si="188"/>
        <v>229.3342597</v>
      </c>
      <c r="G192" s="152">
        <f t="shared" si="188"/>
        <v>1384.740438</v>
      </c>
      <c r="H192" s="152">
        <f t="shared" si="188"/>
        <v>12474.90047</v>
      </c>
      <c r="I192" s="152">
        <f t="shared" si="188"/>
        <v>183558.5091</v>
      </c>
      <c r="J192" s="152">
        <f t="shared" si="188"/>
        <v>4742720.245</v>
      </c>
      <c r="K192" s="152">
        <f t="shared" si="188"/>
        <v>228080444.7</v>
      </c>
      <c r="L192" s="152">
        <f t="shared" si="188"/>
        <v>23583505910</v>
      </c>
      <c r="M192" s="152">
        <f t="shared" si="188"/>
        <v>6540009196307</v>
      </c>
      <c r="N192" s="152">
        <f t="shared" si="188"/>
        <v>5.80654E+15</v>
      </c>
      <c r="O192" s="152">
        <f t="shared" si="188"/>
        <v>2.11066E+19</v>
      </c>
      <c r="P192" s="152">
        <f t="shared" si="188"/>
        <v>4.27384E+23</v>
      </c>
      <c r="Q192" s="152">
        <f t="shared" si="188"/>
        <v>7.30186E+28</v>
      </c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6">
        <v>189.0</v>
      </c>
      <c r="C193" s="152">
        <f t="shared" ref="C193:Q193" si="189">C192/(1-C$2*C$3^($B193-1))</f>
        <v>5.241110038</v>
      </c>
      <c r="D193" s="152">
        <f t="shared" si="189"/>
        <v>14.98356769</v>
      </c>
      <c r="E193" s="152">
        <f t="shared" si="189"/>
        <v>50.31912016</v>
      </c>
      <c r="F193" s="152">
        <f t="shared" si="189"/>
        <v>229.3364522</v>
      </c>
      <c r="G193" s="152">
        <f t="shared" si="189"/>
        <v>1384.769974</v>
      </c>
      <c r="H193" s="152">
        <f t="shared" si="189"/>
        <v>12475.47755</v>
      </c>
      <c r="I193" s="152">
        <f t="shared" si="189"/>
        <v>183576.5061</v>
      </c>
      <c r="J193" s="152">
        <f t="shared" si="189"/>
        <v>4743684.452</v>
      </c>
      <c r="K193" s="152">
        <f t="shared" si="189"/>
        <v>228174535.9</v>
      </c>
      <c r="L193" s="152">
        <f t="shared" si="189"/>
        <v>23602892845</v>
      </c>
      <c r="M193" s="152">
        <f t="shared" si="189"/>
        <v>6550564099116</v>
      </c>
      <c r="N193" s="152">
        <f t="shared" si="189"/>
        <v>5.82467E+15</v>
      </c>
      <c r="O193" s="152">
        <f t="shared" si="189"/>
        <v>2.12323E+19</v>
      </c>
      <c r="P193" s="152">
        <f t="shared" si="189"/>
        <v>4.32179E+23</v>
      </c>
      <c r="Q193" s="152">
        <f t="shared" si="189"/>
        <v>7.45469E+28</v>
      </c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6">
        <v>190.0</v>
      </c>
      <c r="C194" s="152">
        <f t="shared" ref="C194:Q194" si="190">C193/(1-C$2*C$3^($B194-1))</f>
        <v>5.241112961</v>
      </c>
      <c r="D194" s="152">
        <f t="shared" si="190"/>
        <v>14.9835911</v>
      </c>
      <c r="E194" s="152">
        <f t="shared" si="190"/>
        <v>50.31931418</v>
      </c>
      <c r="F194" s="152">
        <f t="shared" si="190"/>
        <v>229.3385285</v>
      </c>
      <c r="G194" s="152">
        <f t="shared" si="190"/>
        <v>1384.798033</v>
      </c>
      <c r="H194" s="152">
        <f t="shared" si="190"/>
        <v>12476.02753</v>
      </c>
      <c r="I194" s="152">
        <f t="shared" si="190"/>
        <v>183593.7129</v>
      </c>
      <c r="J194" s="152">
        <f t="shared" si="190"/>
        <v>4744609.307</v>
      </c>
      <c r="K194" s="152">
        <f t="shared" si="190"/>
        <v>228265087.6</v>
      </c>
      <c r="L194" s="152">
        <f t="shared" si="190"/>
        <v>23621616079</v>
      </c>
      <c r="M194" s="152">
        <f t="shared" si="190"/>
        <v>6560797205973</v>
      </c>
      <c r="N194" s="152">
        <f t="shared" si="190"/>
        <v>5.84232E+15</v>
      </c>
      <c r="O194" s="152">
        <f t="shared" si="190"/>
        <v>2.13554E+19</v>
      </c>
      <c r="P194" s="152">
        <f t="shared" si="190"/>
        <v>4.36915E+23</v>
      </c>
      <c r="Q194" s="152">
        <f t="shared" si="190"/>
        <v>7.60754E+28</v>
      </c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6">
        <v>191.0</v>
      </c>
      <c r="C195" s="152">
        <f t="shared" ref="C195:Q195" si="191">C194/(1-C$2*C$3^($B195-1))</f>
        <v>5.241115702</v>
      </c>
      <c r="D195" s="152">
        <f t="shared" si="191"/>
        <v>14.98361312</v>
      </c>
      <c r="E195" s="152">
        <f t="shared" si="191"/>
        <v>50.31949733</v>
      </c>
      <c r="F195" s="152">
        <f t="shared" si="191"/>
        <v>229.3404948</v>
      </c>
      <c r="G195" s="152">
        <f t="shared" si="191"/>
        <v>1384.82469</v>
      </c>
      <c r="H195" s="152">
        <f t="shared" si="191"/>
        <v>12476.55169</v>
      </c>
      <c r="I195" s="152">
        <f t="shared" si="191"/>
        <v>183610.164</v>
      </c>
      <c r="J195" s="152">
        <f t="shared" si="191"/>
        <v>4745496.409</v>
      </c>
      <c r="K195" s="152">
        <f t="shared" si="191"/>
        <v>228352231.5</v>
      </c>
      <c r="L195" s="152">
        <f t="shared" si="191"/>
        <v>23639697829</v>
      </c>
      <c r="M195" s="152">
        <f t="shared" si="191"/>
        <v>6570717831808</v>
      </c>
      <c r="N195" s="152">
        <f t="shared" si="191"/>
        <v>5.85951E+15</v>
      </c>
      <c r="O195" s="152">
        <f t="shared" si="191"/>
        <v>2.1476E+19</v>
      </c>
      <c r="P195" s="152">
        <f t="shared" si="191"/>
        <v>4.41591E+23</v>
      </c>
      <c r="Q195" s="152">
        <f t="shared" si="191"/>
        <v>7.76033E+28</v>
      </c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6">
        <v>192.0</v>
      </c>
      <c r="C196" s="152">
        <f t="shared" ref="C196:Q196" si="192">C195/(1-C$2*C$3^($B196-1))</f>
        <v>5.241118273</v>
      </c>
      <c r="D196" s="152">
        <f t="shared" si="192"/>
        <v>14.98363385</v>
      </c>
      <c r="E196" s="152">
        <f t="shared" si="192"/>
        <v>50.31967022</v>
      </c>
      <c r="F196" s="152">
        <f t="shared" si="192"/>
        <v>229.3423569</v>
      </c>
      <c r="G196" s="152">
        <f t="shared" si="192"/>
        <v>1384.850015</v>
      </c>
      <c r="H196" s="152">
        <f t="shared" si="192"/>
        <v>12477.05124</v>
      </c>
      <c r="I196" s="152">
        <f t="shared" si="192"/>
        <v>183625.8927</v>
      </c>
      <c r="J196" s="152">
        <f t="shared" si="192"/>
        <v>4746347.292</v>
      </c>
      <c r="K196" s="152">
        <f t="shared" si="192"/>
        <v>228436094.8</v>
      </c>
      <c r="L196" s="152">
        <f t="shared" si="192"/>
        <v>23657159607</v>
      </c>
      <c r="M196" s="152">
        <f t="shared" si="192"/>
        <v>6580335053275</v>
      </c>
      <c r="N196" s="152">
        <f t="shared" si="192"/>
        <v>5.87626E+15</v>
      </c>
      <c r="O196" s="152">
        <f t="shared" si="192"/>
        <v>2.15941E+19</v>
      </c>
      <c r="P196" s="152">
        <f t="shared" si="192"/>
        <v>4.46208E+23</v>
      </c>
      <c r="Q196" s="152">
        <f t="shared" si="192"/>
        <v>7.91302E+28</v>
      </c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6">
        <v>193.0</v>
      </c>
      <c r="C197" s="152">
        <f t="shared" ref="C197:Q197" si="193">C196/(1-C$2*C$3^($B197-1))</f>
        <v>5.241120685</v>
      </c>
      <c r="D197" s="152">
        <f t="shared" si="193"/>
        <v>14.98365335</v>
      </c>
      <c r="E197" s="152">
        <f t="shared" si="193"/>
        <v>50.31983343</v>
      </c>
      <c r="F197" s="152">
        <f t="shared" si="193"/>
        <v>229.3441204</v>
      </c>
      <c r="G197" s="152">
        <f t="shared" si="193"/>
        <v>1384.874074</v>
      </c>
      <c r="H197" s="152">
        <f t="shared" si="193"/>
        <v>12477.52732</v>
      </c>
      <c r="I197" s="152">
        <f t="shared" si="193"/>
        <v>183640.9305</v>
      </c>
      <c r="J197" s="152">
        <f t="shared" si="193"/>
        <v>4747163.429</v>
      </c>
      <c r="K197" s="152">
        <f t="shared" si="193"/>
        <v>228516799.8</v>
      </c>
      <c r="L197" s="152">
        <f t="shared" si="193"/>
        <v>23674022234</v>
      </c>
      <c r="M197" s="152">
        <f t="shared" si="193"/>
        <v>6589657712804</v>
      </c>
      <c r="N197" s="152">
        <f t="shared" si="193"/>
        <v>5.89256E+15</v>
      </c>
      <c r="O197" s="152">
        <f t="shared" si="193"/>
        <v>2.17098E+19</v>
      </c>
      <c r="P197" s="152">
        <f t="shared" si="193"/>
        <v>4.50764E+23</v>
      </c>
      <c r="Q197" s="152">
        <f t="shared" si="193"/>
        <v>8.06554E+28</v>
      </c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6">
        <v>194.0</v>
      </c>
      <c r="C198" s="152">
        <f t="shared" ref="C198:Q198" si="194">C197/(1-C$2*C$3^($B198-1))</f>
        <v>5.241122948</v>
      </c>
      <c r="D198" s="152">
        <f t="shared" si="194"/>
        <v>14.9836717</v>
      </c>
      <c r="E198" s="152">
        <f t="shared" si="194"/>
        <v>50.3199875</v>
      </c>
      <c r="F198" s="152">
        <f t="shared" si="194"/>
        <v>229.3457904</v>
      </c>
      <c r="G198" s="152">
        <f t="shared" si="194"/>
        <v>1384.89693</v>
      </c>
      <c r="H198" s="152">
        <f t="shared" si="194"/>
        <v>12477.98104</v>
      </c>
      <c r="I198" s="152">
        <f t="shared" si="194"/>
        <v>183655.3077</v>
      </c>
      <c r="J198" s="152">
        <f t="shared" si="194"/>
        <v>4747946.234</v>
      </c>
      <c r="K198" s="152">
        <f t="shared" si="194"/>
        <v>228594464.4</v>
      </c>
      <c r="L198" s="152">
        <f t="shared" si="194"/>
        <v>23690305861</v>
      </c>
      <c r="M198" s="152">
        <f t="shared" si="194"/>
        <v>6598694422727</v>
      </c>
      <c r="N198" s="152">
        <f t="shared" si="194"/>
        <v>5.90843E+15</v>
      </c>
      <c r="O198" s="152">
        <f t="shared" si="194"/>
        <v>2.1823E+19</v>
      </c>
      <c r="P198" s="152">
        <f t="shared" si="194"/>
        <v>4.5526E+23</v>
      </c>
      <c r="Q198" s="152">
        <f t="shared" si="194"/>
        <v>8.21783E+28</v>
      </c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6">
        <v>195.0</v>
      </c>
      <c r="C199" s="152">
        <f t="shared" ref="C199:Q199" si="195">C198/(1-C$2*C$3^($B199-1))</f>
        <v>5.24112507</v>
      </c>
      <c r="D199" s="152">
        <f t="shared" si="195"/>
        <v>14.98368897</v>
      </c>
      <c r="E199" s="152">
        <f t="shared" si="195"/>
        <v>50.32013295</v>
      </c>
      <c r="F199" s="152">
        <f t="shared" si="195"/>
        <v>229.3473718</v>
      </c>
      <c r="G199" s="152">
        <f t="shared" si="195"/>
        <v>1384.918644</v>
      </c>
      <c r="H199" s="152">
        <f t="shared" si="195"/>
        <v>12478.41345</v>
      </c>
      <c r="I199" s="152">
        <f t="shared" si="195"/>
        <v>183669.0534</v>
      </c>
      <c r="J199" s="152">
        <f t="shared" si="195"/>
        <v>4748697.062</v>
      </c>
      <c r="K199" s="152">
        <f t="shared" si="195"/>
        <v>228669202.1</v>
      </c>
      <c r="L199" s="152">
        <f t="shared" si="195"/>
        <v>23706029992</v>
      </c>
      <c r="M199" s="152">
        <f t="shared" si="195"/>
        <v>6607453569462</v>
      </c>
      <c r="N199" s="152">
        <f t="shared" si="195"/>
        <v>5.92388E+15</v>
      </c>
      <c r="O199" s="152">
        <f t="shared" si="195"/>
        <v>2.19339E+19</v>
      </c>
      <c r="P199" s="152">
        <f t="shared" si="195"/>
        <v>4.59696E+23</v>
      </c>
      <c r="Q199" s="152">
        <f t="shared" si="195"/>
        <v>8.36983E+28</v>
      </c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6">
        <v>196.0</v>
      </c>
      <c r="C200" s="152">
        <f t="shared" ref="C200:Q200" si="196">C199/(1-C$2*C$3^($B200-1))</f>
        <v>5.241127061</v>
      </c>
      <c r="D200" s="152">
        <f t="shared" si="196"/>
        <v>14.98370522</v>
      </c>
      <c r="E200" s="152">
        <f t="shared" si="196"/>
        <v>50.32027025</v>
      </c>
      <c r="F200" s="152">
        <f t="shared" si="196"/>
        <v>229.3488695</v>
      </c>
      <c r="G200" s="152">
        <f t="shared" si="196"/>
        <v>1384.939272</v>
      </c>
      <c r="H200" s="152">
        <f t="shared" si="196"/>
        <v>12478.82556</v>
      </c>
      <c r="I200" s="152">
        <f t="shared" si="196"/>
        <v>183682.1952</v>
      </c>
      <c r="J200" s="152">
        <f t="shared" si="196"/>
        <v>4749417.216</v>
      </c>
      <c r="K200" s="152">
        <f t="shared" si="196"/>
        <v>228741122.4</v>
      </c>
      <c r="L200" s="152">
        <f t="shared" si="196"/>
        <v>23721213496</v>
      </c>
      <c r="M200" s="152">
        <f t="shared" si="196"/>
        <v>6615943317765</v>
      </c>
      <c r="N200" s="152">
        <f t="shared" si="196"/>
        <v>5.93892E+15</v>
      </c>
      <c r="O200" s="152">
        <f t="shared" si="196"/>
        <v>2.20424E+19</v>
      </c>
      <c r="P200" s="152">
        <f t="shared" si="196"/>
        <v>4.64071E+23</v>
      </c>
      <c r="Q200" s="152">
        <f t="shared" si="196"/>
        <v>8.52149E+28</v>
      </c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6">
        <v>197.0</v>
      </c>
      <c r="C201" s="152">
        <f t="shared" ref="C201:Q201" si="197">C200/(1-C$2*C$3^($B201-1))</f>
        <v>5.241128928</v>
      </c>
      <c r="D201" s="152">
        <f t="shared" si="197"/>
        <v>14.98372051</v>
      </c>
      <c r="E201" s="152">
        <f t="shared" si="197"/>
        <v>50.32039986</v>
      </c>
      <c r="F201" s="152">
        <f t="shared" si="197"/>
        <v>229.3502878</v>
      </c>
      <c r="G201" s="152">
        <f t="shared" si="197"/>
        <v>1384.958869</v>
      </c>
      <c r="H201" s="152">
        <f t="shared" si="197"/>
        <v>12479.2183</v>
      </c>
      <c r="I201" s="152">
        <f t="shared" si="197"/>
        <v>183694.7597</v>
      </c>
      <c r="J201" s="152">
        <f t="shared" si="197"/>
        <v>4750107.944</v>
      </c>
      <c r="K201" s="152">
        <f t="shared" si="197"/>
        <v>228810330.7</v>
      </c>
      <c r="L201" s="152">
        <f t="shared" si="197"/>
        <v>23735874634</v>
      </c>
      <c r="M201" s="152">
        <f t="shared" si="197"/>
        <v>6624171615004</v>
      </c>
      <c r="N201" s="152">
        <f t="shared" si="197"/>
        <v>5.95356E+15</v>
      </c>
      <c r="O201" s="152">
        <f t="shared" si="197"/>
        <v>2.21486E+19</v>
      </c>
      <c r="P201" s="152">
        <f t="shared" si="197"/>
        <v>4.68385E+23</v>
      </c>
      <c r="Q201" s="152">
        <f t="shared" si="197"/>
        <v>8.67276E+28</v>
      </c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6">
        <v>198.0</v>
      </c>
      <c r="C202" s="152">
        <f t="shared" ref="C202:Q202" si="198">C201/(1-C$2*C$3^($B202-1))</f>
        <v>5.241130679</v>
      </c>
      <c r="D202" s="152">
        <f t="shared" si="198"/>
        <v>14.9837349</v>
      </c>
      <c r="E202" s="152">
        <f t="shared" si="198"/>
        <v>50.32052222</v>
      </c>
      <c r="F202" s="152">
        <f t="shared" si="198"/>
        <v>229.3516309</v>
      </c>
      <c r="G202" s="152">
        <f t="shared" si="198"/>
        <v>1384.977487</v>
      </c>
      <c r="H202" s="152">
        <f t="shared" si="198"/>
        <v>12479.5926</v>
      </c>
      <c r="I202" s="152">
        <f t="shared" si="198"/>
        <v>183706.7721</v>
      </c>
      <c r="J202" s="152">
        <f t="shared" si="198"/>
        <v>4750770.444</v>
      </c>
      <c r="K202" s="152">
        <f t="shared" si="198"/>
        <v>228876928.5</v>
      </c>
      <c r="L202" s="152">
        <f t="shared" si="198"/>
        <v>23750031069</v>
      </c>
      <c r="M202" s="152">
        <f t="shared" si="198"/>
        <v>6632146195473</v>
      </c>
      <c r="N202" s="152">
        <f t="shared" si="198"/>
        <v>5.96781E+15</v>
      </c>
      <c r="O202" s="152">
        <f t="shared" si="198"/>
        <v>2.22525E+19</v>
      </c>
      <c r="P202" s="152">
        <f t="shared" si="198"/>
        <v>4.72637E+23</v>
      </c>
      <c r="Q202" s="152">
        <f t="shared" si="198"/>
        <v>8.82358E+28</v>
      </c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6">
        <v>199.0</v>
      </c>
      <c r="C203" s="152">
        <f t="shared" ref="C203:Q203" si="199">C202/(1-C$2*C$3^($B203-1))</f>
        <v>5.241132322</v>
      </c>
      <c r="D203" s="152">
        <f t="shared" si="199"/>
        <v>14.98374844</v>
      </c>
      <c r="E203" s="152">
        <f t="shared" si="199"/>
        <v>50.32063772</v>
      </c>
      <c r="F203" s="152">
        <f t="shared" si="199"/>
        <v>229.3529029</v>
      </c>
      <c r="G203" s="152">
        <f t="shared" si="199"/>
        <v>1384.995174</v>
      </c>
      <c r="H203" s="152">
        <f t="shared" si="199"/>
        <v>12479.94932</v>
      </c>
      <c r="I203" s="152">
        <f t="shared" si="199"/>
        <v>183718.2566</v>
      </c>
      <c r="J203" s="152">
        <f t="shared" si="199"/>
        <v>4751405.867</v>
      </c>
      <c r="K203" s="152">
        <f t="shared" si="199"/>
        <v>228941013.4</v>
      </c>
      <c r="L203" s="152">
        <f t="shared" si="199"/>
        <v>23763699892</v>
      </c>
      <c r="M203" s="152">
        <f t="shared" si="199"/>
        <v>6639874584718</v>
      </c>
      <c r="N203" s="152">
        <f t="shared" si="199"/>
        <v>5.98168E+15</v>
      </c>
      <c r="O203" s="152">
        <f t="shared" si="199"/>
        <v>2.23542E+19</v>
      </c>
      <c r="P203" s="152">
        <f t="shared" si="199"/>
        <v>4.76829E+23</v>
      </c>
      <c r="Q203" s="152">
        <f t="shared" si="199"/>
        <v>8.9739E+28</v>
      </c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6">
        <v>200.0</v>
      </c>
      <c r="C204" s="152">
        <f t="shared" ref="C204:Q204" si="200">C203/(1-C$2*C$3^($B204-1))</f>
        <v>5.241133863</v>
      </c>
      <c r="D204" s="152">
        <f t="shared" si="200"/>
        <v>14.98376118</v>
      </c>
      <c r="E204" s="152">
        <f t="shared" si="200"/>
        <v>50.32074675</v>
      </c>
      <c r="F204" s="152">
        <f t="shared" si="200"/>
        <v>229.3541075</v>
      </c>
      <c r="G204" s="152">
        <f t="shared" si="200"/>
        <v>1385.011977</v>
      </c>
      <c r="H204" s="152">
        <f t="shared" si="200"/>
        <v>12480.28928</v>
      </c>
      <c r="I204" s="152">
        <f t="shared" si="200"/>
        <v>183729.2365</v>
      </c>
      <c r="J204" s="152">
        <f t="shared" si="200"/>
        <v>4752015.316</v>
      </c>
      <c r="K204" s="152">
        <f t="shared" si="200"/>
        <v>229002679.8</v>
      </c>
      <c r="L204" s="152">
        <f t="shared" si="200"/>
        <v>23776897632</v>
      </c>
      <c r="M204" s="152">
        <f t="shared" si="200"/>
        <v>6647364103873</v>
      </c>
      <c r="N204" s="152">
        <f t="shared" si="200"/>
        <v>5.99517E+15</v>
      </c>
      <c r="O204" s="152">
        <f t="shared" si="200"/>
        <v>2.24536E+19</v>
      </c>
      <c r="P204" s="152">
        <f t="shared" si="200"/>
        <v>4.8096E+23</v>
      </c>
      <c r="Q204" s="152">
        <f t="shared" si="200"/>
        <v>9.12368E+28</v>
      </c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6">
        <v>201.0</v>
      </c>
      <c r="C205" s="152">
        <f t="shared" ref="C205:Q205" si="201">C204/(1-C$2*C$3^($B205-1))</f>
        <v>5.241135308</v>
      </c>
      <c r="D205" s="152">
        <f t="shared" si="201"/>
        <v>14.98377317</v>
      </c>
      <c r="E205" s="152">
        <f t="shared" si="201"/>
        <v>50.32084968</v>
      </c>
      <c r="F205" s="152">
        <f t="shared" si="201"/>
        <v>229.3552482</v>
      </c>
      <c r="G205" s="152">
        <f t="shared" si="201"/>
        <v>1385.02794</v>
      </c>
      <c r="H205" s="152">
        <f t="shared" si="201"/>
        <v>12480.61327</v>
      </c>
      <c r="I205" s="152">
        <f t="shared" si="201"/>
        <v>183739.7339</v>
      </c>
      <c r="J205" s="152">
        <f t="shared" si="201"/>
        <v>4752599.849</v>
      </c>
      <c r="K205" s="152">
        <f t="shared" si="201"/>
        <v>229062018.2</v>
      </c>
      <c r="L205" s="152">
        <f t="shared" si="201"/>
        <v>23789640276</v>
      </c>
      <c r="M205" s="152">
        <f t="shared" si="201"/>
        <v>6654621874001</v>
      </c>
      <c r="N205" s="152">
        <f t="shared" si="201"/>
        <v>6.00831E+15</v>
      </c>
      <c r="O205" s="152">
        <f t="shared" si="201"/>
        <v>2.25509E+19</v>
      </c>
      <c r="P205" s="152">
        <f t="shared" si="201"/>
        <v>4.8503E+23</v>
      </c>
      <c r="Q205" s="152">
        <f t="shared" si="201"/>
        <v>9.27286E+28</v>
      </c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6">
        <v>202.0</v>
      </c>
      <c r="C206" s="152">
        <f t="shared" ref="C206:Q206" si="202">C205/(1-C$2*C$3^($B206-1))</f>
        <v>5.241136664</v>
      </c>
      <c r="D206" s="152">
        <f t="shared" si="202"/>
        <v>14.98378445</v>
      </c>
      <c r="E206" s="152">
        <f t="shared" si="202"/>
        <v>50.32094685</v>
      </c>
      <c r="F206" s="152">
        <f t="shared" si="202"/>
        <v>229.3563284</v>
      </c>
      <c r="G206" s="152">
        <f t="shared" si="202"/>
        <v>1385.043105</v>
      </c>
      <c r="H206" s="152">
        <f t="shared" si="202"/>
        <v>12480.92204</v>
      </c>
      <c r="I206" s="152">
        <f t="shared" si="202"/>
        <v>183749.7699</v>
      </c>
      <c r="J206" s="152">
        <f t="shared" si="202"/>
        <v>4753160.482</v>
      </c>
      <c r="K206" s="152">
        <f t="shared" si="202"/>
        <v>229119116</v>
      </c>
      <c r="L206" s="152">
        <f t="shared" si="202"/>
        <v>23801943287</v>
      </c>
      <c r="M206" s="152">
        <f t="shared" si="202"/>
        <v>6661654820417</v>
      </c>
      <c r="N206" s="152">
        <f t="shared" si="202"/>
        <v>6.02109E+15</v>
      </c>
      <c r="O206" s="152">
        <f t="shared" si="202"/>
        <v>2.26461E+19</v>
      </c>
      <c r="P206" s="152">
        <f t="shared" si="202"/>
        <v>4.8904E+23</v>
      </c>
      <c r="Q206" s="152">
        <f t="shared" si="202"/>
        <v>9.42139E+28</v>
      </c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6">
        <v>203.0</v>
      </c>
      <c r="C207" s="152">
        <f t="shared" ref="C207:Q207" si="203">C206/(1-C$2*C$3^($B207-1))</f>
        <v>5.241137936</v>
      </c>
      <c r="D207" s="152">
        <f t="shared" si="203"/>
        <v>14.98379507</v>
      </c>
      <c r="E207" s="152">
        <f t="shared" si="203"/>
        <v>50.32103857</v>
      </c>
      <c r="F207" s="152">
        <f t="shared" si="203"/>
        <v>229.3573515</v>
      </c>
      <c r="G207" s="152">
        <f t="shared" si="203"/>
        <v>1385.057512</v>
      </c>
      <c r="H207" s="152">
        <f t="shared" si="203"/>
        <v>12481.21631</v>
      </c>
      <c r="I207" s="152">
        <f t="shared" si="203"/>
        <v>183759.3649</v>
      </c>
      <c r="J207" s="152">
        <f t="shared" si="203"/>
        <v>4753698.191</v>
      </c>
      <c r="K207" s="152">
        <f t="shared" si="203"/>
        <v>229174057.2</v>
      </c>
      <c r="L207" s="152">
        <f t="shared" si="203"/>
        <v>23813821618</v>
      </c>
      <c r="M207" s="152">
        <f t="shared" si="203"/>
        <v>6668469677005</v>
      </c>
      <c r="N207" s="152">
        <f t="shared" si="203"/>
        <v>6.03352E+15</v>
      </c>
      <c r="O207" s="152">
        <f t="shared" si="203"/>
        <v>2.27392E+19</v>
      </c>
      <c r="P207" s="152">
        <f t="shared" si="203"/>
        <v>4.92989E+23</v>
      </c>
      <c r="Q207" s="152">
        <f t="shared" si="203"/>
        <v>9.56924E+28</v>
      </c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6">
        <v>204.0</v>
      </c>
      <c r="C208" s="152">
        <f t="shared" ref="C208:Q208" si="204">C207/(1-C$2*C$3^($B208-1))</f>
        <v>5.241139129</v>
      </c>
      <c r="D208" s="152">
        <f t="shared" si="204"/>
        <v>14.98380506</v>
      </c>
      <c r="E208" s="152">
        <f t="shared" si="204"/>
        <v>50.32112516</v>
      </c>
      <c r="F208" s="152">
        <f t="shared" si="204"/>
        <v>229.3583203</v>
      </c>
      <c r="G208" s="152">
        <f t="shared" si="204"/>
        <v>1385.071198</v>
      </c>
      <c r="H208" s="152">
        <f t="shared" si="204"/>
        <v>12481.49675</v>
      </c>
      <c r="I208" s="152">
        <f t="shared" si="204"/>
        <v>183768.5381</v>
      </c>
      <c r="J208" s="152">
        <f t="shared" si="204"/>
        <v>4754213.909</v>
      </c>
      <c r="K208" s="152">
        <f t="shared" si="204"/>
        <v>229226922.8</v>
      </c>
      <c r="L208" s="152">
        <f t="shared" si="204"/>
        <v>23825289727</v>
      </c>
      <c r="M208" s="152">
        <f t="shared" si="204"/>
        <v>6675072990507</v>
      </c>
      <c r="N208" s="152">
        <f t="shared" si="204"/>
        <v>6.04562E+15</v>
      </c>
      <c r="O208" s="152">
        <f t="shared" si="204"/>
        <v>2.28302E+19</v>
      </c>
      <c r="P208" s="152">
        <f t="shared" si="204"/>
        <v>4.96877E+23</v>
      </c>
      <c r="Q208" s="152">
        <f t="shared" si="204"/>
        <v>9.71636E+28</v>
      </c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6">
        <v>205.0</v>
      </c>
      <c r="C209" s="152">
        <f t="shared" ref="C209:Q209" si="205">C208/(1-C$2*C$3^($B209-1))</f>
        <v>5.241140248</v>
      </c>
      <c r="D209" s="152">
        <f t="shared" si="205"/>
        <v>14.98381446</v>
      </c>
      <c r="E209" s="152">
        <f t="shared" si="205"/>
        <v>50.3212069</v>
      </c>
      <c r="F209" s="152">
        <f t="shared" si="205"/>
        <v>229.3592377</v>
      </c>
      <c r="G209" s="152">
        <f t="shared" si="205"/>
        <v>1385.084201</v>
      </c>
      <c r="H209" s="152">
        <f t="shared" si="205"/>
        <v>12481.76401</v>
      </c>
      <c r="I209" s="152">
        <f t="shared" si="205"/>
        <v>183777.3082</v>
      </c>
      <c r="J209" s="152">
        <f t="shared" si="205"/>
        <v>4754708.534</v>
      </c>
      <c r="K209" s="152">
        <f t="shared" si="205"/>
        <v>229277790.9</v>
      </c>
      <c r="L209" s="152">
        <f t="shared" si="205"/>
        <v>23836361595</v>
      </c>
      <c r="M209" s="152">
        <f t="shared" si="205"/>
        <v>6681471124790</v>
      </c>
      <c r="N209" s="152">
        <f t="shared" si="205"/>
        <v>6.0574E+15</v>
      </c>
      <c r="O209" s="152">
        <f t="shared" si="205"/>
        <v>2.29192E+19</v>
      </c>
      <c r="P209" s="152">
        <f t="shared" si="205"/>
        <v>5.00705E+23</v>
      </c>
      <c r="Q209" s="152">
        <f t="shared" si="205"/>
        <v>9.86272E+28</v>
      </c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6">
        <v>206.0</v>
      </c>
      <c r="C210" s="152">
        <f t="shared" ref="C210:Q210" si="206">C209/(1-C$2*C$3^($B210-1))</f>
        <v>5.241141297</v>
      </c>
      <c r="D210" s="152">
        <f t="shared" si="206"/>
        <v>14.98382331</v>
      </c>
      <c r="E210" s="152">
        <f t="shared" si="206"/>
        <v>50.32128406</v>
      </c>
      <c r="F210" s="152">
        <f t="shared" si="206"/>
        <v>229.3601066</v>
      </c>
      <c r="G210" s="152">
        <f t="shared" si="206"/>
        <v>1385.096553</v>
      </c>
      <c r="H210" s="152">
        <f t="shared" si="206"/>
        <v>12482.01872</v>
      </c>
      <c r="I210" s="152">
        <f t="shared" si="206"/>
        <v>183785.6927</v>
      </c>
      <c r="J210" s="152">
        <f t="shared" si="206"/>
        <v>4755182.927</v>
      </c>
      <c r="K210" s="152">
        <f t="shared" si="206"/>
        <v>229326736.4</v>
      </c>
      <c r="L210" s="152">
        <f t="shared" si="206"/>
        <v>23847050739</v>
      </c>
      <c r="M210" s="152">
        <f t="shared" si="206"/>
        <v>6687670265073</v>
      </c>
      <c r="N210" s="152">
        <f t="shared" si="206"/>
        <v>6.06885E+15</v>
      </c>
      <c r="O210" s="152">
        <f t="shared" si="206"/>
        <v>2.30063E+19</v>
      </c>
      <c r="P210" s="152">
        <f t="shared" si="206"/>
        <v>5.04474E+23</v>
      </c>
      <c r="Q210" s="152">
        <f t="shared" si="206"/>
        <v>1.00083E+29</v>
      </c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6">
        <v>207.0</v>
      </c>
      <c r="C211" s="152">
        <f t="shared" ref="C211:Q211" si="207">C210/(1-C$2*C$3^($B211-1))</f>
        <v>5.241142282</v>
      </c>
      <c r="D211" s="152">
        <f t="shared" si="207"/>
        <v>14.98383163</v>
      </c>
      <c r="E211" s="152">
        <f t="shared" si="207"/>
        <v>50.3213569</v>
      </c>
      <c r="F211" s="152">
        <f t="shared" si="207"/>
        <v>229.3609293</v>
      </c>
      <c r="G211" s="152">
        <f t="shared" si="207"/>
        <v>1385.108288</v>
      </c>
      <c r="H211" s="152">
        <f t="shared" si="207"/>
        <v>12482.26147</v>
      </c>
      <c r="I211" s="152">
        <f t="shared" si="207"/>
        <v>183793.7087</v>
      </c>
      <c r="J211" s="152">
        <f t="shared" si="207"/>
        <v>4755637.913</v>
      </c>
      <c r="K211" s="152">
        <f t="shared" si="207"/>
        <v>229373831.6</v>
      </c>
      <c r="L211" s="152">
        <f t="shared" si="207"/>
        <v>23857370227</v>
      </c>
      <c r="M211" s="152">
        <f t="shared" si="207"/>
        <v>6693676422121</v>
      </c>
      <c r="N211" s="152">
        <f t="shared" si="207"/>
        <v>6.07999E+15</v>
      </c>
      <c r="O211" s="152">
        <f t="shared" si="207"/>
        <v>2.30913E+19</v>
      </c>
      <c r="P211" s="152">
        <f t="shared" si="207"/>
        <v>5.08182E+23</v>
      </c>
      <c r="Q211" s="152">
        <f t="shared" si="207"/>
        <v>1.01529E+29</v>
      </c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6">
        <v>208.0</v>
      </c>
      <c r="C212" s="152">
        <f t="shared" ref="C212:Q212" si="208">C211/(1-C$2*C$3^($B212-1))</f>
        <v>5.241143205</v>
      </c>
      <c r="D212" s="152">
        <f t="shared" si="208"/>
        <v>14.98383946</v>
      </c>
      <c r="E212" s="152">
        <f t="shared" si="208"/>
        <v>50.32142566</v>
      </c>
      <c r="F212" s="152">
        <f t="shared" si="208"/>
        <v>229.3617085</v>
      </c>
      <c r="G212" s="152">
        <f t="shared" si="208"/>
        <v>1385.119436</v>
      </c>
      <c r="H212" s="152">
        <f t="shared" si="208"/>
        <v>12482.49281</v>
      </c>
      <c r="I212" s="152">
        <f t="shared" si="208"/>
        <v>183801.3723</v>
      </c>
      <c r="J212" s="152">
        <f t="shared" si="208"/>
        <v>4756074.285</v>
      </c>
      <c r="K212" s="152">
        <f t="shared" si="208"/>
        <v>229419146.2</v>
      </c>
      <c r="L212" s="152">
        <f t="shared" si="208"/>
        <v>23867332690</v>
      </c>
      <c r="M212" s="152">
        <f t="shared" si="208"/>
        <v>6699495436393</v>
      </c>
      <c r="N212" s="152">
        <f t="shared" si="208"/>
        <v>6.09082E+15</v>
      </c>
      <c r="O212" s="152">
        <f t="shared" si="208"/>
        <v>2.31745E+19</v>
      </c>
      <c r="P212" s="152">
        <f t="shared" si="208"/>
        <v>5.11832E+23</v>
      </c>
      <c r="Q212" s="152">
        <f t="shared" si="208"/>
        <v>1.02968E+29</v>
      </c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6">
        <v>209.0</v>
      </c>
      <c r="C213" s="152">
        <f t="shared" ref="C213:Q213" si="209">C212/(1-C$2*C$3^($B213-1))</f>
        <v>5.241144071</v>
      </c>
      <c r="D213" s="152">
        <f t="shared" si="209"/>
        <v>14.98384683</v>
      </c>
      <c r="E213" s="152">
        <f t="shared" si="209"/>
        <v>50.32149057</v>
      </c>
      <c r="F213" s="152">
        <f t="shared" si="209"/>
        <v>229.3624464</v>
      </c>
      <c r="G213" s="152">
        <f t="shared" si="209"/>
        <v>1385.130027</v>
      </c>
      <c r="H213" s="152">
        <f t="shared" si="209"/>
        <v>12482.71328</v>
      </c>
      <c r="I213" s="152">
        <f t="shared" si="209"/>
        <v>183808.699</v>
      </c>
      <c r="J213" s="152">
        <f t="shared" si="209"/>
        <v>4756492.803</v>
      </c>
      <c r="K213" s="152">
        <f t="shared" si="209"/>
        <v>229462747.1</v>
      </c>
      <c r="L213" s="152">
        <f t="shared" si="209"/>
        <v>23876950342</v>
      </c>
      <c r="M213" s="152">
        <f t="shared" si="209"/>
        <v>6705132982149</v>
      </c>
      <c r="N213" s="152">
        <f t="shared" si="209"/>
        <v>6.10136E+15</v>
      </c>
      <c r="O213" s="152">
        <f t="shared" si="209"/>
        <v>2.32558E+19</v>
      </c>
      <c r="P213" s="152">
        <f t="shared" si="209"/>
        <v>5.15422E+23</v>
      </c>
      <c r="Q213" s="152">
        <f t="shared" si="209"/>
        <v>1.04396E+29</v>
      </c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6">
        <v>210.0</v>
      </c>
      <c r="C214" s="152">
        <f t="shared" ref="C214:Q214" si="210">C213/(1-C$2*C$3^($B214-1))</f>
        <v>5.241144884</v>
      </c>
      <c r="D214" s="152">
        <f t="shared" si="210"/>
        <v>14.98385377</v>
      </c>
      <c r="E214" s="152">
        <f t="shared" si="210"/>
        <v>50.32155185</v>
      </c>
      <c r="F214" s="152">
        <f t="shared" si="210"/>
        <v>229.3631452</v>
      </c>
      <c r="G214" s="152">
        <f t="shared" si="210"/>
        <v>1385.140088</v>
      </c>
      <c r="H214" s="152">
        <f t="shared" si="210"/>
        <v>12482.92339</v>
      </c>
      <c r="I214" s="152">
        <f t="shared" si="210"/>
        <v>183815.7035</v>
      </c>
      <c r="J214" s="152">
        <f t="shared" si="210"/>
        <v>4756894.195</v>
      </c>
      <c r="K214" s="152">
        <f t="shared" si="210"/>
        <v>229504698.8</v>
      </c>
      <c r="L214" s="152">
        <f t="shared" si="210"/>
        <v>23886234985</v>
      </c>
      <c r="M214" s="152">
        <f t="shared" si="210"/>
        <v>6710594571494</v>
      </c>
      <c r="N214" s="152">
        <f t="shared" si="210"/>
        <v>6.11161E+15</v>
      </c>
      <c r="O214" s="152">
        <f t="shared" si="210"/>
        <v>2.33352E+19</v>
      </c>
      <c r="P214" s="152">
        <f t="shared" si="210"/>
        <v>5.18954E+23</v>
      </c>
      <c r="Q214" s="152">
        <f t="shared" si="210"/>
        <v>1.05816E+29</v>
      </c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6">
        <v>211.0</v>
      </c>
      <c r="C215" s="152">
        <f t="shared" ref="C215:Q215" si="211">C214/(1-C$2*C$3^($B215-1))</f>
        <v>5.241145646</v>
      </c>
      <c r="D215" s="152">
        <f t="shared" si="211"/>
        <v>14.9838603</v>
      </c>
      <c r="E215" s="152">
        <f t="shared" si="211"/>
        <v>50.32160969</v>
      </c>
      <c r="F215" s="152">
        <f t="shared" si="211"/>
        <v>229.363807</v>
      </c>
      <c r="G215" s="152">
        <f t="shared" si="211"/>
        <v>1385.149647</v>
      </c>
      <c r="H215" s="152">
        <f t="shared" si="211"/>
        <v>12483.12363</v>
      </c>
      <c r="I215" s="152">
        <f t="shared" si="211"/>
        <v>183822.4001</v>
      </c>
      <c r="J215" s="152">
        <f t="shared" si="211"/>
        <v>4757279.161</v>
      </c>
      <c r="K215" s="152">
        <f t="shared" si="211"/>
        <v>229545063.5</v>
      </c>
      <c r="L215" s="152">
        <f t="shared" si="211"/>
        <v>23895198027</v>
      </c>
      <c r="M215" s="152">
        <f t="shared" si="211"/>
        <v>6715885558387</v>
      </c>
      <c r="N215" s="152">
        <f t="shared" si="211"/>
        <v>6.12158E+15</v>
      </c>
      <c r="O215" s="152">
        <f t="shared" si="211"/>
        <v>2.34128E+19</v>
      </c>
      <c r="P215" s="152">
        <f t="shared" si="211"/>
        <v>5.22428E+23</v>
      </c>
      <c r="Q215" s="152">
        <f t="shared" si="211"/>
        <v>1.07225E+29</v>
      </c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6">
        <v>212.0</v>
      </c>
      <c r="C216" s="152">
        <f t="shared" ref="C216:Q216" si="212">C215/(1-C$2*C$3^($B216-1))</f>
        <v>5.241146361</v>
      </c>
      <c r="D216" s="152">
        <f t="shared" si="212"/>
        <v>14.98386644</v>
      </c>
      <c r="E216" s="152">
        <f t="shared" si="212"/>
        <v>50.3216643</v>
      </c>
      <c r="F216" s="152">
        <f t="shared" si="212"/>
        <v>229.3644336</v>
      </c>
      <c r="G216" s="152">
        <f t="shared" si="212"/>
        <v>1385.158727</v>
      </c>
      <c r="H216" s="152">
        <f t="shared" si="212"/>
        <v>12483.31446</v>
      </c>
      <c r="I216" s="152">
        <f t="shared" si="212"/>
        <v>183828.8023</v>
      </c>
      <c r="J216" s="152">
        <f t="shared" si="212"/>
        <v>4757648.372</v>
      </c>
      <c r="K216" s="152">
        <f t="shared" si="212"/>
        <v>229583900.9</v>
      </c>
      <c r="L216" s="152">
        <f t="shared" si="212"/>
        <v>23903850495</v>
      </c>
      <c r="M216" s="152">
        <f t="shared" si="212"/>
        <v>6721011142578</v>
      </c>
      <c r="N216" s="152">
        <f t="shared" si="212"/>
        <v>6.13128E+15</v>
      </c>
      <c r="O216" s="152">
        <f t="shared" si="212"/>
        <v>2.34887E+19</v>
      </c>
      <c r="P216" s="152">
        <f t="shared" si="212"/>
        <v>5.25844E+23</v>
      </c>
      <c r="Q216" s="152">
        <f t="shared" si="212"/>
        <v>1.08624E+29</v>
      </c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6">
        <v>213.0</v>
      </c>
      <c r="C217" s="152">
        <f t="shared" ref="C217:Q217" si="213">C216/(1-C$2*C$3^($B217-1))</f>
        <v>5.241147031</v>
      </c>
      <c r="D217" s="152">
        <f t="shared" si="213"/>
        <v>14.98387222</v>
      </c>
      <c r="E217" s="152">
        <f t="shared" si="213"/>
        <v>50.32171584</v>
      </c>
      <c r="F217" s="152">
        <f t="shared" si="213"/>
        <v>229.3650271</v>
      </c>
      <c r="G217" s="152">
        <f t="shared" si="213"/>
        <v>1385.167354</v>
      </c>
      <c r="H217" s="152">
        <f t="shared" si="213"/>
        <v>12483.49632</v>
      </c>
      <c r="I217" s="152">
        <f t="shared" si="213"/>
        <v>183834.923</v>
      </c>
      <c r="J217" s="152">
        <f t="shared" si="213"/>
        <v>4758002.472</v>
      </c>
      <c r="K217" s="152">
        <f t="shared" si="213"/>
        <v>229621268.5</v>
      </c>
      <c r="L217" s="152">
        <f t="shared" si="213"/>
        <v>23912203044</v>
      </c>
      <c r="M217" s="152">
        <f t="shared" si="213"/>
        <v>6725976373493</v>
      </c>
      <c r="N217" s="152">
        <f t="shared" si="213"/>
        <v>6.14071E+15</v>
      </c>
      <c r="O217" s="152">
        <f t="shared" si="213"/>
        <v>2.35628E+19</v>
      </c>
      <c r="P217" s="152">
        <f t="shared" si="213"/>
        <v>5.29203E+23</v>
      </c>
      <c r="Q217" s="152">
        <f t="shared" si="213"/>
        <v>1.10013E+29</v>
      </c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6">
        <v>214.0</v>
      </c>
      <c r="C218" s="152">
        <f t="shared" ref="C218:Q218" si="214">C217/(1-C$2*C$3^($B218-1))</f>
        <v>5.24114766</v>
      </c>
      <c r="D218" s="152">
        <f t="shared" si="214"/>
        <v>14.98387766</v>
      </c>
      <c r="E218" s="152">
        <f t="shared" si="214"/>
        <v>50.3217645</v>
      </c>
      <c r="F218" s="152">
        <f t="shared" si="214"/>
        <v>229.3655891</v>
      </c>
      <c r="G218" s="152">
        <f t="shared" si="214"/>
        <v>1385.175549</v>
      </c>
      <c r="H218" s="152">
        <f t="shared" si="214"/>
        <v>12483.66964</v>
      </c>
      <c r="I218" s="152">
        <f t="shared" si="214"/>
        <v>183840.7746</v>
      </c>
      <c r="J218" s="152">
        <f t="shared" si="214"/>
        <v>4758342.078</v>
      </c>
      <c r="K218" s="152">
        <f t="shared" si="214"/>
        <v>229657221.8</v>
      </c>
      <c r="L218" s="152">
        <f t="shared" si="214"/>
        <v>23920265972</v>
      </c>
      <c r="M218" s="152">
        <f t="shared" si="214"/>
        <v>6730786154059</v>
      </c>
      <c r="N218" s="152">
        <f t="shared" si="214"/>
        <v>6.14988E+15</v>
      </c>
      <c r="O218" s="152">
        <f t="shared" si="214"/>
        <v>2.36352E+19</v>
      </c>
      <c r="P218" s="152">
        <f t="shared" si="214"/>
        <v>5.32505E+23</v>
      </c>
      <c r="Q218" s="152">
        <f t="shared" si="214"/>
        <v>1.11391E+29</v>
      </c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6">
        <v>215.0</v>
      </c>
      <c r="C219" s="152">
        <f t="shared" ref="C219:Q219" si="215">C218/(1-C$2*C$3^($B219-1))</f>
        <v>5.24114825</v>
      </c>
      <c r="D219" s="152">
        <f t="shared" si="215"/>
        <v>14.98388277</v>
      </c>
      <c r="E219" s="152">
        <f t="shared" si="215"/>
        <v>50.32181044</v>
      </c>
      <c r="F219" s="152">
        <f t="shared" si="215"/>
        <v>229.3661213</v>
      </c>
      <c r="G219" s="152">
        <f t="shared" si="215"/>
        <v>1385.183335</v>
      </c>
      <c r="H219" s="152">
        <f t="shared" si="215"/>
        <v>12483.83482</v>
      </c>
      <c r="I219" s="152">
        <f t="shared" si="215"/>
        <v>183846.3689</v>
      </c>
      <c r="J219" s="152">
        <f t="shared" si="215"/>
        <v>4758667.783</v>
      </c>
      <c r="K219" s="152">
        <f t="shared" si="215"/>
        <v>229691814.1</v>
      </c>
      <c r="L219" s="152">
        <f t="shared" si="215"/>
        <v>23928049229</v>
      </c>
      <c r="M219" s="152">
        <f t="shared" si="215"/>
        <v>6735445244467</v>
      </c>
      <c r="N219" s="152">
        <f t="shared" si="215"/>
        <v>6.1588E+15</v>
      </c>
      <c r="O219" s="152">
        <f t="shared" si="215"/>
        <v>2.3706E+19</v>
      </c>
      <c r="P219" s="152">
        <f t="shared" si="215"/>
        <v>5.35751E+23</v>
      </c>
      <c r="Q219" s="152">
        <f t="shared" si="215"/>
        <v>1.12759E+29</v>
      </c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6">
        <v>216.0</v>
      </c>
      <c r="C220" s="152">
        <f t="shared" ref="C220:Q220" si="216">C219/(1-C$2*C$3^($B220-1))</f>
        <v>5.241148804</v>
      </c>
      <c r="D220" s="152">
        <f t="shared" si="216"/>
        <v>14.98388759</v>
      </c>
      <c r="E220" s="152">
        <f t="shared" si="216"/>
        <v>50.3218538</v>
      </c>
      <c r="F220" s="152">
        <f t="shared" si="216"/>
        <v>229.3666254</v>
      </c>
      <c r="G220" s="152">
        <f t="shared" si="216"/>
        <v>1385.190731</v>
      </c>
      <c r="H220" s="152">
        <f t="shared" si="216"/>
        <v>12483.99223</v>
      </c>
      <c r="I220" s="152">
        <f t="shared" si="216"/>
        <v>183851.7171</v>
      </c>
      <c r="J220" s="152">
        <f t="shared" si="216"/>
        <v>4758980.154</v>
      </c>
      <c r="K220" s="152">
        <f t="shared" si="216"/>
        <v>229725096.7</v>
      </c>
      <c r="L220" s="152">
        <f t="shared" si="216"/>
        <v>23935562430</v>
      </c>
      <c r="M220" s="152">
        <f t="shared" si="216"/>
        <v>6739958265865</v>
      </c>
      <c r="N220" s="152">
        <f t="shared" si="216"/>
        <v>6.16747E+15</v>
      </c>
      <c r="O220" s="152">
        <f t="shared" si="216"/>
        <v>2.37751E+19</v>
      </c>
      <c r="P220" s="152">
        <f t="shared" si="216"/>
        <v>5.38941E+23</v>
      </c>
      <c r="Q220" s="152">
        <f t="shared" si="216"/>
        <v>1.14114E+29</v>
      </c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6">
        <v>217.0</v>
      </c>
      <c r="C221" s="152">
        <f t="shared" ref="C221:Q221" si="217">C220/(1-C$2*C$3^($B221-1))</f>
        <v>5.241149323</v>
      </c>
      <c r="D221" s="152">
        <f t="shared" si="217"/>
        <v>14.98389212</v>
      </c>
      <c r="E221" s="152">
        <f t="shared" si="217"/>
        <v>50.32189474</v>
      </c>
      <c r="F221" s="152">
        <f t="shared" si="217"/>
        <v>229.3671027</v>
      </c>
      <c r="G221" s="152">
        <f t="shared" si="217"/>
        <v>1385.197758</v>
      </c>
      <c r="H221" s="152">
        <f t="shared" si="217"/>
        <v>12484.14225</v>
      </c>
      <c r="I221" s="152">
        <f t="shared" si="217"/>
        <v>183856.8302</v>
      </c>
      <c r="J221" s="152">
        <f t="shared" si="217"/>
        <v>4759279.737</v>
      </c>
      <c r="K221" s="152">
        <f t="shared" si="217"/>
        <v>229757119.1</v>
      </c>
      <c r="L221" s="152">
        <f t="shared" si="217"/>
        <v>23942814866</v>
      </c>
      <c r="M221" s="152">
        <f t="shared" si="217"/>
        <v>6744329703991</v>
      </c>
      <c r="N221" s="152">
        <f t="shared" si="217"/>
        <v>6.1759E+15</v>
      </c>
      <c r="O221" s="152">
        <f t="shared" si="217"/>
        <v>2.38426E+19</v>
      </c>
      <c r="P221" s="152">
        <f t="shared" si="217"/>
        <v>5.42076E+23</v>
      </c>
      <c r="Q221" s="152">
        <f t="shared" si="217"/>
        <v>1.15459E+29</v>
      </c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6">
        <v>218.0</v>
      </c>
      <c r="C222" s="152">
        <f t="shared" ref="C222:Q222" si="218">C221/(1-C$2*C$3^($B222-1))</f>
        <v>5.24114981</v>
      </c>
      <c r="D222" s="152">
        <f t="shared" si="218"/>
        <v>14.98389639</v>
      </c>
      <c r="E222" s="152">
        <f t="shared" si="218"/>
        <v>50.32193338</v>
      </c>
      <c r="F222" s="152">
        <f t="shared" si="218"/>
        <v>229.3675547</v>
      </c>
      <c r="G222" s="152">
        <f t="shared" si="218"/>
        <v>1385.204433</v>
      </c>
      <c r="H222" s="152">
        <f t="shared" si="218"/>
        <v>12484.28522</v>
      </c>
      <c r="I222" s="152">
        <f t="shared" si="218"/>
        <v>183861.7185</v>
      </c>
      <c r="J222" s="152">
        <f t="shared" si="218"/>
        <v>4759567.054</v>
      </c>
      <c r="K222" s="152">
        <f t="shared" si="218"/>
        <v>229787928.7</v>
      </c>
      <c r="L222" s="152">
        <f t="shared" si="218"/>
        <v>23949815513</v>
      </c>
      <c r="M222" s="152">
        <f t="shared" si="218"/>
        <v>6748563912739</v>
      </c>
      <c r="N222" s="152">
        <f t="shared" si="218"/>
        <v>6.1841E+15</v>
      </c>
      <c r="O222" s="152">
        <f t="shared" si="218"/>
        <v>2.39085E+19</v>
      </c>
      <c r="P222" s="152">
        <f t="shared" si="218"/>
        <v>5.45156E+23</v>
      </c>
      <c r="Q222" s="152">
        <f t="shared" si="218"/>
        <v>1.16792E+29</v>
      </c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6">
        <v>219.0</v>
      </c>
      <c r="C223" s="152">
        <f t="shared" ref="C223:Q223" si="219">C222/(1-C$2*C$3^($B223-1))</f>
        <v>5.241150266</v>
      </c>
      <c r="D223" s="152">
        <f t="shared" si="219"/>
        <v>14.9839004</v>
      </c>
      <c r="E223" s="152">
        <f t="shared" si="219"/>
        <v>50.32196986</v>
      </c>
      <c r="F223" s="152">
        <f t="shared" si="219"/>
        <v>229.3679827</v>
      </c>
      <c r="G223" s="152">
        <f t="shared" si="219"/>
        <v>1385.210774</v>
      </c>
      <c r="H223" s="152">
        <f t="shared" si="219"/>
        <v>12484.42147</v>
      </c>
      <c r="I223" s="152">
        <f t="shared" si="219"/>
        <v>183866.3918</v>
      </c>
      <c r="J223" s="152">
        <f t="shared" si="219"/>
        <v>4759842.607</v>
      </c>
      <c r="K223" s="152">
        <f t="shared" si="219"/>
        <v>229817571.3</v>
      </c>
      <c r="L223" s="152">
        <f t="shared" si="219"/>
        <v>23956573044</v>
      </c>
      <c r="M223" s="152">
        <f t="shared" si="219"/>
        <v>6752665117659</v>
      </c>
      <c r="N223" s="152">
        <f t="shared" si="219"/>
        <v>6.19207E+15</v>
      </c>
      <c r="O223" s="152">
        <f t="shared" si="219"/>
        <v>2.39729E+19</v>
      </c>
      <c r="P223" s="152">
        <f t="shared" si="219"/>
        <v>5.48182E+23</v>
      </c>
      <c r="Q223" s="152">
        <f t="shared" si="219"/>
        <v>1.18112E+29</v>
      </c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6">
        <v>220.0</v>
      </c>
      <c r="C224" s="152">
        <f t="shared" ref="C224:Q224" si="220">C223/(1-C$2*C$3^($B224-1))</f>
        <v>5.241150695</v>
      </c>
      <c r="D224" s="152">
        <f t="shared" si="220"/>
        <v>14.98390417</v>
      </c>
      <c r="E224" s="152">
        <f t="shared" si="220"/>
        <v>50.3220043</v>
      </c>
      <c r="F224" s="152">
        <f t="shared" si="220"/>
        <v>229.3683881</v>
      </c>
      <c r="G224" s="152">
        <f t="shared" si="220"/>
        <v>1385.216799</v>
      </c>
      <c r="H224" s="152">
        <f t="shared" si="220"/>
        <v>12484.55132</v>
      </c>
      <c r="I224" s="152">
        <f t="shared" si="220"/>
        <v>183870.8595</v>
      </c>
      <c r="J224" s="152">
        <f t="shared" si="220"/>
        <v>4760106.877</v>
      </c>
      <c r="K224" s="152">
        <f t="shared" si="220"/>
        <v>229846091.1</v>
      </c>
      <c r="L224" s="152">
        <f t="shared" si="220"/>
        <v>23963095836</v>
      </c>
      <c r="M224" s="152">
        <f t="shared" si="220"/>
        <v>6756637419381</v>
      </c>
      <c r="N224" s="152">
        <f t="shared" si="220"/>
        <v>6.19981E+15</v>
      </c>
      <c r="O224" s="152">
        <f t="shared" si="220"/>
        <v>2.40357E+19</v>
      </c>
      <c r="P224" s="152">
        <f t="shared" si="220"/>
        <v>5.51155E+23</v>
      </c>
      <c r="Q224" s="152">
        <f t="shared" si="220"/>
        <v>1.19421E+29</v>
      </c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6">
        <v>221.0</v>
      </c>
      <c r="C225" s="152">
        <f t="shared" ref="C225:Q225" si="221">C224/(1-C$2*C$3^($B225-1))</f>
        <v>5.241151097</v>
      </c>
      <c r="D225" s="152">
        <f t="shared" si="221"/>
        <v>14.98390773</v>
      </c>
      <c r="E225" s="152">
        <f t="shared" si="221"/>
        <v>50.32203681</v>
      </c>
      <c r="F225" s="152">
        <f t="shared" si="221"/>
        <v>229.368772</v>
      </c>
      <c r="G225" s="152">
        <f t="shared" si="221"/>
        <v>1385.222522</v>
      </c>
      <c r="H225" s="152">
        <f t="shared" si="221"/>
        <v>12484.67506</v>
      </c>
      <c r="I225" s="152">
        <f t="shared" si="221"/>
        <v>183875.1308</v>
      </c>
      <c r="J225" s="152">
        <f t="shared" si="221"/>
        <v>4760360.326</v>
      </c>
      <c r="K225" s="152">
        <f t="shared" si="221"/>
        <v>229873530.4</v>
      </c>
      <c r="L225" s="152">
        <f t="shared" si="221"/>
        <v>23969391985</v>
      </c>
      <c r="M225" s="152">
        <f t="shared" si="221"/>
        <v>6760484796982</v>
      </c>
      <c r="N225" s="152">
        <f t="shared" si="221"/>
        <v>6.20735E+15</v>
      </c>
      <c r="O225" s="152">
        <f t="shared" si="221"/>
        <v>2.40971E+19</v>
      </c>
      <c r="P225" s="152">
        <f t="shared" si="221"/>
        <v>5.54074E+23</v>
      </c>
      <c r="Q225" s="152">
        <f t="shared" si="221"/>
        <v>1.20718E+29</v>
      </c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6">
        <v>222.0</v>
      </c>
      <c r="C226" s="152">
        <f t="shared" ref="C226:Q226" si="222">C225/(1-C$2*C$3^($B226-1))</f>
        <v>5.241151474</v>
      </c>
      <c r="D226" s="152">
        <f t="shared" si="222"/>
        <v>14.98391107</v>
      </c>
      <c r="E226" s="152">
        <f t="shared" si="222"/>
        <v>50.32206749</v>
      </c>
      <c r="F226" s="152">
        <f t="shared" si="222"/>
        <v>229.3691355</v>
      </c>
      <c r="G226" s="152">
        <f t="shared" si="222"/>
        <v>1385.227959</v>
      </c>
      <c r="H226" s="152">
        <f t="shared" si="222"/>
        <v>12484.79299</v>
      </c>
      <c r="I226" s="152">
        <f t="shared" si="222"/>
        <v>183879.2143</v>
      </c>
      <c r="J226" s="152">
        <f t="shared" si="222"/>
        <v>4760603.395</v>
      </c>
      <c r="K226" s="152">
        <f t="shared" si="222"/>
        <v>229899930.1</v>
      </c>
      <c r="L226" s="152">
        <f t="shared" si="222"/>
        <v>23975469309</v>
      </c>
      <c r="M226" s="152">
        <f t="shared" si="222"/>
        <v>6764211111278</v>
      </c>
      <c r="N226" s="152">
        <f t="shared" si="222"/>
        <v>6.21467E+15</v>
      </c>
      <c r="O226" s="152">
        <f t="shared" si="222"/>
        <v>2.41571E+19</v>
      </c>
      <c r="P226" s="152">
        <f t="shared" si="222"/>
        <v>5.56941E+23</v>
      </c>
      <c r="Q226" s="152">
        <f t="shared" si="222"/>
        <v>1.22002E+29</v>
      </c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6">
        <v>223.0</v>
      </c>
      <c r="C227" s="152">
        <f t="shared" ref="C227:Q227" si="223">C226/(1-C$2*C$3^($B227-1))</f>
        <v>5.241151827</v>
      </c>
      <c r="D227" s="152">
        <f t="shared" si="223"/>
        <v>14.98391422</v>
      </c>
      <c r="E227" s="152">
        <f t="shared" si="223"/>
        <v>50.32209646</v>
      </c>
      <c r="F227" s="152">
        <f t="shared" si="223"/>
        <v>229.3694798</v>
      </c>
      <c r="G227" s="152">
        <f t="shared" si="223"/>
        <v>1385.233125</v>
      </c>
      <c r="H227" s="152">
        <f t="shared" si="223"/>
        <v>12484.90538</v>
      </c>
      <c r="I227" s="152">
        <f t="shared" si="223"/>
        <v>183883.1181</v>
      </c>
      <c r="J227" s="152">
        <f t="shared" si="223"/>
        <v>4760836.511</v>
      </c>
      <c r="K227" s="152">
        <f t="shared" si="223"/>
        <v>229925329.3</v>
      </c>
      <c r="L227" s="152">
        <f t="shared" si="223"/>
        <v>23981335361</v>
      </c>
      <c r="M227" s="152">
        <f t="shared" si="223"/>
        <v>6767820108044</v>
      </c>
      <c r="N227" s="152">
        <f t="shared" si="223"/>
        <v>6.22179E+15</v>
      </c>
      <c r="O227" s="152">
        <f t="shared" si="223"/>
        <v>2.42156E+19</v>
      </c>
      <c r="P227" s="152">
        <f t="shared" si="223"/>
        <v>5.59756E+23</v>
      </c>
      <c r="Q227" s="152">
        <f t="shared" si="223"/>
        <v>1.23273E+29</v>
      </c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6">
        <v>224.0</v>
      </c>
      <c r="C228" s="152">
        <f t="shared" ref="C228:Q228" si="224">C227/(1-C$2*C$3^($B228-1))</f>
        <v>5.241152159</v>
      </c>
      <c r="D228" s="152">
        <f t="shared" si="224"/>
        <v>14.98391718</v>
      </c>
      <c r="E228" s="152">
        <f t="shared" si="224"/>
        <v>50.32212381</v>
      </c>
      <c r="F228" s="152">
        <f t="shared" si="224"/>
        <v>229.3698058</v>
      </c>
      <c r="G228" s="152">
        <f t="shared" si="224"/>
        <v>1385.238032</v>
      </c>
      <c r="H228" s="152">
        <f t="shared" si="224"/>
        <v>12485.01249</v>
      </c>
      <c r="I228" s="152">
        <f t="shared" si="224"/>
        <v>183886.8503</v>
      </c>
      <c r="J228" s="152">
        <f t="shared" si="224"/>
        <v>4761060.079</v>
      </c>
      <c r="K228" s="152">
        <f t="shared" si="224"/>
        <v>229949766</v>
      </c>
      <c r="L228" s="152">
        <f t="shared" si="224"/>
        <v>23986997438</v>
      </c>
      <c r="M228" s="152">
        <f t="shared" si="224"/>
        <v>6771315421173</v>
      </c>
      <c r="N228" s="152">
        <f t="shared" si="224"/>
        <v>6.22871E+15</v>
      </c>
      <c r="O228" s="152">
        <f t="shared" si="224"/>
        <v>2.42728E+19</v>
      </c>
      <c r="P228" s="152">
        <f t="shared" si="224"/>
        <v>5.6252E+23</v>
      </c>
      <c r="Q228" s="152">
        <f t="shared" si="224"/>
        <v>1.24532E+29</v>
      </c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6">
        <v>225.0</v>
      </c>
      <c r="C229" s="152">
        <f t="shared" ref="C229:Q229" si="225">C228/(1-C$2*C$3^($B229-1))</f>
        <v>5.24115247</v>
      </c>
      <c r="D229" s="152">
        <f t="shared" si="225"/>
        <v>14.98391996</v>
      </c>
      <c r="E229" s="152">
        <f t="shared" si="225"/>
        <v>50.32214962</v>
      </c>
      <c r="F229" s="152">
        <f t="shared" si="225"/>
        <v>229.3701146</v>
      </c>
      <c r="G229" s="152">
        <f t="shared" si="225"/>
        <v>1385.242693</v>
      </c>
      <c r="H229" s="152">
        <f t="shared" si="225"/>
        <v>12485.11457</v>
      </c>
      <c r="I229" s="152">
        <f t="shared" si="225"/>
        <v>183890.4183</v>
      </c>
      <c r="J229" s="152">
        <f t="shared" si="225"/>
        <v>4761274.49</v>
      </c>
      <c r="K229" s="152">
        <f t="shared" si="225"/>
        <v>229973276.5</v>
      </c>
      <c r="L229" s="152">
        <f t="shared" si="225"/>
        <v>23992462587</v>
      </c>
      <c r="M229" s="152">
        <f t="shared" si="225"/>
        <v>6774700575762</v>
      </c>
      <c r="N229" s="152">
        <f t="shared" si="225"/>
        <v>6.23543E+15</v>
      </c>
      <c r="O229" s="152">
        <f t="shared" si="225"/>
        <v>2.43285E+19</v>
      </c>
      <c r="P229" s="152">
        <f t="shared" si="225"/>
        <v>5.65234E+23</v>
      </c>
      <c r="Q229" s="152">
        <f t="shared" si="225"/>
        <v>1.25778E+29</v>
      </c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6">
        <v>226.0</v>
      </c>
      <c r="C230" s="152">
        <f t="shared" ref="C230:Q230" si="226">C229/(1-C$2*C$3^($B230-1))</f>
        <v>5.241152762</v>
      </c>
      <c r="D230" s="152">
        <f t="shared" si="226"/>
        <v>14.98392259</v>
      </c>
      <c r="E230" s="152">
        <f t="shared" si="226"/>
        <v>50.32217399</v>
      </c>
      <c r="F230" s="152">
        <f t="shared" si="226"/>
        <v>229.370407</v>
      </c>
      <c r="G230" s="152">
        <f t="shared" si="226"/>
        <v>1385.247122</v>
      </c>
      <c r="H230" s="152">
        <f t="shared" si="226"/>
        <v>12485.21184</v>
      </c>
      <c r="I230" s="152">
        <f t="shared" si="226"/>
        <v>183893.8294</v>
      </c>
      <c r="J230" s="152">
        <f t="shared" si="226"/>
        <v>4761480.119</v>
      </c>
      <c r="K230" s="152">
        <f t="shared" si="226"/>
        <v>229995895.9</v>
      </c>
      <c r="L230" s="152">
        <f t="shared" si="226"/>
        <v>23997737616</v>
      </c>
      <c r="M230" s="152">
        <f t="shared" si="226"/>
        <v>6777978991129</v>
      </c>
      <c r="N230" s="152">
        <f t="shared" si="226"/>
        <v>6.24197E+15</v>
      </c>
      <c r="O230" s="152">
        <f t="shared" si="226"/>
        <v>2.4383E+19</v>
      </c>
      <c r="P230" s="152">
        <f t="shared" si="226"/>
        <v>5.67898E+23</v>
      </c>
      <c r="Q230" s="152">
        <f t="shared" si="226"/>
        <v>1.27011E+29</v>
      </c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6">
        <v>227.0</v>
      </c>
      <c r="C231" s="152">
        <f t="shared" ref="C231:Q231" si="227">C230/(1-C$2*C$3^($B231-1))</f>
        <v>5.241153035</v>
      </c>
      <c r="D231" s="152">
        <f t="shared" si="227"/>
        <v>14.98392505</v>
      </c>
      <c r="E231" s="152">
        <f t="shared" si="227"/>
        <v>50.322197</v>
      </c>
      <c r="F231" s="152">
        <f t="shared" si="227"/>
        <v>229.3706839</v>
      </c>
      <c r="G231" s="152">
        <f t="shared" si="227"/>
        <v>1385.251329</v>
      </c>
      <c r="H231" s="152">
        <f t="shared" si="227"/>
        <v>12485.30455</v>
      </c>
      <c r="I231" s="152">
        <f t="shared" si="227"/>
        <v>183897.0904</v>
      </c>
      <c r="J231" s="152">
        <f t="shared" si="227"/>
        <v>4761677.326</v>
      </c>
      <c r="K231" s="152">
        <f t="shared" si="227"/>
        <v>230017657.7</v>
      </c>
      <c r="L231" s="152">
        <f t="shared" si="227"/>
        <v>24002829099</v>
      </c>
      <c r="M231" s="152">
        <f t="shared" si="227"/>
        <v>6781153983762</v>
      </c>
      <c r="N231" s="152">
        <f t="shared" si="227"/>
        <v>6.24833E+15</v>
      </c>
      <c r="O231" s="152">
        <f t="shared" si="227"/>
        <v>2.44362E+19</v>
      </c>
      <c r="P231" s="152">
        <f t="shared" si="227"/>
        <v>5.70512E+23</v>
      </c>
      <c r="Q231" s="152">
        <f t="shared" si="227"/>
        <v>1.28231E+29</v>
      </c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6">
        <v>228.0</v>
      </c>
      <c r="C232" s="152">
        <f t="shared" ref="C232:Q232" si="228">C231/(1-C$2*C$3^($B232-1))</f>
        <v>5.241153292</v>
      </c>
      <c r="D232" s="152">
        <f t="shared" si="228"/>
        <v>14.98392737</v>
      </c>
      <c r="E232" s="152">
        <f t="shared" si="228"/>
        <v>50.32221871</v>
      </c>
      <c r="F232" s="152">
        <f t="shared" si="228"/>
        <v>229.3709461</v>
      </c>
      <c r="G232" s="152">
        <f t="shared" si="228"/>
        <v>1385.255326</v>
      </c>
      <c r="H232" s="152">
        <f t="shared" si="228"/>
        <v>12485.3929</v>
      </c>
      <c r="I232" s="152">
        <f t="shared" si="228"/>
        <v>183900.2081</v>
      </c>
      <c r="J232" s="152">
        <f t="shared" si="228"/>
        <v>4761866.455</v>
      </c>
      <c r="K232" s="152">
        <f t="shared" si="228"/>
        <v>230038594.5</v>
      </c>
      <c r="L232" s="152">
        <f t="shared" si="228"/>
        <v>24007743385</v>
      </c>
      <c r="M232" s="152">
        <f t="shared" si="228"/>
        <v>6784228770203</v>
      </c>
      <c r="N232" s="152">
        <f t="shared" si="228"/>
        <v>6.2545E+15</v>
      </c>
      <c r="O232" s="152">
        <f t="shared" si="228"/>
        <v>2.4488E+19</v>
      </c>
      <c r="P232" s="152">
        <f t="shared" si="228"/>
        <v>5.73078E+23</v>
      </c>
      <c r="Q232" s="152">
        <f t="shared" si="228"/>
        <v>1.29438E+29</v>
      </c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6">
        <v>229.0</v>
      </c>
      <c r="C233" s="152">
        <f t="shared" ref="C233:Q233" si="229">C232/(1-C$2*C$3^($B233-1))</f>
        <v>5.241153533</v>
      </c>
      <c r="D233" s="152">
        <f t="shared" si="229"/>
        <v>14.98392956</v>
      </c>
      <c r="E233" s="152">
        <f t="shared" si="229"/>
        <v>50.32223921</v>
      </c>
      <c r="F233" s="152">
        <f t="shared" si="229"/>
        <v>229.3711944</v>
      </c>
      <c r="G233" s="152">
        <f t="shared" si="229"/>
        <v>1385.259123</v>
      </c>
      <c r="H233" s="152">
        <f t="shared" si="229"/>
        <v>12485.4771</v>
      </c>
      <c r="I233" s="152">
        <f t="shared" si="229"/>
        <v>183903.1886</v>
      </c>
      <c r="J233" s="152">
        <f t="shared" si="229"/>
        <v>4762047.836</v>
      </c>
      <c r="K233" s="152">
        <f t="shared" si="229"/>
        <v>230058737.5</v>
      </c>
      <c r="L233" s="152">
        <f t="shared" si="229"/>
        <v>24012486609</v>
      </c>
      <c r="M233" s="152">
        <f t="shared" si="229"/>
        <v>6787206469861</v>
      </c>
      <c r="N233" s="152">
        <f t="shared" si="229"/>
        <v>6.26051E+15</v>
      </c>
      <c r="O233" s="152">
        <f t="shared" si="229"/>
        <v>2.45387E+19</v>
      </c>
      <c r="P233" s="152">
        <f t="shared" si="229"/>
        <v>5.75595E+23</v>
      </c>
      <c r="Q233" s="152">
        <f t="shared" si="229"/>
        <v>1.30632E+29</v>
      </c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6">
        <v>230.0</v>
      </c>
      <c r="C234" s="152">
        <f t="shared" ref="C234:Q234" si="230">C233/(1-C$2*C$3^($B234-1))</f>
        <v>5.241153759</v>
      </c>
      <c r="D234" s="152">
        <f t="shared" si="230"/>
        <v>14.98393161</v>
      </c>
      <c r="E234" s="152">
        <f t="shared" si="230"/>
        <v>50.32225857</v>
      </c>
      <c r="F234" s="152">
        <f t="shared" si="230"/>
        <v>229.3714296</v>
      </c>
      <c r="G234" s="152">
        <f t="shared" si="230"/>
        <v>1385.26273</v>
      </c>
      <c r="H234" s="152">
        <f t="shared" si="230"/>
        <v>12485.55734</v>
      </c>
      <c r="I234" s="152">
        <f t="shared" si="230"/>
        <v>183906.0379</v>
      </c>
      <c r="J234" s="152">
        <f t="shared" si="230"/>
        <v>4762221.787</v>
      </c>
      <c r="K234" s="152">
        <f t="shared" si="230"/>
        <v>230078116.7</v>
      </c>
      <c r="L234" s="152">
        <f t="shared" si="230"/>
        <v>24017064692</v>
      </c>
      <c r="M234" s="152">
        <f t="shared" si="230"/>
        <v>6790090107763</v>
      </c>
      <c r="N234" s="152">
        <f t="shared" si="230"/>
        <v>6.26634E+15</v>
      </c>
      <c r="O234" s="152">
        <f t="shared" si="230"/>
        <v>2.45881E+19</v>
      </c>
      <c r="P234" s="152">
        <f t="shared" si="230"/>
        <v>5.78066E+23</v>
      </c>
      <c r="Q234" s="152">
        <f t="shared" si="230"/>
        <v>1.31812E+29</v>
      </c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6">
        <v>231.0</v>
      </c>
      <c r="C235" s="152">
        <f t="shared" ref="C235:Q235" si="231">C234/(1-C$2*C$3^($B235-1))</f>
        <v>5.241153971</v>
      </c>
      <c r="D235" s="152">
        <f t="shared" si="231"/>
        <v>14.98393355</v>
      </c>
      <c r="E235" s="152">
        <f t="shared" si="231"/>
        <v>50.32227684</v>
      </c>
      <c r="F235" s="152">
        <f t="shared" si="231"/>
        <v>229.3716523</v>
      </c>
      <c r="G235" s="152">
        <f t="shared" si="231"/>
        <v>1385.266157</v>
      </c>
      <c r="H235" s="152">
        <f t="shared" si="231"/>
        <v>12485.63381</v>
      </c>
      <c r="I235" s="152">
        <f t="shared" si="231"/>
        <v>183908.762</v>
      </c>
      <c r="J235" s="152">
        <f t="shared" si="231"/>
        <v>4762388.612</v>
      </c>
      <c r="K235" s="152">
        <f t="shared" si="231"/>
        <v>230096760.9</v>
      </c>
      <c r="L235" s="152">
        <f t="shared" si="231"/>
        <v>24021483355</v>
      </c>
      <c r="M235" s="152">
        <f t="shared" si="231"/>
        <v>6792882617235</v>
      </c>
      <c r="N235" s="152">
        <f t="shared" si="231"/>
        <v>6.27201E+15</v>
      </c>
      <c r="O235" s="152">
        <f t="shared" si="231"/>
        <v>2.46363E+19</v>
      </c>
      <c r="P235" s="152">
        <f t="shared" si="231"/>
        <v>5.80489E+23</v>
      </c>
      <c r="Q235" s="152">
        <f t="shared" si="231"/>
        <v>1.32979E+29</v>
      </c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6">
        <v>232.0</v>
      </c>
      <c r="C236" s="152">
        <f t="shared" ref="C236:Q236" si="232">C235/(1-C$2*C$3^($B236-1))</f>
        <v>5.241154169</v>
      </c>
      <c r="D236" s="152">
        <f t="shared" si="232"/>
        <v>14.98393537</v>
      </c>
      <c r="E236" s="152">
        <f t="shared" si="232"/>
        <v>50.32229408</v>
      </c>
      <c r="F236" s="152">
        <f t="shared" si="232"/>
        <v>229.3718632</v>
      </c>
      <c r="G236" s="152">
        <f t="shared" si="232"/>
        <v>1385.269413</v>
      </c>
      <c r="H236" s="152">
        <f t="shared" si="232"/>
        <v>12485.70669</v>
      </c>
      <c r="I236" s="152">
        <f t="shared" si="232"/>
        <v>183911.3663</v>
      </c>
      <c r="J236" s="152">
        <f t="shared" si="232"/>
        <v>4762548.602</v>
      </c>
      <c r="K236" s="152">
        <f t="shared" si="232"/>
        <v>230114698.1</v>
      </c>
      <c r="L236" s="152">
        <f t="shared" si="232"/>
        <v>24025748123</v>
      </c>
      <c r="M236" s="152">
        <f t="shared" si="232"/>
        <v>6795586842519</v>
      </c>
      <c r="N236" s="152">
        <f t="shared" si="232"/>
        <v>6.27752E+15</v>
      </c>
      <c r="O236" s="152">
        <f t="shared" si="232"/>
        <v>2.46834E+19</v>
      </c>
      <c r="P236" s="152">
        <f t="shared" si="232"/>
        <v>5.82867E+23</v>
      </c>
      <c r="Q236" s="152">
        <f t="shared" si="232"/>
        <v>1.34133E+29</v>
      </c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6">
        <v>233.0</v>
      </c>
      <c r="C237" s="152">
        <f t="shared" ref="C237:Q237" si="233">C236/(1-C$2*C$3^($B237-1))</f>
        <v>5.241154356</v>
      </c>
      <c r="D237" s="152">
        <f t="shared" si="233"/>
        <v>14.98393708</v>
      </c>
      <c r="E237" s="152">
        <f t="shared" si="233"/>
        <v>50.32231036</v>
      </c>
      <c r="F237" s="152">
        <f t="shared" si="233"/>
        <v>229.3720629</v>
      </c>
      <c r="G237" s="152">
        <f t="shared" si="233"/>
        <v>1385.272505</v>
      </c>
      <c r="H237" s="152">
        <f t="shared" si="233"/>
        <v>12485.77614</v>
      </c>
      <c r="I237" s="152">
        <f t="shared" si="233"/>
        <v>183913.8559</v>
      </c>
      <c r="J237" s="152">
        <f t="shared" si="233"/>
        <v>4762702.038</v>
      </c>
      <c r="K237" s="152">
        <f t="shared" si="233"/>
        <v>230131955</v>
      </c>
      <c r="L237" s="152">
        <f t="shared" si="233"/>
        <v>24029864328</v>
      </c>
      <c r="M237" s="152">
        <f t="shared" si="233"/>
        <v>6798205541328</v>
      </c>
      <c r="N237" s="152">
        <f t="shared" si="233"/>
        <v>6.28288E+15</v>
      </c>
      <c r="O237" s="152">
        <f t="shared" si="233"/>
        <v>2.47293E+19</v>
      </c>
      <c r="P237" s="152">
        <f t="shared" si="233"/>
        <v>5.85199E+23</v>
      </c>
      <c r="Q237" s="152">
        <f t="shared" si="233"/>
        <v>1.35273E+29</v>
      </c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6">
        <v>234.0</v>
      </c>
      <c r="C238" s="152">
        <f t="shared" ref="C238:Q238" si="234">C237/(1-C$2*C$3^($B238-1))</f>
        <v>5.241154531</v>
      </c>
      <c r="D238" s="152">
        <f t="shared" si="234"/>
        <v>14.98393869</v>
      </c>
      <c r="E238" s="152">
        <f t="shared" si="234"/>
        <v>50.32232573</v>
      </c>
      <c r="F238" s="152">
        <f t="shared" si="234"/>
        <v>229.372252</v>
      </c>
      <c r="G238" s="152">
        <f t="shared" si="234"/>
        <v>1385.275443</v>
      </c>
      <c r="H238" s="152">
        <f t="shared" si="234"/>
        <v>12485.84233</v>
      </c>
      <c r="I238" s="152">
        <f t="shared" si="234"/>
        <v>183916.2361</v>
      </c>
      <c r="J238" s="152">
        <f t="shared" si="234"/>
        <v>4762849.188</v>
      </c>
      <c r="K238" s="152">
        <f t="shared" si="234"/>
        <v>230148557.3</v>
      </c>
      <c r="L238" s="152">
        <f t="shared" si="234"/>
        <v>24033837123</v>
      </c>
      <c r="M238" s="152">
        <f t="shared" si="234"/>
        <v>6800741387336</v>
      </c>
      <c r="N238" s="152">
        <f t="shared" si="234"/>
        <v>6.28808E+15</v>
      </c>
      <c r="O238" s="152">
        <f t="shared" si="234"/>
        <v>2.47741E+19</v>
      </c>
      <c r="P238" s="152">
        <f t="shared" si="234"/>
        <v>5.87487E+23</v>
      </c>
      <c r="Q238" s="152">
        <f t="shared" si="234"/>
        <v>1.364E+29</v>
      </c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6">
        <v>235.0</v>
      </c>
      <c r="C239" s="152">
        <f t="shared" ref="C239:Q239" si="235">C238/(1-C$2*C$3^($B239-1))</f>
        <v>5.241154695</v>
      </c>
      <c r="D239" s="152">
        <f t="shared" si="235"/>
        <v>14.98394021</v>
      </c>
      <c r="E239" s="152">
        <f t="shared" si="235"/>
        <v>50.32234024</v>
      </c>
      <c r="F239" s="152">
        <f t="shared" si="235"/>
        <v>229.3724311</v>
      </c>
      <c r="G239" s="152">
        <f t="shared" si="235"/>
        <v>1385.278235</v>
      </c>
      <c r="H239" s="152">
        <f t="shared" si="235"/>
        <v>12485.90541</v>
      </c>
      <c r="I239" s="152">
        <f t="shared" si="235"/>
        <v>183918.5116</v>
      </c>
      <c r="J239" s="152">
        <f t="shared" si="235"/>
        <v>4762990.308</v>
      </c>
      <c r="K239" s="152">
        <f t="shared" si="235"/>
        <v>230164529.8</v>
      </c>
      <c r="L239" s="152">
        <f t="shared" si="235"/>
        <v>24037671481</v>
      </c>
      <c r="M239" s="152">
        <f t="shared" si="235"/>
        <v>6803196972605</v>
      </c>
      <c r="N239" s="152">
        <f t="shared" si="235"/>
        <v>6.29314E+15</v>
      </c>
      <c r="O239" s="152">
        <f t="shared" si="235"/>
        <v>2.48179E+19</v>
      </c>
      <c r="P239" s="152">
        <f t="shared" si="235"/>
        <v>5.8973E+23</v>
      </c>
      <c r="Q239" s="152">
        <f t="shared" si="235"/>
        <v>1.37513E+29</v>
      </c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6">
        <v>236.0</v>
      </c>
      <c r="C240" s="152">
        <f t="shared" ref="C240:Q240" si="236">C239/(1-C$2*C$3^($B240-1))</f>
        <v>5.241154848</v>
      </c>
      <c r="D240" s="152">
        <f t="shared" si="236"/>
        <v>14.98394164</v>
      </c>
      <c r="E240" s="152">
        <f t="shared" si="236"/>
        <v>50.32235393</v>
      </c>
      <c r="F240" s="152">
        <f t="shared" si="236"/>
        <v>229.3726007</v>
      </c>
      <c r="G240" s="152">
        <f t="shared" si="236"/>
        <v>1385.280886</v>
      </c>
      <c r="H240" s="152">
        <f t="shared" si="236"/>
        <v>12485.96552</v>
      </c>
      <c r="I240" s="152">
        <f t="shared" si="236"/>
        <v>183920.687</v>
      </c>
      <c r="J240" s="152">
        <f t="shared" si="236"/>
        <v>4763125.647</v>
      </c>
      <c r="K240" s="152">
        <f t="shared" si="236"/>
        <v>230179896.4</v>
      </c>
      <c r="L240" s="152">
        <f t="shared" si="236"/>
        <v>24041372207</v>
      </c>
      <c r="M240" s="152">
        <f t="shared" si="236"/>
        <v>6805574809951</v>
      </c>
      <c r="N240" s="152">
        <f t="shared" si="236"/>
        <v>6.29806E+15</v>
      </c>
      <c r="O240" s="152">
        <f t="shared" si="236"/>
        <v>2.48605E+19</v>
      </c>
      <c r="P240" s="152">
        <f t="shared" si="236"/>
        <v>5.9193E+23</v>
      </c>
      <c r="Q240" s="152">
        <f t="shared" si="236"/>
        <v>1.38612E+29</v>
      </c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6">
        <v>237.0</v>
      </c>
      <c r="C241" s="152">
        <f t="shared" ref="C241:Q241" si="237">C240/(1-C$2*C$3^($B241-1))</f>
        <v>5.241154993</v>
      </c>
      <c r="D241" s="152">
        <f t="shared" si="237"/>
        <v>14.98394298</v>
      </c>
      <c r="E241" s="152">
        <f t="shared" si="237"/>
        <v>50.32236686</v>
      </c>
      <c r="F241" s="152">
        <f t="shared" si="237"/>
        <v>229.3727613</v>
      </c>
      <c r="G241" s="152">
        <f t="shared" si="237"/>
        <v>1385.283405</v>
      </c>
      <c r="H241" s="152">
        <f t="shared" si="237"/>
        <v>12486.02281</v>
      </c>
      <c r="I241" s="152">
        <f t="shared" si="237"/>
        <v>183922.7666</v>
      </c>
      <c r="J241" s="152">
        <f t="shared" si="237"/>
        <v>4763255.44</v>
      </c>
      <c r="K241" s="152">
        <f t="shared" si="237"/>
        <v>230194680</v>
      </c>
      <c r="L241" s="152">
        <f t="shared" si="237"/>
        <v>24044943938</v>
      </c>
      <c r="M241" s="152">
        <f t="shared" si="237"/>
        <v>6807877335250</v>
      </c>
      <c r="N241" s="152">
        <f t="shared" si="237"/>
        <v>6.30283E+15</v>
      </c>
      <c r="O241" s="152">
        <f t="shared" si="237"/>
        <v>2.49022E+19</v>
      </c>
      <c r="P241" s="152">
        <f t="shared" si="237"/>
        <v>5.94087E+23</v>
      </c>
      <c r="Q241" s="152">
        <f t="shared" si="237"/>
        <v>1.39698E+29</v>
      </c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6">
        <v>238.0</v>
      </c>
      <c r="C242" s="152">
        <f t="shared" ref="C242:Q242" si="238">C241/(1-C$2*C$3^($B242-1))</f>
        <v>5.241155128</v>
      </c>
      <c r="D242" s="152">
        <f t="shared" si="238"/>
        <v>14.98394424</v>
      </c>
      <c r="E242" s="152">
        <f t="shared" si="238"/>
        <v>50.32237907</v>
      </c>
      <c r="F242" s="152">
        <f t="shared" si="238"/>
        <v>229.3729134</v>
      </c>
      <c r="G242" s="152">
        <f t="shared" si="238"/>
        <v>1385.285799</v>
      </c>
      <c r="H242" s="152">
        <f t="shared" si="238"/>
        <v>12486.0774</v>
      </c>
      <c r="I242" s="152">
        <f t="shared" si="238"/>
        <v>183924.7548</v>
      </c>
      <c r="J242" s="152">
        <f t="shared" si="238"/>
        <v>4763379.915</v>
      </c>
      <c r="K242" s="152">
        <f t="shared" si="238"/>
        <v>230208902.7</v>
      </c>
      <c r="L242" s="152">
        <f t="shared" si="238"/>
        <v>24048391152</v>
      </c>
      <c r="M242" s="152">
        <f t="shared" si="238"/>
        <v>6810106909684</v>
      </c>
      <c r="N242" s="152">
        <f t="shared" si="238"/>
        <v>6.30748E+15</v>
      </c>
      <c r="O242" s="152">
        <f t="shared" si="238"/>
        <v>2.49428E+19</v>
      </c>
      <c r="P242" s="152">
        <f t="shared" si="238"/>
        <v>5.96202E+23</v>
      </c>
      <c r="Q242" s="152">
        <f t="shared" si="238"/>
        <v>1.40771E+29</v>
      </c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6">
        <v>239.0</v>
      </c>
      <c r="C243" s="152">
        <f t="shared" ref="C243:Q243" si="239">C242/(1-C$2*C$3^($B243-1))</f>
        <v>5.241155255</v>
      </c>
      <c r="D243" s="152">
        <f t="shared" si="239"/>
        <v>14.98394543</v>
      </c>
      <c r="E243" s="152">
        <f t="shared" si="239"/>
        <v>50.32239059</v>
      </c>
      <c r="F243" s="152">
        <f t="shared" si="239"/>
        <v>229.3730575</v>
      </c>
      <c r="G243" s="152">
        <f t="shared" si="239"/>
        <v>1385.288072</v>
      </c>
      <c r="H243" s="152">
        <f t="shared" si="239"/>
        <v>12486.12943</v>
      </c>
      <c r="I243" s="152">
        <f t="shared" si="239"/>
        <v>183926.6556</v>
      </c>
      <c r="J243" s="152">
        <f t="shared" si="239"/>
        <v>4763499.289</v>
      </c>
      <c r="K243" s="152">
        <f t="shared" si="239"/>
        <v>230222585.8</v>
      </c>
      <c r="L243" s="152">
        <f t="shared" si="239"/>
        <v>24051718175</v>
      </c>
      <c r="M243" s="152">
        <f t="shared" si="239"/>
        <v>6812265821930</v>
      </c>
      <c r="N243" s="152">
        <f t="shared" si="239"/>
        <v>6.31198E+15</v>
      </c>
      <c r="O243" s="152">
        <f t="shared" si="239"/>
        <v>2.49824E+19</v>
      </c>
      <c r="P243" s="152">
        <f t="shared" si="239"/>
        <v>5.98276E+23</v>
      </c>
      <c r="Q243" s="152">
        <f t="shared" si="239"/>
        <v>1.41829E+29</v>
      </c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6">
        <v>240.0</v>
      </c>
      <c r="C244" s="152">
        <f t="shared" ref="C244:Q244" si="240">C243/(1-C$2*C$3^($B244-1))</f>
        <v>5.241155374</v>
      </c>
      <c r="D244" s="152">
        <f t="shared" si="240"/>
        <v>14.98394655</v>
      </c>
      <c r="E244" s="152">
        <f t="shared" si="240"/>
        <v>50.32240146</v>
      </c>
      <c r="F244" s="152">
        <f t="shared" si="240"/>
        <v>229.3731939</v>
      </c>
      <c r="G244" s="152">
        <f t="shared" si="240"/>
        <v>1385.290232</v>
      </c>
      <c r="H244" s="152">
        <f t="shared" si="240"/>
        <v>12486.17902</v>
      </c>
      <c r="I244" s="152">
        <f t="shared" si="240"/>
        <v>183928.4727</v>
      </c>
      <c r="J244" s="152">
        <f t="shared" si="240"/>
        <v>4763613.772</v>
      </c>
      <c r="K244" s="152">
        <f t="shared" si="240"/>
        <v>230235749.7</v>
      </c>
      <c r="L244" s="152">
        <f t="shared" si="240"/>
        <v>24054929180</v>
      </c>
      <c r="M244" s="152">
        <f t="shared" si="240"/>
        <v>6814356290285</v>
      </c>
      <c r="N244" s="152">
        <f t="shared" si="240"/>
        <v>6.31637E+15</v>
      </c>
      <c r="O244" s="152">
        <f t="shared" si="240"/>
        <v>2.5021E+19</v>
      </c>
      <c r="P244" s="152">
        <f t="shared" si="240"/>
        <v>6.00309E+23</v>
      </c>
      <c r="Q244" s="152">
        <f t="shared" si="240"/>
        <v>1.42875E+29</v>
      </c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6">
        <v>241.0</v>
      </c>
      <c r="C245" s="152">
        <f t="shared" ref="C245:Q245" si="241">C244/(1-C$2*C$3^($B245-1))</f>
        <v>5.241155486</v>
      </c>
      <c r="D245" s="152">
        <f t="shared" si="241"/>
        <v>14.9839476</v>
      </c>
      <c r="E245" s="152">
        <f t="shared" si="241"/>
        <v>50.32241173</v>
      </c>
      <c r="F245" s="152">
        <f t="shared" si="241"/>
        <v>229.3733231</v>
      </c>
      <c r="G245" s="152">
        <f t="shared" si="241"/>
        <v>1385.292284</v>
      </c>
      <c r="H245" s="152">
        <f t="shared" si="241"/>
        <v>12486.22627</v>
      </c>
      <c r="I245" s="152">
        <f t="shared" si="241"/>
        <v>183930.2099</v>
      </c>
      <c r="J245" s="152">
        <f t="shared" si="241"/>
        <v>4763723.563</v>
      </c>
      <c r="K245" s="152">
        <f t="shared" si="241"/>
        <v>230248414</v>
      </c>
      <c r="L245" s="152">
        <f t="shared" si="241"/>
        <v>24058028199</v>
      </c>
      <c r="M245" s="152">
        <f t="shared" si="241"/>
        <v>6816380464746</v>
      </c>
      <c r="N245" s="152">
        <f t="shared" si="241"/>
        <v>6.32062E+15</v>
      </c>
      <c r="O245" s="152">
        <f t="shared" si="241"/>
        <v>2.50587E+19</v>
      </c>
      <c r="P245" s="152">
        <f t="shared" si="241"/>
        <v>6.02302E+23</v>
      </c>
      <c r="Q245" s="152">
        <f t="shared" si="241"/>
        <v>1.43907E+29</v>
      </c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6">
        <v>242.0</v>
      </c>
      <c r="C246" s="152">
        <f t="shared" ref="C246:Q246" si="242">C245/(1-C$2*C$3^($B246-1))</f>
        <v>5.241155591</v>
      </c>
      <c r="D246" s="152">
        <f t="shared" si="242"/>
        <v>14.98394859</v>
      </c>
      <c r="E246" s="152">
        <f t="shared" si="242"/>
        <v>50.32242142</v>
      </c>
      <c r="F246" s="152">
        <f t="shared" si="242"/>
        <v>229.3734454</v>
      </c>
      <c r="G246" s="152">
        <f t="shared" si="242"/>
        <v>1385.294233</v>
      </c>
      <c r="H246" s="152">
        <f t="shared" si="242"/>
        <v>12486.27131</v>
      </c>
      <c r="I246" s="152">
        <f t="shared" si="242"/>
        <v>183931.8707</v>
      </c>
      <c r="J246" s="152">
        <f t="shared" si="242"/>
        <v>4763828.856</v>
      </c>
      <c r="K246" s="152">
        <f t="shared" si="242"/>
        <v>230260597.7</v>
      </c>
      <c r="L246" s="152">
        <f t="shared" si="242"/>
        <v>24061019124</v>
      </c>
      <c r="M246" s="152">
        <f t="shared" si="242"/>
        <v>6818340429025</v>
      </c>
      <c r="N246" s="152">
        <f t="shared" si="242"/>
        <v>6.32476E+15</v>
      </c>
      <c r="O246" s="152">
        <f t="shared" si="242"/>
        <v>2.50955E+19</v>
      </c>
      <c r="P246" s="152">
        <f t="shared" si="242"/>
        <v>6.04255E+23</v>
      </c>
      <c r="Q246" s="152">
        <f t="shared" si="242"/>
        <v>1.44925E+29</v>
      </c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6">
        <v>243.0</v>
      </c>
      <c r="C247" s="152">
        <f t="shared" ref="C247:Q247" si="243">C246/(1-C$2*C$3^($B247-1))</f>
        <v>5.241155689</v>
      </c>
      <c r="D247" s="152">
        <f t="shared" si="243"/>
        <v>14.98394953</v>
      </c>
      <c r="E247" s="152">
        <f t="shared" si="243"/>
        <v>50.32243057</v>
      </c>
      <c r="F247" s="152">
        <f t="shared" si="243"/>
        <v>229.3735613</v>
      </c>
      <c r="G247" s="152">
        <f t="shared" si="243"/>
        <v>1385.296085</v>
      </c>
      <c r="H247" s="152">
        <f t="shared" si="243"/>
        <v>12486.31422</v>
      </c>
      <c r="I247" s="152">
        <f t="shared" si="243"/>
        <v>183933.4584</v>
      </c>
      <c r="J247" s="152">
        <f t="shared" si="243"/>
        <v>4763929.833</v>
      </c>
      <c r="K247" s="152">
        <f t="shared" si="243"/>
        <v>230272319.1</v>
      </c>
      <c r="L247" s="152">
        <f t="shared" si="243"/>
        <v>24063905713</v>
      </c>
      <c r="M247" s="152">
        <f t="shared" si="243"/>
        <v>6820238202515</v>
      </c>
      <c r="N247" s="152">
        <f t="shared" si="243"/>
        <v>6.32878E+15</v>
      </c>
      <c r="O247" s="152">
        <f t="shared" si="243"/>
        <v>2.51314E+19</v>
      </c>
      <c r="P247" s="152">
        <f t="shared" si="243"/>
        <v>6.06169E+23</v>
      </c>
      <c r="Q247" s="152">
        <f t="shared" si="243"/>
        <v>1.4593E+29</v>
      </c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6">
        <v>244.0</v>
      </c>
      <c r="C248" s="152">
        <f t="shared" ref="C248:Q248" si="244">C247/(1-C$2*C$3^($B248-1))</f>
        <v>5.241155781</v>
      </c>
      <c r="D248" s="152">
        <f t="shared" si="244"/>
        <v>14.9839504</v>
      </c>
      <c r="E248" s="152">
        <f t="shared" si="244"/>
        <v>50.32243921</v>
      </c>
      <c r="F248" s="152">
        <f t="shared" si="244"/>
        <v>229.373671</v>
      </c>
      <c r="G248" s="152">
        <f t="shared" si="244"/>
        <v>1385.297844</v>
      </c>
      <c r="H248" s="152">
        <f t="shared" si="244"/>
        <v>12486.35512</v>
      </c>
      <c r="I248" s="152">
        <f t="shared" si="244"/>
        <v>183934.9762</v>
      </c>
      <c r="J248" s="152">
        <f t="shared" si="244"/>
        <v>4764026.673</v>
      </c>
      <c r="K248" s="152">
        <f t="shared" si="244"/>
        <v>230283595.6</v>
      </c>
      <c r="L248" s="152">
        <f t="shared" si="244"/>
        <v>24066691594</v>
      </c>
      <c r="M248" s="152">
        <f t="shared" si="244"/>
        <v>6822075742198</v>
      </c>
      <c r="N248" s="152">
        <f t="shared" si="244"/>
        <v>6.33269E+15</v>
      </c>
      <c r="O248" s="152">
        <f t="shared" si="244"/>
        <v>2.51663E+19</v>
      </c>
      <c r="P248" s="152">
        <f t="shared" si="244"/>
        <v>6.08045E+23</v>
      </c>
      <c r="Q248" s="152">
        <f t="shared" si="244"/>
        <v>1.46921E+29</v>
      </c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6">
        <v>245.0</v>
      </c>
      <c r="C249" s="152">
        <f t="shared" ref="C249:Q249" si="245">C248/(1-C$2*C$3^($B249-1))</f>
        <v>5.241155868</v>
      </c>
      <c r="D249" s="152">
        <f t="shared" si="245"/>
        <v>14.98395123</v>
      </c>
      <c r="E249" s="152">
        <f t="shared" si="245"/>
        <v>50.32244736</v>
      </c>
      <c r="F249" s="152">
        <f t="shared" si="245"/>
        <v>229.3737749</v>
      </c>
      <c r="G249" s="152">
        <f t="shared" si="245"/>
        <v>1385.299515</v>
      </c>
      <c r="H249" s="152">
        <f t="shared" si="245"/>
        <v>12486.3941</v>
      </c>
      <c r="I249" s="152">
        <f t="shared" si="245"/>
        <v>183936.4273</v>
      </c>
      <c r="J249" s="152">
        <f t="shared" si="245"/>
        <v>4764119.543</v>
      </c>
      <c r="K249" s="152">
        <f t="shared" si="245"/>
        <v>230294444.1</v>
      </c>
      <c r="L249" s="152">
        <f t="shared" si="245"/>
        <v>24069380269</v>
      </c>
      <c r="M249" s="152">
        <f t="shared" si="245"/>
        <v>6823854944507</v>
      </c>
      <c r="N249" s="152">
        <f t="shared" si="245"/>
        <v>6.33648E+15</v>
      </c>
      <c r="O249" s="152">
        <f t="shared" si="245"/>
        <v>2.52005E+19</v>
      </c>
      <c r="P249" s="152">
        <f t="shared" si="245"/>
        <v>6.09883E+23</v>
      </c>
      <c r="Q249" s="152">
        <f t="shared" si="245"/>
        <v>1.479E+29</v>
      </c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6">
        <v>246.0</v>
      </c>
      <c r="C250" s="152">
        <f t="shared" ref="C250:Q250" si="246">C249/(1-C$2*C$3^($B250-1))</f>
        <v>5.241155949</v>
      </c>
      <c r="D250" s="152">
        <f t="shared" si="246"/>
        <v>14.98395201</v>
      </c>
      <c r="E250" s="152">
        <f t="shared" si="246"/>
        <v>50.32245506</v>
      </c>
      <c r="F250" s="152">
        <f t="shared" si="246"/>
        <v>229.3738733</v>
      </c>
      <c r="G250" s="152">
        <f t="shared" si="246"/>
        <v>1385.301103</v>
      </c>
      <c r="H250" s="152">
        <f t="shared" si="246"/>
        <v>12486.43125</v>
      </c>
      <c r="I250" s="152">
        <f t="shared" si="246"/>
        <v>183937.8146</v>
      </c>
      <c r="J250" s="152">
        <f t="shared" si="246"/>
        <v>4764208.608</v>
      </c>
      <c r="K250" s="152">
        <f t="shared" si="246"/>
        <v>230304880.8</v>
      </c>
      <c r="L250" s="152">
        <f t="shared" si="246"/>
        <v>24071975121</v>
      </c>
      <c r="M250" s="152">
        <f t="shared" si="246"/>
        <v>6825577647135</v>
      </c>
      <c r="N250" s="152">
        <f t="shared" si="246"/>
        <v>6.34017E+15</v>
      </c>
      <c r="O250" s="152">
        <f t="shared" si="246"/>
        <v>2.52337E+19</v>
      </c>
      <c r="P250" s="152">
        <f t="shared" si="246"/>
        <v>6.11685E+23</v>
      </c>
      <c r="Q250" s="152">
        <f t="shared" si="246"/>
        <v>1.48864E+29</v>
      </c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6">
        <v>247.0</v>
      </c>
      <c r="C251" s="152">
        <f t="shared" ref="C251:Q251" si="247">C250/(1-C$2*C$3^($B251-1))</f>
        <v>5.241156025</v>
      </c>
      <c r="D251" s="152">
        <f t="shared" si="247"/>
        <v>14.98395274</v>
      </c>
      <c r="E251" s="152">
        <f t="shared" si="247"/>
        <v>50.32246232</v>
      </c>
      <c r="F251" s="152">
        <f t="shared" si="247"/>
        <v>229.3739665</v>
      </c>
      <c r="G251" s="152">
        <f t="shared" si="247"/>
        <v>1385.302611</v>
      </c>
      <c r="H251" s="152">
        <f t="shared" si="247"/>
        <v>12486.46665</v>
      </c>
      <c r="I251" s="152">
        <f t="shared" si="247"/>
        <v>183939.1408</v>
      </c>
      <c r="J251" s="152">
        <f t="shared" si="247"/>
        <v>4764294.023</v>
      </c>
      <c r="K251" s="152">
        <f t="shared" si="247"/>
        <v>230314921.3</v>
      </c>
      <c r="L251" s="152">
        <f t="shared" si="247"/>
        <v>24074479413</v>
      </c>
      <c r="M251" s="152">
        <f t="shared" si="247"/>
        <v>6827245630788</v>
      </c>
      <c r="N251" s="152">
        <f t="shared" si="247"/>
        <v>6.34375E+15</v>
      </c>
      <c r="O251" s="152">
        <f t="shared" si="247"/>
        <v>2.52662E+19</v>
      </c>
      <c r="P251" s="152">
        <f t="shared" si="247"/>
        <v>6.1345E+23</v>
      </c>
      <c r="Q251" s="152">
        <f t="shared" si="247"/>
        <v>1.49816E+29</v>
      </c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6">
        <v>248.0</v>
      </c>
      <c r="C252" s="152">
        <f t="shared" ref="C252:Q252" si="248">C251/(1-C$2*C$3^($B252-1))</f>
        <v>5.241156096</v>
      </c>
      <c r="D252" s="152">
        <f t="shared" si="248"/>
        <v>14.98395342</v>
      </c>
      <c r="E252" s="152">
        <f t="shared" si="248"/>
        <v>50.32246918</v>
      </c>
      <c r="F252" s="152">
        <f t="shared" si="248"/>
        <v>229.3740547</v>
      </c>
      <c r="G252" s="152">
        <f t="shared" si="248"/>
        <v>1385.304044</v>
      </c>
      <c r="H252" s="152">
        <f t="shared" si="248"/>
        <v>12486.50039</v>
      </c>
      <c r="I252" s="152">
        <f t="shared" si="248"/>
        <v>183940.4087</v>
      </c>
      <c r="J252" s="152">
        <f t="shared" si="248"/>
        <v>4764375.937</v>
      </c>
      <c r="K252" s="152">
        <f t="shared" si="248"/>
        <v>230324580.8</v>
      </c>
      <c r="L252" s="152">
        <f t="shared" si="248"/>
        <v>24076896298</v>
      </c>
      <c r="M252" s="152">
        <f t="shared" si="248"/>
        <v>6828860620900</v>
      </c>
      <c r="N252" s="152">
        <f t="shared" si="248"/>
        <v>6.34723E+15</v>
      </c>
      <c r="O252" s="152">
        <f t="shared" si="248"/>
        <v>2.52978E+19</v>
      </c>
      <c r="P252" s="152">
        <f t="shared" si="248"/>
        <v>6.15179E+23</v>
      </c>
      <c r="Q252" s="152">
        <f t="shared" si="248"/>
        <v>1.50754E+29</v>
      </c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6">
        <v>249.0</v>
      </c>
      <c r="C253" s="152">
        <f t="shared" ref="C253:Q253" si="249">C252/(1-C$2*C$3^($B253-1))</f>
        <v>5.241156163</v>
      </c>
      <c r="D253" s="152">
        <f t="shared" si="249"/>
        <v>14.98395407</v>
      </c>
      <c r="E253" s="152">
        <f t="shared" si="249"/>
        <v>50.32247565</v>
      </c>
      <c r="F253" s="152">
        <f t="shared" si="249"/>
        <v>229.3741383</v>
      </c>
      <c r="G253" s="152">
        <f t="shared" si="249"/>
        <v>1385.305405</v>
      </c>
      <c r="H253" s="152">
        <f t="shared" si="249"/>
        <v>12486.53254</v>
      </c>
      <c r="I253" s="152">
        <f t="shared" si="249"/>
        <v>183941.6208</v>
      </c>
      <c r="J253" s="152">
        <f t="shared" si="249"/>
        <v>4764454.494</v>
      </c>
      <c r="K253" s="152">
        <f t="shared" si="249"/>
        <v>230333873.5</v>
      </c>
      <c r="L253" s="152">
        <f t="shared" si="249"/>
        <v>24079228817</v>
      </c>
      <c r="M253" s="152">
        <f t="shared" si="249"/>
        <v>6830424289295</v>
      </c>
      <c r="N253" s="152">
        <f t="shared" si="249"/>
        <v>6.35061E+15</v>
      </c>
      <c r="O253" s="152">
        <f t="shared" si="249"/>
        <v>2.53287E+19</v>
      </c>
      <c r="P253" s="152">
        <f t="shared" si="249"/>
        <v>6.16874E+23</v>
      </c>
      <c r="Q253" s="152">
        <f t="shared" si="249"/>
        <v>1.5168E+29</v>
      </c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6">
        <v>250.0</v>
      </c>
      <c r="C254" s="152">
        <f t="shared" ref="C254:Q254" si="250">C253/(1-C$2*C$3^($B254-1))</f>
        <v>5.241156226</v>
      </c>
      <c r="D254" s="152">
        <f t="shared" si="250"/>
        <v>14.98395468</v>
      </c>
      <c r="E254" s="152">
        <f t="shared" si="250"/>
        <v>50.32248177</v>
      </c>
      <c r="F254" s="152">
        <f t="shared" si="250"/>
        <v>229.3742174</v>
      </c>
      <c r="G254" s="152">
        <f t="shared" si="250"/>
        <v>1385.306698</v>
      </c>
      <c r="H254" s="152">
        <f t="shared" si="250"/>
        <v>12486.56318</v>
      </c>
      <c r="I254" s="152">
        <f t="shared" si="250"/>
        <v>183942.7795</v>
      </c>
      <c r="J254" s="152">
        <f t="shared" si="250"/>
        <v>4764529.831</v>
      </c>
      <c r="K254" s="152">
        <f t="shared" si="250"/>
        <v>230342813.5</v>
      </c>
      <c r="L254" s="152">
        <f t="shared" si="250"/>
        <v>24081479909</v>
      </c>
      <c r="M254" s="152">
        <f t="shared" si="250"/>
        <v>6831938255799</v>
      </c>
      <c r="N254" s="152">
        <f t="shared" si="250"/>
        <v>6.35389E+15</v>
      </c>
      <c r="O254" s="152">
        <f t="shared" si="250"/>
        <v>2.53588E+19</v>
      </c>
      <c r="P254" s="152">
        <f t="shared" si="250"/>
        <v>6.18533E+23</v>
      </c>
      <c r="Q254" s="152">
        <f t="shared" si="250"/>
        <v>1.52592E+29</v>
      </c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6">
        <v>251.0</v>
      </c>
      <c r="C255" s="152">
        <f t="shared" ref="C255:Q255" si="251">C254/(1-C$2*C$3^($B255-1))</f>
        <v>5.241156285</v>
      </c>
      <c r="D255" s="152">
        <f t="shared" si="251"/>
        <v>14.98395525</v>
      </c>
      <c r="E255" s="152">
        <f t="shared" si="251"/>
        <v>50.32248754</v>
      </c>
      <c r="F255" s="152">
        <f t="shared" si="251"/>
        <v>229.3742924</v>
      </c>
      <c r="G255" s="152">
        <f t="shared" si="251"/>
        <v>1385.307927</v>
      </c>
      <c r="H255" s="152">
        <f t="shared" si="251"/>
        <v>12486.59238</v>
      </c>
      <c r="I255" s="152">
        <f t="shared" si="251"/>
        <v>183943.8873</v>
      </c>
      <c r="J255" s="152">
        <f t="shared" si="251"/>
        <v>4764602.081</v>
      </c>
      <c r="K255" s="152">
        <f t="shared" si="251"/>
        <v>230351414</v>
      </c>
      <c r="L255" s="152">
        <f t="shared" si="251"/>
        <v>24083652409</v>
      </c>
      <c r="M255" s="152">
        <f t="shared" si="251"/>
        <v>6833404089810</v>
      </c>
      <c r="N255" s="152">
        <f t="shared" si="251"/>
        <v>6.35708E+15</v>
      </c>
      <c r="O255" s="152">
        <f t="shared" si="251"/>
        <v>2.53881E+19</v>
      </c>
      <c r="P255" s="152">
        <f t="shared" si="251"/>
        <v>6.20159E+23</v>
      </c>
      <c r="Q255" s="152">
        <f t="shared" si="251"/>
        <v>1.53491E+29</v>
      </c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6">
        <v>252.0</v>
      </c>
      <c r="C256" s="152">
        <f t="shared" ref="C256:Q256" si="252">C255/(1-C$2*C$3^($B256-1))</f>
        <v>5.24115634</v>
      </c>
      <c r="D256" s="152">
        <f t="shared" si="252"/>
        <v>14.98395579</v>
      </c>
      <c r="E256" s="152">
        <f t="shared" si="252"/>
        <v>50.32249298</v>
      </c>
      <c r="F256" s="152">
        <f t="shared" si="252"/>
        <v>229.3743633</v>
      </c>
      <c r="G256" s="152">
        <f t="shared" si="252"/>
        <v>1385.309094</v>
      </c>
      <c r="H256" s="152">
        <f t="shared" si="252"/>
        <v>12486.62021</v>
      </c>
      <c r="I256" s="152">
        <f t="shared" si="252"/>
        <v>183944.9464</v>
      </c>
      <c r="J256" s="152">
        <f t="shared" si="252"/>
        <v>4764671.369</v>
      </c>
      <c r="K256" s="152">
        <f t="shared" si="252"/>
        <v>230359688.1</v>
      </c>
      <c r="L256" s="152">
        <f t="shared" si="252"/>
        <v>24085749053</v>
      </c>
      <c r="M256" s="152">
        <f t="shared" si="252"/>
        <v>6834823311829</v>
      </c>
      <c r="N256" s="152">
        <f t="shared" si="252"/>
        <v>6.36018E+15</v>
      </c>
      <c r="O256" s="152">
        <f t="shared" si="252"/>
        <v>2.54167E+19</v>
      </c>
      <c r="P256" s="152">
        <f t="shared" si="252"/>
        <v>6.21752E+23</v>
      </c>
      <c r="Q256" s="152">
        <f t="shared" si="252"/>
        <v>1.54378E+29</v>
      </c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6">
        <v>253.0</v>
      </c>
      <c r="C257" s="152">
        <f t="shared" ref="C257:Q257" si="253">C256/(1-C$2*C$3^($B257-1))</f>
        <v>5.241156392</v>
      </c>
      <c r="D257" s="152">
        <f t="shared" si="253"/>
        <v>14.9839563</v>
      </c>
      <c r="E257" s="152">
        <f t="shared" si="253"/>
        <v>50.32249812</v>
      </c>
      <c r="F257" s="152">
        <f t="shared" si="253"/>
        <v>229.3744305</v>
      </c>
      <c r="G257" s="152">
        <f t="shared" si="253"/>
        <v>1385.310203</v>
      </c>
      <c r="H257" s="152">
        <f t="shared" si="253"/>
        <v>12486.64673</v>
      </c>
      <c r="I257" s="152">
        <f t="shared" si="253"/>
        <v>183945.9588</v>
      </c>
      <c r="J257" s="152">
        <f t="shared" si="253"/>
        <v>4764737.817</v>
      </c>
      <c r="K257" s="152">
        <f t="shared" si="253"/>
        <v>230367648</v>
      </c>
      <c r="L257" s="152">
        <f t="shared" si="253"/>
        <v>24087772485</v>
      </c>
      <c r="M257" s="152">
        <f t="shared" si="253"/>
        <v>6836197394935</v>
      </c>
      <c r="N257" s="152">
        <f t="shared" si="253"/>
        <v>6.3632E+15</v>
      </c>
      <c r="O257" s="152">
        <f t="shared" si="253"/>
        <v>2.54447E+19</v>
      </c>
      <c r="P257" s="152">
        <f t="shared" si="253"/>
        <v>6.23311E+23</v>
      </c>
      <c r="Q257" s="152">
        <f t="shared" si="253"/>
        <v>1.55251E+29</v>
      </c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6">
        <v>254.0</v>
      </c>
      <c r="C258" s="152">
        <f t="shared" ref="C258:Q258" si="254">C257/(1-C$2*C$3^($B258-1))</f>
        <v>5.241156441</v>
      </c>
      <c r="D258" s="152">
        <f t="shared" si="254"/>
        <v>14.98395678</v>
      </c>
      <c r="E258" s="152">
        <f t="shared" si="254"/>
        <v>50.32250298</v>
      </c>
      <c r="F258" s="152">
        <f t="shared" si="254"/>
        <v>229.3744942</v>
      </c>
      <c r="G258" s="152">
        <f t="shared" si="254"/>
        <v>1385.311256</v>
      </c>
      <c r="H258" s="152">
        <f t="shared" si="254"/>
        <v>12486.672</v>
      </c>
      <c r="I258" s="152">
        <f t="shared" si="254"/>
        <v>183946.9268</v>
      </c>
      <c r="J258" s="152">
        <f t="shared" si="254"/>
        <v>4764801.542</v>
      </c>
      <c r="K258" s="152">
        <f t="shared" si="254"/>
        <v>230375305.7</v>
      </c>
      <c r="L258" s="152">
        <f t="shared" si="254"/>
        <v>24089725255</v>
      </c>
      <c r="M258" s="152">
        <f t="shared" si="254"/>
        <v>6837527766231</v>
      </c>
      <c r="N258" s="152">
        <f t="shared" si="254"/>
        <v>6.36612E+15</v>
      </c>
      <c r="O258" s="152">
        <f t="shared" si="254"/>
        <v>2.54719E+19</v>
      </c>
      <c r="P258" s="152">
        <f t="shared" si="254"/>
        <v>6.24839E+23</v>
      </c>
      <c r="Q258" s="152">
        <f t="shared" si="254"/>
        <v>1.56112E+29</v>
      </c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6">
        <v>255.0</v>
      </c>
      <c r="C259" s="152">
        <f t="shared" ref="C259:Q259" si="255">C258/(1-C$2*C$3^($B259-1))</f>
        <v>5.241156486</v>
      </c>
      <c r="D259" s="152">
        <f t="shared" si="255"/>
        <v>14.98395723</v>
      </c>
      <c r="E259" s="152">
        <f t="shared" si="255"/>
        <v>50.32250756</v>
      </c>
      <c r="F259" s="152">
        <f t="shared" si="255"/>
        <v>229.3745544</v>
      </c>
      <c r="G259" s="152">
        <f t="shared" si="255"/>
        <v>1385.312256</v>
      </c>
      <c r="H259" s="152">
        <f t="shared" si="255"/>
        <v>12486.69608</v>
      </c>
      <c r="I259" s="152">
        <f t="shared" si="255"/>
        <v>183947.8521</v>
      </c>
      <c r="J259" s="152">
        <f t="shared" si="255"/>
        <v>4764862.655</v>
      </c>
      <c r="K259" s="152">
        <f t="shared" si="255"/>
        <v>230382672.6</v>
      </c>
      <c r="L259" s="152">
        <f t="shared" si="255"/>
        <v>24091609826</v>
      </c>
      <c r="M259" s="152">
        <f t="shared" si="255"/>
        <v>6838815808239</v>
      </c>
      <c r="N259" s="152">
        <f t="shared" si="255"/>
        <v>6.36896E+15</v>
      </c>
      <c r="O259" s="152">
        <f t="shared" si="255"/>
        <v>2.54984E+19</v>
      </c>
      <c r="P259" s="152">
        <f t="shared" si="255"/>
        <v>6.26335E+23</v>
      </c>
      <c r="Q259" s="152">
        <f t="shared" si="255"/>
        <v>1.5696E+29</v>
      </c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6">
        <v>256.0</v>
      </c>
      <c r="C260" s="152">
        <f t="shared" ref="C260:Q260" si="256">C259/(1-C$2*C$3^($B260-1))</f>
        <v>5.241156529</v>
      </c>
      <c r="D260" s="152">
        <f t="shared" si="256"/>
        <v>14.98395765</v>
      </c>
      <c r="E260" s="152">
        <f t="shared" si="256"/>
        <v>50.32251188</v>
      </c>
      <c r="F260" s="152">
        <f t="shared" si="256"/>
        <v>229.3746115</v>
      </c>
      <c r="G260" s="152">
        <f t="shared" si="256"/>
        <v>1385.313207</v>
      </c>
      <c r="H260" s="152">
        <f t="shared" si="256"/>
        <v>12486.71904</v>
      </c>
      <c r="I260" s="152">
        <f t="shared" si="256"/>
        <v>183948.7367</v>
      </c>
      <c r="J260" s="152">
        <f t="shared" si="256"/>
        <v>4764921.263</v>
      </c>
      <c r="K260" s="152">
        <f t="shared" si="256"/>
        <v>230389759.8</v>
      </c>
      <c r="L260" s="152">
        <f t="shared" si="256"/>
        <v>24093428574</v>
      </c>
      <c r="M260" s="152">
        <f t="shared" si="256"/>
        <v>6840062860260</v>
      </c>
      <c r="N260" s="152">
        <f t="shared" si="256"/>
        <v>6.37172E+15</v>
      </c>
      <c r="O260" s="152">
        <f t="shared" si="256"/>
        <v>2.55242E+19</v>
      </c>
      <c r="P260" s="152">
        <f t="shared" si="256"/>
        <v>6.278E+23</v>
      </c>
      <c r="Q260" s="152">
        <f t="shared" si="256"/>
        <v>1.57796E+29</v>
      </c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6">
        <v>257.0</v>
      </c>
      <c r="C261" s="152">
        <f t="shared" ref="C261:Q261" si="257">C260/(1-C$2*C$3^($B261-1))</f>
        <v>5.241156569</v>
      </c>
      <c r="D261" s="152">
        <f t="shared" si="257"/>
        <v>14.98395805</v>
      </c>
      <c r="E261" s="152">
        <f t="shared" si="257"/>
        <v>50.32251597</v>
      </c>
      <c r="F261" s="152">
        <f t="shared" si="257"/>
        <v>229.3746656</v>
      </c>
      <c r="G261" s="152">
        <f t="shared" si="257"/>
        <v>1385.31411</v>
      </c>
      <c r="H261" s="152">
        <f t="shared" si="257"/>
        <v>12486.74091</v>
      </c>
      <c r="I261" s="152">
        <f t="shared" si="257"/>
        <v>183949.5824</v>
      </c>
      <c r="J261" s="152">
        <f t="shared" si="257"/>
        <v>4764977.469</v>
      </c>
      <c r="K261" s="152">
        <f t="shared" si="257"/>
        <v>230396577.9</v>
      </c>
      <c r="L261" s="152">
        <f t="shared" si="257"/>
        <v>24095183794</v>
      </c>
      <c r="M261" s="152">
        <f t="shared" si="257"/>
        <v>6841270219693</v>
      </c>
      <c r="N261" s="152">
        <f t="shared" si="257"/>
        <v>6.3744E+15</v>
      </c>
      <c r="O261" s="152">
        <f t="shared" si="257"/>
        <v>2.55495E+19</v>
      </c>
      <c r="P261" s="152">
        <f t="shared" si="257"/>
        <v>6.29235E+23</v>
      </c>
      <c r="Q261" s="152">
        <f t="shared" si="257"/>
        <v>1.58619E+29</v>
      </c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6">
        <v>258.0</v>
      </c>
      <c r="C262" s="152">
        <f t="shared" ref="C262:Q262" si="258">C261/(1-C$2*C$3^($B262-1))</f>
        <v>5.241156607</v>
      </c>
      <c r="D262" s="152">
        <f t="shared" si="258"/>
        <v>14.98395842</v>
      </c>
      <c r="E262" s="152">
        <f t="shared" si="258"/>
        <v>50.32251982</v>
      </c>
      <c r="F262" s="152">
        <f t="shared" si="258"/>
        <v>229.3747168</v>
      </c>
      <c r="G262" s="152">
        <f t="shared" si="258"/>
        <v>1385.314968</v>
      </c>
      <c r="H262" s="152">
        <f t="shared" si="258"/>
        <v>12486.76176</v>
      </c>
      <c r="I262" s="152">
        <f t="shared" si="258"/>
        <v>183950.3909</v>
      </c>
      <c r="J262" s="152">
        <f t="shared" si="258"/>
        <v>4765031.371</v>
      </c>
      <c r="K262" s="152">
        <f t="shared" si="258"/>
        <v>230403137.1</v>
      </c>
      <c r="L262" s="152">
        <f t="shared" si="258"/>
        <v>24096877700</v>
      </c>
      <c r="M262" s="152">
        <f t="shared" si="258"/>
        <v>6842439143316</v>
      </c>
      <c r="N262" s="152">
        <f t="shared" si="258"/>
        <v>6.37701E+15</v>
      </c>
      <c r="O262" s="152">
        <f t="shared" si="258"/>
        <v>2.5574E+19</v>
      </c>
      <c r="P262" s="152">
        <f t="shared" si="258"/>
        <v>6.3064E+23</v>
      </c>
      <c r="Q262" s="152">
        <f t="shared" si="258"/>
        <v>1.5943E+29</v>
      </c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6">
        <v>259.0</v>
      </c>
      <c r="C263" s="152">
        <f t="shared" ref="C263:Q263" si="259">C262/(1-C$2*C$3^($B263-1))</f>
        <v>5.241156642</v>
      </c>
      <c r="D263" s="152">
        <f t="shared" si="259"/>
        <v>14.98395878</v>
      </c>
      <c r="E263" s="152">
        <f t="shared" si="259"/>
        <v>50.32252346</v>
      </c>
      <c r="F263" s="152">
        <f t="shared" si="259"/>
        <v>229.3747652</v>
      </c>
      <c r="G263" s="152">
        <f t="shared" si="259"/>
        <v>1385.315783</v>
      </c>
      <c r="H263" s="152">
        <f t="shared" si="259"/>
        <v>12486.78163</v>
      </c>
      <c r="I263" s="152">
        <f t="shared" si="259"/>
        <v>183951.1638</v>
      </c>
      <c r="J263" s="152">
        <f t="shared" si="259"/>
        <v>4765083.063</v>
      </c>
      <c r="K263" s="152">
        <f t="shared" si="259"/>
        <v>230409447.2</v>
      </c>
      <c r="L263" s="152">
        <f t="shared" si="259"/>
        <v>24098512430</v>
      </c>
      <c r="M263" s="152">
        <f t="shared" si="259"/>
        <v>6843570848532</v>
      </c>
      <c r="N263" s="152">
        <f t="shared" si="259"/>
        <v>6.37954E+15</v>
      </c>
      <c r="O263" s="152">
        <f t="shared" si="259"/>
        <v>2.5598E+19</v>
      </c>
      <c r="P263" s="152">
        <f t="shared" si="259"/>
        <v>6.32015E+23</v>
      </c>
      <c r="Q263" s="152">
        <f t="shared" si="259"/>
        <v>1.60228E+29</v>
      </c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6">
        <v>260.0</v>
      </c>
      <c r="C264" s="152">
        <f t="shared" ref="C264:Q264" si="260">C263/(1-C$2*C$3^($B264-1))</f>
        <v>5.241156675</v>
      </c>
      <c r="D264" s="152">
        <f t="shared" si="260"/>
        <v>14.98395911</v>
      </c>
      <c r="E264" s="152">
        <f t="shared" si="260"/>
        <v>50.3225269</v>
      </c>
      <c r="F264" s="152">
        <f t="shared" si="260"/>
        <v>229.3748111</v>
      </c>
      <c r="G264" s="152">
        <f t="shared" si="260"/>
        <v>1385.316557</v>
      </c>
      <c r="H264" s="152">
        <f t="shared" si="260"/>
        <v>12486.80056</v>
      </c>
      <c r="I264" s="152">
        <f t="shared" si="260"/>
        <v>183951.9028</v>
      </c>
      <c r="J264" s="152">
        <f t="shared" si="260"/>
        <v>4765132.637</v>
      </c>
      <c r="K264" s="152">
        <f t="shared" si="260"/>
        <v>230415517.7</v>
      </c>
      <c r="L264" s="152">
        <f t="shared" si="260"/>
        <v>24100090048</v>
      </c>
      <c r="M264" s="152">
        <f t="shared" si="260"/>
        <v>6844666514569</v>
      </c>
      <c r="N264" s="152">
        <f t="shared" si="260"/>
        <v>6.382E+15</v>
      </c>
      <c r="O264" s="152">
        <f t="shared" si="260"/>
        <v>2.56214E+19</v>
      </c>
      <c r="P264" s="152">
        <f t="shared" si="260"/>
        <v>6.33362E+23</v>
      </c>
      <c r="Q264" s="152">
        <f t="shared" si="260"/>
        <v>1.61015E+29</v>
      </c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6">
        <v>261.0</v>
      </c>
      <c r="C265" s="152">
        <f t="shared" ref="C265:Q265" si="261">C264/(1-C$2*C$3^($B265-1))</f>
        <v>5.241156706</v>
      </c>
      <c r="D265" s="152">
        <f t="shared" si="261"/>
        <v>14.98395942</v>
      </c>
      <c r="E265" s="152">
        <f t="shared" si="261"/>
        <v>50.32253014</v>
      </c>
      <c r="F265" s="152">
        <f t="shared" si="261"/>
        <v>229.3748546</v>
      </c>
      <c r="G265" s="152">
        <f t="shared" si="261"/>
        <v>1385.317293</v>
      </c>
      <c r="H265" s="152">
        <f t="shared" si="261"/>
        <v>12486.8186</v>
      </c>
      <c r="I265" s="152">
        <f t="shared" si="261"/>
        <v>183952.6092</v>
      </c>
      <c r="J265" s="152">
        <f t="shared" si="261"/>
        <v>4765180.178</v>
      </c>
      <c r="K265" s="152">
        <f t="shared" si="261"/>
        <v>230421357.7</v>
      </c>
      <c r="L265" s="152">
        <f t="shared" si="261"/>
        <v>24101612545</v>
      </c>
      <c r="M265" s="152">
        <f t="shared" si="261"/>
        <v>6845727283664</v>
      </c>
      <c r="N265" s="152">
        <f t="shared" si="261"/>
        <v>6.38438E+15</v>
      </c>
      <c r="O265" s="152">
        <f t="shared" si="261"/>
        <v>2.56442E+19</v>
      </c>
      <c r="P265" s="152">
        <f t="shared" si="261"/>
        <v>6.3468E+23</v>
      </c>
      <c r="Q265" s="152">
        <f t="shared" si="261"/>
        <v>1.61789E+29</v>
      </c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6">
        <v>262.0</v>
      </c>
      <c r="C266" s="152">
        <f t="shared" ref="C266:Q266" si="262">C265/(1-C$2*C$3^($B266-1))</f>
        <v>5.241156735</v>
      </c>
      <c r="D266" s="152">
        <f t="shared" si="262"/>
        <v>14.98395971</v>
      </c>
      <c r="E266" s="152">
        <f t="shared" si="262"/>
        <v>50.3225332</v>
      </c>
      <c r="F266" s="152">
        <f t="shared" si="262"/>
        <v>229.3748958</v>
      </c>
      <c r="G266" s="152">
        <f t="shared" si="262"/>
        <v>1385.317992</v>
      </c>
      <c r="H266" s="152">
        <f t="shared" si="262"/>
        <v>12486.8358</v>
      </c>
      <c r="I266" s="152">
        <f t="shared" si="262"/>
        <v>183953.2845</v>
      </c>
      <c r="J266" s="152">
        <f t="shared" si="262"/>
        <v>4765225.771</v>
      </c>
      <c r="K266" s="152">
        <f t="shared" si="262"/>
        <v>230426975.8</v>
      </c>
      <c r="L266" s="152">
        <f t="shared" si="262"/>
        <v>24103081845</v>
      </c>
      <c r="M266" s="152">
        <f t="shared" si="262"/>
        <v>6846754262189</v>
      </c>
      <c r="N266" s="152">
        <f t="shared" si="262"/>
        <v>6.3867E+15</v>
      </c>
      <c r="O266" s="152">
        <f t="shared" si="262"/>
        <v>2.56664E+19</v>
      </c>
      <c r="P266" s="152">
        <f t="shared" si="262"/>
        <v>6.35971E+23</v>
      </c>
      <c r="Q266" s="152">
        <f t="shared" si="262"/>
        <v>1.62552E+29</v>
      </c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6">
        <v>263.0</v>
      </c>
      <c r="C267" s="152">
        <f t="shared" ref="C267:Q267" si="263">C266/(1-C$2*C$3^($B267-1))</f>
        <v>5.241156763</v>
      </c>
      <c r="D267" s="152">
        <f t="shared" si="263"/>
        <v>14.98395999</v>
      </c>
      <c r="E267" s="152">
        <f t="shared" si="263"/>
        <v>50.32253609</v>
      </c>
      <c r="F267" s="152">
        <f t="shared" si="263"/>
        <v>229.3749348</v>
      </c>
      <c r="G267" s="152">
        <f t="shared" si="263"/>
        <v>1385.318656</v>
      </c>
      <c r="H267" s="152">
        <f t="shared" si="263"/>
        <v>12486.85219</v>
      </c>
      <c r="I267" s="152">
        <f t="shared" si="263"/>
        <v>183953.9301</v>
      </c>
      <c r="J267" s="152">
        <f t="shared" si="263"/>
        <v>4765269.495</v>
      </c>
      <c r="K267" s="152">
        <f t="shared" si="263"/>
        <v>230432380.7</v>
      </c>
      <c r="L267" s="152">
        <f t="shared" si="263"/>
        <v>24104499803</v>
      </c>
      <c r="M267" s="152">
        <f t="shared" si="263"/>
        <v>6847748521763</v>
      </c>
      <c r="N267" s="152">
        <f t="shared" si="263"/>
        <v>6.38896E+15</v>
      </c>
      <c r="O267" s="152">
        <f t="shared" si="263"/>
        <v>2.5688E+19</v>
      </c>
      <c r="P267" s="152">
        <f t="shared" si="263"/>
        <v>6.37235E+23</v>
      </c>
      <c r="Q267" s="152">
        <f t="shared" si="263"/>
        <v>1.63303E+29</v>
      </c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6">
        <v>264.0</v>
      </c>
      <c r="C268" s="152">
        <f t="shared" ref="C268:Q268" si="264">C267/(1-C$2*C$3^($B268-1))</f>
        <v>5.241156788</v>
      </c>
      <c r="D268" s="152">
        <f t="shared" si="264"/>
        <v>14.98396025</v>
      </c>
      <c r="E268" s="152">
        <f t="shared" si="264"/>
        <v>50.32253882</v>
      </c>
      <c r="F268" s="152">
        <f t="shared" si="264"/>
        <v>229.3749717</v>
      </c>
      <c r="G268" s="152">
        <f t="shared" si="264"/>
        <v>1385.319286</v>
      </c>
      <c r="H268" s="152">
        <f t="shared" si="264"/>
        <v>12486.8678</v>
      </c>
      <c r="I268" s="152">
        <f t="shared" si="264"/>
        <v>183954.5473</v>
      </c>
      <c r="J268" s="152">
        <f t="shared" si="264"/>
        <v>4765311.427</v>
      </c>
      <c r="K268" s="152">
        <f t="shared" si="264"/>
        <v>230437580.2</v>
      </c>
      <c r="L268" s="152">
        <f t="shared" si="264"/>
        <v>24105868209</v>
      </c>
      <c r="M268" s="152">
        <f t="shared" si="264"/>
        <v>6848711100320</v>
      </c>
      <c r="N268" s="152">
        <f t="shared" si="264"/>
        <v>6.39114E+15</v>
      </c>
      <c r="O268" s="152">
        <f t="shared" si="264"/>
        <v>2.57091E+19</v>
      </c>
      <c r="P268" s="152">
        <f t="shared" si="264"/>
        <v>6.38472E+23</v>
      </c>
      <c r="Q268" s="152">
        <f t="shared" si="264"/>
        <v>1.64042E+29</v>
      </c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6">
        <v>265.0</v>
      </c>
      <c r="C269" s="152">
        <f t="shared" ref="C269:Q269" si="265">C268/(1-C$2*C$3^($B269-1))</f>
        <v>5.241156812</v>
      </c>
      <c r="D269" s="152">
        <f t="shared" si="265"/>
        <v>14.98396049</v>
      </c>
      <c r="E269" s="152">
        <f t="shared" si="265"/>
        <v>50.32254139</v>
      </c>
      <c r="F269" s="152">
        <f t="shared" si="265"/>
        <v>229.3750067</v>
      </c>
      <c r="G269" s="152">
        <f t="shared" si="265"/>
        <v>1385.319885</v>
      </c>
      <c r="H269" s="152">
        <f t="shared" si="265"/>
        <v>12486.88269</v>
      </c>
      <c r="I269" s="152">
        <f t="shared" si="265"/>
        <v>183955.1374</v>
      </c>
      <c r="J269" s="152">
        <f t="shared" si="265"/>
        <v>4765351.64</v>
      </c>
      <c r="K269" s="152">
        <f t="shared" si="265"/>
        <v>230442582.3</v>
      </c>
      <c r="L269" s="152">
        <f t="shared" si="265"/>
        <v>24107188794</v>
      </c>
      <c r="M269" s="152">
        <f t="shared" si="265"/>
        <v>6849643003150</v>
      </c>
      <c r="N269" s="152">
        <f t="shared" si="265"/>
        <v>6.39327E+15</v>
      </c>
      <c r="O269" s="152">
        <f t="shared" si="265"/>
        <v>2.57297E+19</v>
      </c>
      <c r="P269" s="152">
        <f t="shared" si="265"/>
        <v>6.39682E+23</v>
      </c>
      <c r="Q269" s="152">
        <f t="shared" si="265"/>
        <v>1.64769E+29</v>
      </c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6">
        <v>266.0</v>
      </c>
      <c r="C270" s="152">
        <f t="shared" ref="C270:Q270" si="266">C269/(1-C$2*C$3^($B270-1))</f>
        <v>5.241156835</v>
      </c>
      <c r="D270" s="152">
        <f t="shared" si="266"/>
        <v>14.98396072</v>
      </c>
      <c r="E270" s="152">
        <f t="shared" si="266"/>
        <v>50.32254382</v>
      </c>
      <c r="F270" s="152">
        <f t="shared" si="266"/>
        <v>229.3750398</v>
      </c>
      <c r="G270" s="152">
        <f t="shared" si="266"/>
        <v>1385.320455</v>
      </c>
      <c r="H270" s="152">
        <f t="shared" si="266"/>
        <v>12486.89687</v>
      </c>
      <c r="I270" s="152">
        <f t="shared" si="266"/>
        <v>183955.7015</v>
      </c>
      <c r="J270" s="152">
        <f t="shared" si="266"/>
        <v>4765390.204</v>
      </c>
      <c r="K270" s="152">
        <f t="shared" si="266"/>
        <v>230447394.4</v>
      </c>
      <c r="L270" s="152">
        <f t="shared" si="266"/>
        <v>24108463226</v>
      </c>
      <c r="M270" s="152">
        <f t="shared" si="266"/>
        <v>6850545203907</v>
      </c>
      <c r="N270" s="152">
        <f t="shared" si="266"/>
        <v>6.39533E+15</v>
      </c>
      <c r="O270" s="152">
        <f t="shared" si="266"/>
        <v>2.57497E+19</v>
      </c>
      <c r="P270" s="152">
        <f t="shared" si="266"/>
        <v>6.40867E+23</v>
      </c>
      <c r="Q270" s="152">
        <f t="shared" si="266"/>
        <v>1.65485E+29</v>
      </c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6">
        <v>267.0</v>
      </c>
      <c r="C271" s="152">
        <f t="shared" ref="C271:Q271" si="267">C270/(1-C$2*C$3^($B271-1))</f>
        <v>5.241156856</v>
      </c>
      <c r="D271" s="152">
        <f t="shared" si="267"/>
        <v>14.98396094</v>
      </c>
      <c r="E271" s="152">
        <f t="shared" si="267"/>
        <v>50.32254612</v>
      </c>
      <c r="F271" s="152">
        <f t="shared" si="267"/>
        <v>229.3750711</v>
      </c>
      <c r="G271" s="152">
        <f t="shared" si="267"/>
        <v>1385.320995</v>
      </c>
      <c r="H271" s="152">
        <f t="shared" si="267"/>
        <v>12486.91039</v>
      </c>
      <c r="I271" s="152">
        <f t="shared" si="267"/>
        <v>183956.2408</v>
      </c>
      <c r="J271" s="152">
        <f t="shared" si="267"/>
        <v>4765427.187</v>
      </c>
      <c r="K271" s="152">
        <f t="shared" si="267"/>
        <v>230452023.7</v>
      </c>
      <c r="L271" s="152">
        <f t="shared" si="267"/>
        <v>24109693115</v>
      </c>
      <c r="M271" s="152">
        <f t="shared" si="267"/>
        <v>6851418645588</v>
      </c>
      <c r="N271" s="152">
        <f t="shared" si="267"/>
        <v>6.39734E+15</v>
      </c>
      <c r="O271" s="152">
        <f t="shared" si="267"/>
        <v>2.57693E+19</v>
      </c>
      <c r="P271" s="152">
        <f t="shared" si="267"/>
        <v>6.42027E+23</v>
      </c>
      <c r="Q271" s="152">
        <f t="shared" si="267"/>
        <v>1.6619E+29</v>
      </c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6">
        <v>268.0</v>
      </c>
      <c r="C272" s="152">
        <f t="shared" ref="C272:Q272" si="268">C271/(1-C$2*C$3^($B272-1))</f>
        <v>5.241156876</v>
      </c>
      <c r="D272" s="152">
        <f t="shared" si="268"/>
        <v>14.98396114</v>
      </c>
      <c r="E272" s="152">
        <f t="shared" si="268"/>
        <v>50.32254828</v>
      </c>
      <c r="F272" s="152">
        <f t="shared" si="268"/>
        <v>229.3751008</v>
      </c>
      <c r="G272" s="152">
        <f t="shared" si="268"/>
        <v>1385.321509</v>
      </c>
      <c r="H272" s="152">
        <f t="shared" si="268"/>
        <v>12486.92327</v>
      </c>
      <c r="I272" s="152">
        <f t="shared" si="268"/>
        <v>183956.7563</v>
      </c>
      <c r="J272" s="152">
        <f t="shared" si="268"/>
        <v>4765462.655</v>
      </c>
      <c r="K272" s="152">
        <f t="shared" si="268"/>
        <v>230456477.2</v>
      </c>
      <c r="L272" s="152">
        <f t="shared" si="268"/>
        <v>24110880017</v>
      </c>
      <c r="M272" s="152">
        <f t="shared" si="268"/>
        <v>6852264241486</v>
      </c>
      <c r="N272" s="152">
        <f t="shared" si="268"/>
        <v>6.39929E+15</v>
      </c>
      <c r="O272" s="152">
        <f t="shared" si="268"/>
        <v>2.57883E+19</v>
      </c>
      <c r="P272" s="152">
        <f t="shared" si="268"/>
        <v>6.43163E+23</v>
      </c>
      <c r="Q272" s="152">
        <f t="shared" si="268"/>
        <v>1.66884E+29</v>
      </c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6">
        <v>269.0</v>
      </c>
      <c r="C273" s="152">
        <f t="shared" ref="C273:Q273" si="269">C272/(1-C$2*C$3^($B273-1))</f>
        <v>5.241156894</v>
      </c>
      <c r="D273" s="152">
        <f t="shared" si="269"/>
        <v>14.98396134</v>
      </c>
      <c r="E273" s="152">
        <f t="shared" si="269"/>
        <v>50.32255033</v>
      </c>
      <c r="F273" s="152">
        <f t="shared" si="269"/>
        <v>229.3751289</v>
      </c>
      <c r="G273" s="152">
        <f t="shared" si="269"/>
        <v>1385.321997</v>
      </c>
      <c r="H273" s="152">
        <f t="shared" si="269"/>
        <v>12486.93555</v>
      </c>
      <c r="I273" s="152">
        <f t="shared" si="269"/>
        <v>183957.2492</v>
      </c>
      <c r="J273" s="152">
        <f t="shared" si="269"/>
        <v>4765496.668</v>
      </c>
      <c r="K273" s="152">
        <f t="shared" si="269"/>
        <v>230460761.5</v>
      </c>
      <c r="L273" s="152">
        <f t="shared" si="269"/>
        <v>24112025432</v>
      </c>
      <c r="M273" s="152">
        <f t="shared" si="269"/>
        <v>6853082876105</v>
      </c>
      <c r="N273" s="152">
        <f t="shared" si="269"/>
        <v>6.40118E+15</v>
      </c>
      <c r="O273" s="152">
        <f t="shared" si="269"/>
        <v>2.58069E+19</v>
      </c>
      <c r="P273" s="152">
        <f t="shared" si="269"/>
        <v>6.44274E+23</v>
      </c>
      <c r="Q273" s="152">
        <f t="shared" si="269"/>
        <v>1.67566E+29</v>
      </c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6">
        <v>270.0</v>
      </c>
      <c r="C274" s="152">
        <f t="shared" ref="C274:Q274" si="270">C273/(1-C$2*C$3^($B274-1))</f>
        <v>5.241156912</v>
      </c>
      <c r="D274" s="152">
        <f t="shared" si="270"/>
        <v>14.98396152</v>
      </c>
      <c r="E274" s="152">
        <f t="shared" si="270"/>
        <v>50.32255226</v>
      </c>
      <c r="F274" s="152">
        <f t="shared" si="270"/>
        <v>229.3751556</v>
      </c>
      <c r="G274" s="152">
        <f t="shared" si="270"/>
        <v>1385.32246</v>
      </c>
      <c r="H274" s="152">
        <f t="shared" si="270"/>
        <v>12486.94725</v>
      </c>
      <c r="I274" s="152">
        <f t="shared" si="270"/>
        <v>183957.7204</v>
      </c>
      <c r="J274" s="152">
        <f t="shared" si="270"/>
        <v>4765529.287</v>
      </c>
      <c r="K274" s="152">
        <f t="shared" si="270"/>
        <v>230464883.2</v>
      </c>
      <c r="L274" s="152">
        <f t="shared" si="270"/>
        <v>24113130807</v>
      </c>
      <c r="M274" s="152">
        <f t="shared" si="270"/>
        <v>6853875406059</v>
      </c>
      <c r="N274" s="152">
        <f t="shared" si="270"/>
        <v>6.40301E+15</v>
      </c>
      <c r="O274" s="152">
        <f t="shared" si="270"/>
        <v>2.5825E+19</v>
      </c>
      <c r="P274" s="152">
        <f t="shared" si="270"/>
        <v>6.45361E+23</v>
      </c>
      <c r="Q274" s="152">
        <f t="shared" si="270"/>
        <v>1.68238E+29</v>
      </c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6">
        <v>271.0</v>
      </c>
      <c r="C275" s="152">
        <f t="shared" ref="C275:Q275" si="271">C274/(1-C$2*C$3^($B275-1))</f>
        <v>5.241156928</v>
      </c>
      <c r="D275" s="152">
        <f t="shared" si="271"/>
        <v>14.98396169</v>
      </c>
      <c r="E275" s="152">
        <f t="shared" si="271"/>
        <v>50.32255408</v>
      </c>
      <c r="F275" s="152">
        <f t="shared" si="271"/>
        <v>229.3751808</v>
      </c>
      <c r="G275" s="152">
        <f t="shared" si="271"/>
        <v>1385.322901</v>
      </c>
      <c r="H275" s="152">
        <f t="shared" si="271"/>
        <v>12486.9584</v>
      </c>
      <c r="I275" s="152">
        <f t="shared" si="271"/>
        <v>183958.1708</v>
      </c>
      <c r="J275" s="152">
        <f t="shared" si="271"/>
        <v>4765560.569</v>
      </c>
      <c r="K275" s="152">
        <f t="shared" si="271"/>
        <v>230468848.2</v>
      </c>
      <c r="L275" s="152">
        <f t="shared" si="271"/>
        <v>24114197542</v>
      </c>
      <c r="M275" s="152">
        <f t="shared" si="271"/>
        <v>6854642660934</v>
      </c>
      <c r="N275" s="152">
        <f t="shared" si="271"/>
        <v>6.4048E+15</v>
      </c>
      <c r="O275" s="152">
        <f t="shared" si="271"/>
        <v>2.58426E+19</v>
      </c>
      <c r="P275" s="152">
        <f t="shared" si="271"/>
        <v>6.46425E+23</v>
      </c>
      <c r="Q275" s="152">
        <f t="shared" si="271"/>
        <v>1.68898E+29</v>
      </c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6">
        <v>272.0</v>
      </c>
      <c r="C276" s="152">
        <f t="shared" ref="C276:Q276" si="272">C275/(1-C$2*C$3^($B276-1))</f>
        <v>5.241156944</v>
      </c>
      <c r="D276" s="152">
        <f t="shared" si="272"/>
        <v>14.98396185</v>
      </c>
      <c r="E276" s="152">
        <f t="shared" si="272"/>
        <v>50.3225558</v>
      </c>
      <c r="F276" s="152">
        <f t="shared" si="272"/>
        <v>229.3752047</v>
      </c>
      <c r="G276" s="152">
        <f t="shared" si="272"/>
        <v>1385.323319</v>
      </c>
      <c r="H276" s="152">
        <f t="shared" si="272"/>
        <v>12486.96902</v>
      </c>
      <c r="I276" s="152">
        <f t="shared" si="272"/>
        <v>183958.6015</v>
      </c>
      <c r="J276" s="152">
        <f t="shared" si="272"/>
        <v>4765590.569</v>
      </c>
      <c r="K276" s="152">
        <f t="shared" si="272"/>
        <v>230472662.7</v>
      </c>
      <c r="L276" s="152">
        <f t="shared" si="272"/>
        <v>24115226985</v>
      </c>
      <c r="M276" s="152">
        <f t="shared" si="272"/>
        <v>6855385444134</v>
      </c>
      <c r="N276" s="152">
        <f t="shared" si="272"/>
        <v>6.40653E+15</v>
      </c>
      <c r="O276" s="152">
        <f t="shared" si="272"/>
        <v>2.58598E+19</v>
      </c>
      <c r="P276" s="152">
        <f t="shared" si="272"/>
        <v>6.47466E+23</v>
      </c>
      <c r="Q276" s="152">
        <f t="shared" si="272"/>
        <v>1.69548E+29</v>
      </c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6">
        <v>273.0</v>
      </c>
      <c r="C277" s="152">
        <f t="shared" ref="C277:Q277" si="273">C276/(1-C$2*C$3^($B277-1))</f>
        <v>5.241156958</v>
      </c>
      <c r="D277" s="152">
        <f t="shared" si="273"/>
        <v>14.983962</v>
      </c>
      <c r="E277" s="152">
        <f t="shared" si="273"/>
        <v>50.32255742</v>
      </c>
      <c r="F277" s="152">
        <f t="shared" si="273"/>
        <v>229.3752273</v>
      </c>
      <c r="G277" s="152">
        <f t="shared" si="273"/>
        <v>1385.323717</v>
      </c>
      <c r="H277" s="152">
        <f t="shared" si="273"/>
        <v>12486.97915</v>
      </c>
      <c r="I277" s="152">
        <f t="shared" si="273"/>
        <v>183959.0131</v>
      </c>
      <c r="J277" s="152">
        <f t="shared" si="273"/>
        <v>4765619.339</v>
      </c>
      <c r="K277" s="152">
        <f t="shared" si="273"/>
        <v>230476332.2</v>
      </c>
      <c r="L277" s="152">
        <f t="shared" si="273"/>
        <v>24116220438</v>
      </c>
      <c r="M277" s="152">
        <f t="shared" si="273"/>
        <v>6856104533692</v>
      </c>
      <c r="N277" s="152">
        <f t="shared" si="273"/>
        <v>6.40822E+15</v>
      </c>
      <c r="O277" s="152">
        <f t="shared" si="273"/>
        <v>2.58766E+19</v>
      </c>
      <c r="P277" s="152">
        <f t="shared" si="273"/>
        <v>6.48485E+23</v>
      </c>
      <c r="Q277" s="152">
        <f t="shared" si="273"/>
        <v>1.70187E+29</v>
      </c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6">
        <v>274.0</v>
      </c>
      <c r="C278" s="152">
        <f t="shared" ref="C278:Q278" si="274">C277/(1-C$2*C$3^($B278-1))</f>
        <v>5.241156972</v>
      </c>
      <c r="D278" s="152">
        <f t="shared" si="274"/>
        <v>14.98396214</v>
      </c>
      <c r="E278" s="152">
        <f t="shared" si="274"/>
        <v>50.32255896</v>
      </c>
      <c r="F278" s="152">
        <f t="shared" si="274"/>
        <v>229.3752487</v>
      </c>
      <c r="G278" s="152">
        <f t="shared" si="274"/>
        <v>1385.324094</v>
      </c>
      <c r="H278" s="152">
        <f t="shared" si="274"/>
        <v>12486.9888</v>
      </c>
      <c r="I278" s="152">
        <f t="shared" si="274"/>
        <v>183959.4067</v>
      </c>
      <c r="J278" s="152">
        <f t="shared" si="274"/>
        <v>4765646.929</v>
      </c>
      <c r="K278" s="152">
        <f t="shared" si="274"/>
        <v>230479862.4</v>
      </c>
      <c r="L278" s="152">
        <f t="shared" si="274"/>
        <v>24117179159</v>
      </c>
      <c r="M278" s="152">
        <f t="shared" si="274"/>
        <v>6856800683063</v>
      </c>
      <c r="N278" s="152">
        <f t="shared" si="274"/>
        <v>6.40985E+15</v>
      </c>
      <c r="O278" s="152">
        <f t="shared" si="274"/>
        <v>2.58929E+19</v>
      </c>
      <c r="P278" s="152">
        <f t="shared" si="274"/>
        <v>6.49482E+23</v>
      </c>
      <c r="Q278" s="152">
        <f t="shared" si="274"/>
        <v>1.70816E+29</v>
      </c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6">
        <v>275.0</v>
      </c>
      <c r="C279" s="152">
        <f t="shared" ref="C279:Q279" si="275">C278/(1-C$2*C$3^($B279-1))</f>
        <v>5.241156984</v>
      </c>
      <c r="D279" s="152">
        <f t="shared" si="275"/>
        <v>14.98396227</v>
      </c>
      <c r="E279" s="152">
        <f t="shared" si="275"/>
        <v>50.3225604</v>
      </c>
      <c r="F279" s="152">
        <f t="shared" si="275"/>
        <v>229.375269</v>
      </c>
      <c r="G279" s="152">
        <f t="shared" si="275"/>
        <v>1385.324453</v>
      </c>
      <c r="H279" s="152">
        <f t="shared" si="275"/>
        <v>12486.99799</v>
      </c>
      <c r="I279" s="152">
        <f t="shared" si="275"/>
        <v>183959.783</v>
      </c>
      <c r="J279" s="152">
        <f t="shared" si="275"/>
        <v>4765673.389</v>
      </c>
      <c r="K279" s="152">
        <f t="shared" si="275"/>
        <v>230483258.5</v>
      </c>
      <c r="L279" s="152">
        <f t="shared" si="275"/>
        <v>24118104360</v>
      </c>
      <c r="M279" s="152">
        <f t="shared" si="275"/>
        <v>6857474621886</v>
      </c>
      <c r="N279" s="152">
        <f t="shared" si="275"/>
        <v>6.41144E+15</v>
      </c>
      <c r="O279" s="152">
        <f t="shared" si="275"/>
        <v>2.59088E+19</v>
      </c>
      <c r="P279" s="152">
        <f t="shared" si="275"/>
        <v>6.50458E+23</v>
      </c>
      <c r="Q279" s="152">
        <f t="shared" si="275"/>
        <v>1.71435E+29</v>
      </c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6">
        <v>276.0</v>
      </c>
      <c r="C280" s="152">
        <f t="shared" ref="C280:Q280" si="276">C279/(1-C$2*C$3^($B280-1))</f>
        <v>5.241156996</v>
      </c>
      <c r="D280" s="152">
        <f t="shared" si="276"/>
        <v>14.9839624</v>
      </c>
      <c r="E280" s="152">
        <f t="shared" si="276"/>
        <v>50.32256177</v>
      </c>
      <c r="F280" s="152">
        <f t="shared" si="276"/>
        <v>229.3752882</v>
      </c>
      <c r="G280" s="152">
        <f t="shared" si="276"/>
        <v>1385.324794</v>
      </c>
      <c r="H280" s="152">
        <f t="shared" si="276"/>
        <v>12487.00676</v>
      </c>
      <c r="I280" s="152">
        <f t="shared" si="276"/>
        <v>183960.1427</v>
      </c>
      <c r="J280" s="152">
        <f t="shared" si="276"/>
        <v>4765698.763</v>
      </c>
      <c r="K280" s="152">
        <f t="shared" si="276"/>
        <v>230486525.6</v>
      </c>
      <c r="L280" s="152">
        <f t="shared" si="276"/>
        <v>24118997212</v>
      </c>
      <c r="M280" s="152">
        <f t="shared" si="276"/>
        <v>6858127056736</v>
      </c>
      <c r="N280" s="152">
        <f t="shared" si="276"/>
        <v>6.41298E+15</v>
      </c>
      <c r="O280" s="152">
        <f t="shared" si="276"/>
        <v>2.59243E+19</v>
      </c>
      <c r="P280" s="152">
        <f t="shared" si="276"/>
        <v>6.51412E+23</v>
      </c>
      <c r="Q280" s="152">
        <f t="shared" si="276"/>
        <v>1.72043E+29</v>
      </c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6">
        <v>277.0</v>
      </c>
      <c r="C281" s="152">
        <f t="shared" ref="C281:Q281" si="277">C280/(1-C$2*C$3^($B281-1))</f>
        <v>5.241157007</v>
      </c>
      <c r="D281" s="152">
        <f t="shared" si="277"/>
        <v>14.98396252</v>
      </c>
      <c r="E281" s="152">
        <f t="shared" si="277"/>
        <v>50.32256306</v>
      </c>
      <c r="F281" s="152">
        <f t="shared" si="277"/>
        <v>229.3753064</v>
      </c>
      <c r="G281" s="152">
        <f t="shared" si="277"/>
        <v>1385.325118</v>
      </c>
      <c r="H281" s="152">
        <f t="shared" si="277"/>
        <v>12487.01511</v>
      </c>
      <c r="I281" s="152">
        <f t="shared" si="277"/>
        <v>183960.4866</v>
      </c>
      <c r="J281" s="152">
        <f t="shared" si="277"/>
        <v>4765723.098</v>
      </c>
      <c r="K281" s="152">
        <f t="shared" si="277"/>
        <v>230489668.5</v>
      </c>
      <c r="L281" s="152">
        <f t="shared" si="277"/>
        <v>24119858845</v>
      </c>
      <c r="M281" s="152">
        <f t="shared" si="277"/>
        <v>6858758671835</v>
      </c>
      <c r="N281" s="152">
        <f t="shared" si="277"/>
        <v>6.41448E+15</v>
      </c>
      <c r="O281" s="152">
        <f t="shared" si="277"/>
        <v>2.59394E+19</v>
      </c>
      <c r="P281" s="152">
        <f t="shared" si="277"/>
        <v>6.52346E+23</v>
      </c>
      <c r="Q281" s="152">
        <f t="shared" si="277"/>
        <v>1.72641E+29</v>
      </c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6">
        <v>278.0</v>
      </c>
      <c r="C282" s="152">
        <f t="shared" ref="C282:Q282" si="278">C281/(1-C$2*C$3^($B282-1))</f>
        <v>5.241157018</v>
      </c>
      <c r="D282" s="152">
        <f t="shared" si="278"/>
        <v>14.98396263</v>
      </c>
      <c r="E282" s="152">
        <f t="shared" si="278"/>
        <v>50.32256428</v>
      </c>
      <c r="F282" s="152">
        <f t="shared" si="278"/>
        <v>229.3753236</v>
      </c>
      <c r="G282" s="152">
        <f t="shared" si="278"/>
        <v>1385.325425</v>
      </c>
      <c r="H282" s="152">
        <f t="shared" si="278"/>
        <v>12487.02307</v>
      </c>
      <c r="I282" s="152">
        <f t="shared" si="278"/>
        <v>183960.8153</v>
      </c>
      <c r="J282" s="152">
        <f t="shared" si="278"/>
        <v>4765746.435</v>
      </c>
      <c r="K282" s="152">
        <f t="shared" si="278"/>
        <v>230492692.1</v>
      </c>
      <c r="L282" s="152">
        <f t="shared" si="278"/>
        <v>24120690349</v>
      </c>
      <c r="M282" s="152">
        <f t="shared" si="278"/>
        <v>6859370129757</v>
      </c>
      <c r="N282" s="152">
        <f t="shared" si="278"/>
        <v>6.41593E+15</v>
      </c>
      <c r="O282" s="152">
        <f t="shared" si="278"/>
        <v>2.59542E+19</v>
      </c>
      <c r="P282" s="152">
        <f t="shared" si="278"/>
        <v>6.5326E+23</v>
      </c>
      <c r="Q282" s="152">
        <f t="shared" si="278"/>
        <v>1.73229E+29</v>
      </c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6">
        <v>279.0</v>
      </c>
      <c r="C283" s="152">
        <f t="shared" ref="C283:Q283" si="279">C282/(1-C$2*C$3^($B283-1))</f>
        <v>5.241157028</v>
      </c>
      <c r="D283" s="152">
        <f t="shared" si="279"/>
        <v>14.98396273</v>
      </c>
      <c r="E283" s="152">
        <f t="shared" si="279"/>
        <v>50.32256542</v>
      </c>
      <c r="F283" s="152">
        <f t="shared" si="279"/>
        <v>229.3753399</v>
      </c>
      <c r="G283" s="152">
        <f t="shared" si="279"/>
        <v>1385.325717</v>
      </c>
      <c r="H283" s="152">
        <f t="shared" si="279"/>
        <v>12487.03066</v>
      </c>
      <c r="I283" s="152">
        <f t="shared" si="279"/>
        <v>183961.1296</v>
      </c>
      <c r="J283" s="152">
        <f t="shared" si="279"/>
        <v>4765768.815</v>
      </c>
      <c r="K283" s="152">
        <f t="shared" si="279"/>
        <v>230495600.8</v>
      </c>
      <c r="L283" s="152">
        <f t="shared" si="279"/>
        <v>24121492777</v>
      </c>
      <c r="M283" s="152">
        <f t="shared" si="279"/>
        <v>6859962072104</v>
      </c>
      <c r="N283" s="152">
        <f t="shared" si="279"/>
        <v>6.41735E+15</v>
      </c>
      <c r="O283" s="152">
        <f t="shared" si="279"/>
        <v>2.59685E+19</v>
      </c>
      <c r="P283" s="152">
        <f t="shared" si="279"/>
        <v>6.54154E+23</v>
      </c>
      <c r="Q283" s="152">
        <f t="shared" si="279"/>
        <v>1.73808E+29</v>
      </c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6">
        <v>280.0</v>
      </c>
      <c r="C284" s="152">
        <f t="shared" ref="C284:Q284" si="280">C283/(1-C$2*C$3^($B284-1))</f>
        <v>5.241157037</v>
      </c>
      <c r="D284" s="152">
        <f t="shared" si="280"/>
        <v>14.98396283</v>
      </c>
      <c r="E284" s="152">
        <f t="shared" si="280"/>
        <v>50.32256651</v>
      </c>
      <c r="F284" s="152">
        <f t="shared" si="280"/>
        <v>229.3753554</v>
      </c>
      <c r="G284" s="152">
        <f t="shared" si="280"/>
        <v>1385.325995</v>
      </c>
      <c r="H284" s="152">
        <f t="shared" si="280"/>
        <v>12487.03789</v>
      </c>
      <c r="I284" s="152">
        <f t="shared" si="280"/>
        <v>183961.43</v>
      </c>
      <c r="J284" s="152">
        <f t="shared" si="280"/>
        <v>4765790.277</v>
      </c>
      <c r="K284" s="152">
        <f t="shared" si="280"/>
        <v>230498399</v>
      </c>
      <c r="L284" s="152">
        <f t="shared" si="280"/>
        <v>24122267146</v>
      </c>
      <c r="M284" s="152">
        <f t="shared" si="280"/>
        <v>6860535120162</v>
      </c>
      <c r="N284" s="152">
        <f t="shared" si="280"/>
        <v>6.41872E+15</v>
      </c>
      <c r="O284" s="152">
        <f t="shared" si="280"/>
        <v>2.59825E+19</v>
      </c>
      <c r="P284" s="152">
        <f t="shared" si="280"/>
        <v>6.55028E+23</v>
      </c>
      <c r="Q284" s="152">
        <f t="shared" si="280"/>
        <v>1.74376E+29</v>
      </c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6">
        <v>281.0</v>
      </c>
      <c r="C285" s="152">
        <f t="shared" ref="C285:Q285" si="281">C284/(1-C$2*C$3^($B285-1))</f>
        <v>5.241157045</v>
      </c>
      <c r="D285" s="152">
        <f t="shared" si="281"/>
        <v>14.98396292</v>
      </c>
      <c r="E285" s="152">
        <f t="shared" si="281"/>
        <v>50.32256753</v>
      </c>
      <c r="F285" s="152">
        <f t="shared" si="281"/>
        <v>229.37537</v>
      </c>
      <c r="G285" s="152">
        <f t="shared" si="281"/>
        <v>1385.326259</v>
      </c>
      <c r="H285" s="152">
        <f t="shared" si="281"/>
        <v>12487.04478</v>
      </c>
      <c r="I285" s="152">
        <f t="shared" si="281"/>
        <v>183961.7173</v>
      </c>
      <c r="J285" s="152">
        <f t="shared" si="281"/>
        <v>4765810.86</v>
      </c>
      <c r="K285" s="152">
        <f t="shared" si="281"/>
        <v>230501090.9</v>
      </c>
      <c r="L285" s="152">
        <f t="shared" si="281"/>
        <v>24123014434</v>
      </c>
      <c r="M285" s="152">
        <f t="shared" si="281"/>
        <v>6861089875537</v>
      </c>
      <c r="N285" s="152">
        <f t="shared" si="281"/>
        <v>6.42005E+15</v>
      </c>
      <c r="O285" s="152">
        <f t="shared" si="281"/>
        <v>2.59961E+19</v>
      </c>
      <c r="P285" s="152">
        <f t="shared" si="281"/>
        <v>6.55884E+23</v>
      </c>
      <c r="Q285" s="152">
        <f t="shared" si="281"/>
        <v>1.74935E+29</v>
      </c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6">
        <v>282.0</v>
      </c>
      <c r="C286" s="152">
        <f t="shared" ref="C286:Q286" si="282">C285/(1-C$2*C$3^($B286-1))</f>
        <v>5.241157054</v>
      </c>
      <c r="D286" s="152">
        <f t="shared" si="282"/>
        <v>14.98396301</v>
      </c>
      <c r="E286" s="152">
        <f t="shared" si="282"/>
        <v>50.3225685</v>
      </c>
      <c r="F286" s="152">
        <f t="shared" si="282"/>
        <v>229.3753838</v>
      </c>
      <c r="G286" s="152">
        <f t="shared" si="282"/>
        <v>1385.326509</v>
      </c>
      <c r="H286" s="152">
        <f t="shared" si="282"/>
        <v>12487.05134</v>
      </c>
      <c r="I286" s="152">
        <f t="shared" si="282"/>
        <v>183961.9919</v>
      </c>
      <c r="J286" s="152">
        <f t="shared" si="282"/>
        <v>4765830.599</v>
      </c>
      <c r="K286" s="152">
        <f t="shared" si="282"/>
        <v>230503680.6</v>
      </c>
      <c r="L286" s="152">
        <f t="shared" si="282"/>
        <v>24123735589</v>
      </c>
      <c r="M286" s="152">
        <f t="shared" si="282"/>
        <v>6861626920773</v>
      </c>
      <c r="N286" s="152">
        <f t="shared" si="282"/>
        <v>6.42135E+15</v>
      </c>
      <c r="O286" s="152">
        <f t="shared" si="282"/>
        <v>2.60094E+19</v>
      </c>
      <c r="P286" s="152">
        <f t="shared" si="282"/>
        <v>6.56721E+23</v>
      </c>
      <c r="Q286" s="152">
        <f t="shared" si="282"/>
        <v>1.75485E+29</v>
      </c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6">
        <v>283.0</v>
      </c>
      <c r="C287" s="152">
        <f t="shared" ref="C287:Q287" si="283">C286/(1-C$2*C$3^($B287-1))</f>
        <v>5.241157061</v>
      </c>
      <c r="D287" s="152">
        <f t="shared" si="283"/>
        <v>14.98396309</v>
      </c>
      <c r="E287" s="152">
        <f t="shared" si="283"/>
        <v>50.32256941</v>
      </c>
      <c r="F287" s="152">
        <f t="shared" si="283"/>
        <v>229.375397</v>
      </c>
      <c r="G287" s="152">
        <f t="shared" si="283"/>
        <v>1385.326747</v>
      </c>
      <c r="H287" s="152">
        <f t="shared" si="283"/>
        <v>12487.0576</v>
      </c>
      <c r="I287" s="152">
        <f t="shared" si="283"/>
        <v>183962.2544</v>
      </c>
      <c r="J287" s="152">
        <f t="shared" si="283"/>
        <v>4765849.529</v>
      </c>
      <c r="K287" s="152">
        <f t="shared" si="283"/>
        <v>230506171.9</v>
      </c>
      <c r="L287" s="152">
        <f t="shared" si="283"/>
        <v>24124431524</v>
      </c>
      <c r="M287" s="152">
        <f t="shared" si="283"/>
        <v>6862146819951</v>
      </c>
      <c r="N287" s="152">
        <f t="shared" si="283"/>
        <v>6.4226E+15</v>
      </c>
      <c r="O287" s="152">
        <f t="shared" si="283"/>
        <v>2.60224E+19</v>
      </c>
      <c r="P287" s="152">
        <f t="shared" si="283"/>
        <v>6.5754E+23</v>
      </c>
      <c r="Q287" s="152">
        <f t="shared" si="283"/>
        <v>1.76025E+29</v>
      </c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6">
        <v>284.0</v>
      </c>
      <c r="C288" s="152">
        <f t="shared" ref="C288:Q288" si="284">C287/(1-C$2*C$3^($B288-1))</f>
        <v>5.241157068</v>
      </c>
      <c r="D288" s="152">
        <f t="shared" si="284"/>
        <v>14.98396317</v>
      </c>
      <c r="E288" s="152">
        <f t="shared" si="284"/>
        <v>50.32257027</v>
      </c>
      <c r="F288" s="152">
        <f t="shared" si="284"/>
        <v>229.3754094</v>
      </c>
      <c r="G288" s="152">
        <f t="shared" si="284"/>
        <v>1385.326973</v>
      </c>
      <c r="H288" s="152">
        <f t="shared" si="284"/>
        <v>12487.06356</v>
      </c>
      <c r="I288" s="152">
        <f t="shared" si="284"/>
        <v>183962.5054</v>
      </c>
      <c r="J288" s="152">
        <f t="shared" si="284"/>
        <v>4765867.682</v>
      </c>
      <c r="K288" s="152">
        <f t="shared" si="284"/>
        <v>230508568.5</v>
      </c>
      <c r="L288" s="152">
        <f t="shared" si="284"/>
        <v>24125103120</v>
      </c>
      <c r="M288" s="152">
        <f t="shared" si="284"/>
        <v>6862650119267</v>
      </c>
      <c r="N288" s="152">
        <f t="shared" si="284"/>
        <v>6.42382E+15</v>
      </c>
      <c r="O288" s="152">
        <f t="shared" si="284"/>
        <v>2.6035E+19</v>
      </c>
      <c r="P288" s="152">
        <f t="shared" si="284"/>
        <v>6.5834E+23</v>
      </c>
      <c r="Q288" s="152">
        <f t="shared" si="284"/>
        <v>1.76556E+29</v>
      </c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6">
        <v>285.0</v>
      </c>
      <c r="C289" s="152">
        <f t="shared" ref="C289:Q289" si="285">C288/(1-C$2*C$3^($B289-1))</f>
        <v>5.241157075</v>
      </c>
      <c r="D289" s="152">
        <f t="shared" si="285"/>
        <v>14.98396324</v>
      </c>
      <c r="E289" s="152">
        <f t="shared" si="285"/>
        <v>50.32257109</v>
      </c>
      <c r="F289" s="152">
        <f t="shared" si="285"/>
        <v>229.3754211</v>
      </c>
      <c r="G289" s="152">
        <f t="shared" si="285"/>
        <v>1385.327188</v>
      </c>
      <c r="H289" s="152">
        <f t="shared" si="285"/>
        <v>12487.06924</v>
      </c>
      <c r="I289" s="152">
        <f t="shared" si="285"/>
        <v>183962.7453</v>
      </c>
      <c r="J289" s="152">
        <f t="shared" si="285"/>
        <v>4765885.092</v>
      </c>
      <c r="K289" s="152">
        <f t="shared" si="285"/>
        <v>230510874.1</v>
      </c>
      <c r="L289" s="152">
        <f t="shared" si="285"/>
        <v>24125751227</v>
      </c>
      <c r="M289" s="152">
        <f t="shared" si="285"/>
        <v>6863137347593</v>
      </c>
      <c r="N289" s="152">
        <f t="shared" si="285"/>
        <v>6.42501E+15</v>
      </c>
      <c r="O289" s="152">
        <f t="shared" si="285"/>
        <v>2.60473E+19</v>
      </c>
      <c r="P289" s="152">
        <f t="shared" si="285"/>
        <v>6.59124E+23</v>
      </c>
      <c r="Q289" s="152">
        <f t="shared" si="285"/>
        <v>1.77078E+29</v>
      </c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6">
        <v>286.0</v>
      </c>
      <c r="C290" s="152">
        <f t="shared" ref="C290:Q290" si="286">C289/(1-C$2*C$3^($B290-1))</f>
        <v>5.241157081</v>
      </c>
      <c r="D290" s="152">
        <f t="shared" si="286"/>
        <v>14.98396331</v>
      </c>
      <c r="E290" s="152">
        <f t="shared" si="286"/>
        <v>50.32257186</v>
      </c>
      <c r="F290" s="152">
        <f t="shared" si="286"/>
        <v>229.3754323</v>
      </c>
      <c r="G290" s="152">
        <f t="shared" si="286"/>
        <v>1385.327392</v>
      </c>
      <c r="H290" s="152">
        <f t="shared" si="286"/>
        <v>12487.07466</v>
      </c>
      <c r="I290" s="152">
        <f t="shared" si="286"/>
        <v>183962.9746</v>
      </c>
      <c r="J290" s="152">
        <f t="shared" si="286"/>
        <v>4765901.787</v>
      </c>
      <c r="K290" s="152">
        <f t="shared" si="286"/>
        <v>230513092.1</v>
      </c>
      <c r="L290" s="152">
        <f t="shared" si="286"/>
        <v>24126376666</v>
      </c>
      <c r="M290" s="152">
        <f t="shared" si="286"/>
        <v>6863609017027</v>
      </c>
      <c r="N290" s="152">
        <f t="shared" si="286"/>
        <v>6.42616E+15</v>
      </c>
      <c r="O290" s="152">
        <f t="shared" si="286"/>
        <v>2.60593E+19</v>
      </c>
      <c r="P290" s="152">
        <f t="shared" si="286"/>
        <v>6.5989E+23</v>
      </c>
      <c r="Q290" s="152">
        <f t="shared" si="286"/>
        <v>1.77591E+29</v>
      </c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6">
        <v>287.0</v>
      </c>
      <c r="C291" s="152">
        <f t="shared" ref="C291:Q291" si="287">C290/(1-C$2*C$3^($B291-1))</f>
        <v>5.241157087</v>
      </c>
      <c r="D291" s="152">
        <f t="shared" si="287"/>
        <v>14.98396337</v>
      </c>
      <c r="E291" s="152">
        <f t="shared" si="287"/>
        <v>50.32257258</v>
      </c>
      <c r="F291" s="152">
        <f t="shared" si="287"/>
        <v>229.3754428</v>
      </c>
      <c r="G291" s="152">
        <f t="shared" si="287"/>
        <v>1385.327586</v>
      </c>
      <c r="H291" s="152">
        <f t="shared" si="287"/>
        <v>12487.07982</v>
      </c>
      <c r="I291" s="152">
        <f t="shared" si="287"/>
        <v>183963.1939</v>
      </c>
      <c r="J291" s="152">
        <f t="shared" si="287"/>
        <v>4765917.799</v>
      </c>
      <c r="K291" s="152">
        <f t="shared" si="287"/>
        <v>230515225.8</v>
      </c>
      <c r="L291" s="152">
        <f t="shared" si="287"/>
        <v>24126980231</v>
      </c>
      <c r="M291" s="152">
        <f t="shared" si="287"/>
        <v>6864065623413</v>
      </c>
      <c r="N291" s="152">
        <f t="shared" si="287"/>
        <v>6.42728E+15</v>
      </c>
      <c r="O291" s="152">
        <f t="shared" si="287"/>
        <v>2.60709E+19</v>
      </c>
      <c r="P291" s="152">
        <f t="shared" si="287"/>
        <v>6.60639E+23</v>
      </c>
      <c r="Q291" s="152">
        <f t="shared" si="287"/>
        <v>1.78095E+29</v>
      </c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6">
        <v>288.0</v>
      </c>
      <c r="C292" s="152">
        <f t="shared" ref="C292:Q292" si="288">C291/(1-C$2*C$3^($B292-1))</f>
        <v>5.241157093</v>
      </c>
      <c r="D292" s="152">
        <f t="shared" si="288"/>
        <v>14.98396343</v>
      </c>
      <c r="E292" s="152">
        <f t="shared" si="288"/>
        <v>50.32257326</v>
      </c>
      <c r="F292" s="152">
        <f t="shared" si="288"/>
        <v>229.3754528</v>
      </c>
      <c r="G292" s="152">
        <f t="shared" si="288"/>
        <v>1385.32777</v>
      </c>
      <c r="H292" s="152">
        <f t="shared" si="288"/>
        <v>12487.08474</v>
      </c>
      <c r="I292" s="152">
        <f t="shared" si="288"/>
        <v>183963.4035</v>
      </c>
      <c r="J292" s="152">
        <f t="shared" si="288"/>
        <v>4765933.153</v>
      </c>
      <c r="K292" s="152">
        <f t="shared" si="288"/>
        <v>230517278.5</v>
      </c>
      <c r="L292" s="152">
        <f t="shared" si="288"/>
        <v>24127562684</v>
      </c>
      <c r="M292" s="152">
        <f t="shared" si="288"/>
        <v>6864507646858</v>
      </c>
      <c r="N292" s="152">
        <f t="shared" si="288"/>
        <v>6.42836E+15</v>
      </c>
      <c r="O292" s="152">
        <f t="shared" si="288"/>
        <v>2.60823E+19</v>
      </c>
      <c r="P292" s="152">
        <f t="shared" si="288"/>
        <v>6.61372E+23</v>
      </c>
      <c r="Q292" s="152">
        <f t="shared" si="288"/>
        <v>1.78591E+29</v>
      </c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6">
        <v>289.0</v>
      </c>
      <c r="C293" s="152">
        <f t="shared" ref="C293:Q293" si="289">C292/(1-C$2*C$3^($B293-1))</f>
        <v>5.241157098</v>
      </c>
      <c r="D293" s="152">
        <f t="shared" si="289"/>
        <v>14.98396349</v>
      </c>
      <c r="E293" s="152">
        <f t="shared" si="289"/>
        <v>50.32257391</v>
      </c>
      <c r="F293" s="152">
        <f t="shared" si="289"/>
        <v>229.3754623</v>
      </c>
      <c r="G293" s="152">
        <f t="shared" si="289"/>
        <v>1385.327945</v>
      </c>
      <c r="H293" s="152">
        <f t="shared" si="289"/>
        <v>12487.08943</v>
      </c>
      <c r="I293" s="152">
        <f t="shared" si="289"/>
        <v>183963.6039</v>
      </c>
      <c r="J293" s="152">
        <f t="shared" si="289"/>
        <v>4765947.879</v>
      </c>
      <c r="K293" s="152">
        <f t="shared" si="289"/>
        <v>230519253.1</v>
      </c>
      <c r="L293" s="152">
        <f t="shared" si="289"/>
        <v>24128124765</v>
      </c>
      <c r="M293" s="152">
        <f t="shared" si="289"/>
        <v>6864935552224</v>
      </c>
      <c r="N293" s="152">
        <f t="shared" si="289"/>
        <v>6.42942E+15</v>
      </c>
      <c r="O293" s="152">
        <f t="shared" si="289"/>
        <v>2.60934E+19</v>
      </c>
      <c r="P293" s="152">
        <f t="shared" si="289"/>
        <v>6.62089E+23</v>
      </c>
      <c r="Q293" s="152">
        <f t="shared" si="289"/>
        <v>1.79078E+29</v>
      </c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6">
        <v>290.0</v>
      </c>
      <c r="C294" s="152">
        <f t="shared" ref="C294:Q294" si="290">C293/(1-C$2*C$3^($B294-1))</f>
        <v>5.241157103</v>
      </c>
      <c r="D294" s="152">
        <f t="shared" si="290"/>
        <v>14.98396354</v>
      </c>
      <c r="E294" s="152">
        <f t="shared" si="290"/>
        <v>50.32257452</v>
      </c>
      <c r="F294" s="152">
        <f t="shared" si="290"/>
        <v>229.3754713</v>
      </c>
      <c r="G294" s="152">
        <f t="shared" si="290"/>
        <v>1385.328111</v>
      </c>
      <c r="H294" s="152">
        <f t="shared" si="290"/>
        <v>12487.09389</v>
      </c>
      <c r="I294" s="152">
        <f t="shared" si="290"/>
        <v>183963.7955</v>
      </c>
      <c r="J294" s="152">
        <f t="shared" si="290"/>
        <v>4765962</v>
      </c>
      <c r="K294" s="152">
        <f t="shared" si="290"/>
        <v>230521152.8</v>
      </c>
      <c r="L294" s="152">
        <f t="shared" si="290"/>
        <v>24128667186</v>
      </c>
      <c r="M294" s="152">
        <f t="shared" si="290"/>
        <v>6865349789613</v>
      </c>
      <c r="N294" s="152">
        <f t="shared" si="290"/>
        <v>6.43044E+15</v>
      </c>
      <c r="O294" s="152">
        <f t="shared" si="290"/>
        <v>2.61042E+19</v>
      </c>
      <c r="P294" s="152">
        <f t="shared" si="290"/>
        <v>6.62791E+23</v>
      </c>
      <c r="Q294" s="152">
        <f t="shared" si="290"/>
        <v>1.79556E+29</v>
      </c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6">
        <v>291.0</v>
      </c>
      <c r="C295" s="152">
        <f t="shared" ref="C295:Q295" si="291">C294/(1-C$2*C$3^($B295-1))</f>
        <v>5.241157107</v>
      </c>
      <c r="D295" s="152">
        <f t="shared" si="291"/>
        <v>14.98396359</v>
      </c>
      <c r="E295" s="152">
        <f t="shared" si="291"/>
        <v>50.32257509</v>
      </c>
      <c r="F295" s="152">
        <f t="shared" si="291"/>
        <v>229.3754797</v>
      </c>
      <c r="G295" s="152">
        <f t="shared" si="291"/>
        <v>1385.328269</v>
      </c>
      <c r="H295" s="152">
        <f t="shared" si="291"/>
        <v>12487.09815</v>
      </c>
      <c r="I295" s="152">
        <f t="shared" si="291"/>
        <v>183963.9787</v>
      </c>
      <c r="J295" s="152">
        <f t="shared" si="291"/>
        <v>4765975.543</v>
      </c>
      <c r="K295" s="152">
        <f t="shared" si="291"/>
        <v>230522980.3</v>
      </c>
      <c r="L295" s="152">
        <f t="shared" si="291"/>
        <v>24129190633</v>
      </c>
      <c r="M295" s="152">
        <f t="shared" si="291"/>
        <v>6865750794827</v>
      </c>
      <c r="N295" s="152">
        <f t="shared" si="291"/>
        <v>6.43144E+15</v>
      </c>
      <c r="O295" s="152">
        <f t="shared" si="291"/>
        <v>2.61147E+19</v>
      </c>
      <c r="P295" s="152">
        <f t="shared" si="291"/>
        <v>6.63476E+23</v>
      </c>
      <c r="Q295" s="152">
        <f t="shared" si="291"/>
        <v>1.80026E+29</v>
      </c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6">
        <v>292.0</v>
      </c>
      <c r="C296" s="152">
        <f t="shared" ref="C296:Q296" si="292">C295/(1-C$2*C$3^($B296-1))</f>
        <v>5.241157111</v>
      </c>
      <c r="D296" s="152">
        <f t="shared" si="292"/>
        <v>14.98396364</v>
      </c>
      <c r="E296" s="152">
        <f t="shared" si="292"/>
        <v>50.32257564</v>
      </c>
      <c r="F296" s="152">
        <f t="shared" si="292"/>
        <v>229.3754878</v>
      </c>
      <c r="G296" s="152">
        <f t="shared" si="292"/>
        <v>1385.328419</v>
      </c>
      <c r="H296" s="152">
        <f t="shared" si="292"/>
        <v>12487.10221</v>
      </c>
      <c r="I296" s="152">
        <f t="shared" si="292"/>
        <v>183964.1538</v>
      </c>
      <c r="J296" s="152">
        <f t="shared" si="292"/>
        <v>4765988.531</v>
      </c>
      <c r="K296" s="152">
        <f t="shared" si="292"/>
        <v>230524738.3</v>
      </c>
      <c r="L296" s="152">
        <f t="shared" si="292"/>
        <v>24129695769</v>
      </c>
      <c r="M296" s="152">
        <f t="shared" si="292"/>
        <v>6866138989822</v>
      </c>
      <c r="N296" s="152">
        <f t="shared" si="292"/>
        <v>6.4324E+15</v>
      </c>
      <c r="O296" s="152">
        <f t="shared" si="292"/>
        <v>2.6125E+19</v>
      </c>
      <c r="P296" s="152">
        <f t="shared" si="292"/>
        <v>6.64147E+23</v>
      </c>
      <c r="Q296" s="152">
        <f t="shared" si="292"/>
        <v>1.80488E+29</v>
      </c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6">
        <v>293.0</v>
      </c>
      <c r="C297" s="152">
        <f t="shared" ref="C297:Q297" si="293">C296/(1-C$2*C$3^($B297-1))</f>
        <v>5.241157115</v>
      </c>
      <c r="D297" s="152">
        <f t="shared" si="293"/>
        <v>14.98396369</v>
      </c>
      <c r="E297" s="152">
        <f t="shared" si="293"/>
        <v>50.32257615</v>
      </c>
      <c r="F297" s="152">
        <f t="shared" si="293"/>
        <v>229.3754954</v>
      </c>
      <c r="G297" s="152">
        <f t="shared" si="293"/>
        <v>1385.328561</v>
      </c>
      <c r="H297" s="152">
        <f t="shared" si="293"/>
        <v>12487.10607</v>
      </c>
      <c r="I297" s="152">
        <f t="shared" si="293"/>
        <v>183964.3212</v>
      </c>
      <c r="J297" s="152">
        <f t="shared" si="293"/>
        <v>4766000.986</v>
      </c>
      <c r="K297" s="152">
        <f t="shared" si="293"/>
        <v>230526429.6</v>
      </c>
      <c r="L297" s="152">
        <f t="shared" si="293"/>
        <v>24130183236</v>
      </c>
      <c r="M297" s="152">
        <f t="shared" si="293"/>
        <v>6866514783143</v>
      </c>
      <c r="N297" s="152">
        <f t="shared" si="293"/>
        <v>6.43334E+15</v>
      </c>
      <c r="O297" s="152">
        <f t="shared" si="293"/>
        <v>2.6135E+19</v>
      </c>
      <c r="P297" s="152">
        <f t="shared" si="293"/>
        <v>6.64803E+23</v>
      </c>
      <c r="Q297" s="152">
        <f t="shared" si="293"/>
        <v>1.80942E+29</v>
      </c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6">
        <v>294.0</v>
      </c>
      <c r="C298" s="152">
        <f t="shared" ref="C298:Q298" si="294">C297/(1-C$2*C$3^($B298-1))</f>
        <v>5.241157119</v>
      </c>
      <c r="D298" s="152">
        <f t="shared" si="294"/>
        <v>14.98396373</v>
      </c>
      <c r="E298" s="152">
        <f t="shared" si="294"/>
        <v>50.32257663</v>
      </c>
      <c r="F298" s="152">
        <f t="shared" si="294"/>
        <v>229.3755026</v>
      </c>
      <c r="G298" s="152">
        <f t="shared" si="294"/>
        <v>1385.328697</v>
      </c>
      <c r="H298" s="152">
        <f t="shared" si="294"/>
        <v>12487.10976</v>
      </c>
      <c r="I298" s="152">
        <f t="shared" si="294"/>
        <v>183964.4812</v>
      </c>
      <c r="J298" s="152">
        <f t="shared" si="294"/>
        <v>4766012.93</v>
      </c>
      <c r="K298" s="152">
        <f t="shared" si="294"/>
        <v>230528056.6</v>
      </c>
      <c r="L298" s="152">
        <f t="shared" si="294"/>
        <v>24130653651</v>
      </c>
      <c r="M298" s="152">
        <f t="shared" si="294"/>
        <v>6866878570350</v>
      </c>
      <c r="N298" s="152">
        <f t="shared" si="294"/>
        <v>6.43425E+15</v>
      </c>
      <c r="O298" s="152">
        <f t="shared" si="294"/>
        <v>2.61447E+19</v>
      </c>
      <c r="P298" s="152">
        <f t="shared" si="294"/>
        <v>6.65444E+23</v>
      </c>
      <c r="Q298" s="152">
        <f t="shared" si="294"/>
        <v>1.81388E+29</v>
      </c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6">
        <v>295.0</v>
      </c>
      <c r="C299" s="152">
        <f t="shared" ref="C299:Q299" si="295">C298/(1-C$2*C$3^($B299-1))</f>
        <v>5.241157123</v>
      </c>
      <c r="D299" s="152">
        <f t="shared" si="295"/>
        <v>14.98396377</v>
      </c>
      <c r="E299" s="152">
        <f t="shared" si="295"/>
        <v>50.32257709</v>
      </c>
      <c r="F299" s="152">
        <f t="shared" si="295"/>
        <v>229.3755094</v>
      </c>
      <c r="G299" s="152">
        <f t="shared" si="295"/>
        <v>1385.328825</v>
      </c>
      <c r="H299" s="152">
        <f t="shared" si="295"/>
        <v>12487.11327</v>
      </c>
      <c r="I299" s="152">
        <f t="shared" si="295"/>
        <v>183964.6342</v>
      </c>
      <c r="J299" s="152">
        <f t="shared" si="295"/>
        <v>4766024.385</v>
      </c>
      <c r="K299" s="152">
        <f t="shared" si="295"/>
        <v>230529621.8</v>
      </c>
      <c r="L299" s="152">
        <f t="shared" si="295"/>
        <v>24131107610</v>
      </c>
      <c r="M299" s="152">
        <f t="shared" si="295"/>
        <v>6867230734427</v>
      </c>
      <c r="N299" s="152">
        <f t="shared" si="295"/>
        <v>6.43514E+15</v>
      </c>
      <c r="O299" s="152">
        <f t="shared" si="295"/>
        <v>2.61542E+19</v>
      </c>
      <c r="P299" s="152">
        <f t="shared" si="295"/>
        <v>6.66072E+23</v>
      </c>
      <c r="Q299" s="152">
        <f t="shared" si="295"/>
        <v>1.81826E+29</v>
      </c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6">
        <v>296.0</v>
      </c>
      <c r="C300" s="152">
        <f t="shared" ref="C300:Q300" si="296">C299/(1-C$2*C$3^($B300-1))</f>
        <v>5.241157126</v>
      </c>
      <c r="D300" s="152">
        <f t="shared" si="296"/>
        <v>14.9839638</v>
      </c>
      <c r="E300" s="152">
        <f t="shared" si="296"/>
        <v>50.32257752</v>
      </c>
      <c r="F300" s="152">
        <f t="shared" si="296"/>
        <v>229.3755159</v>
      </c>
      <c r="G300" s="152">
        <f t="shared" si="296"/>
        <v>1385.328948</v>
      </c>
      <c r="H300" s="152">
        <f t="shared" si="296"/>
        <v>12487.11662</v>
      </c>
      <c r="I300" s="152">
        <f t="shared" si="296"/>
        <v>183964.7804</v>
      </c>
      <c r="J300" s="152">
        <f t="shared" si="296"/>
        <v>4766035.37</v>
      </c>
      <c r="K300" s="152">
        <f t="shared" si="296"/>
        <v>230531127.5</v>
      </c>
      <c r="L300" s="152">
        <f t="shared" si="296"/>
        <v>24131545688</v>
      </c>
      <c r="M300" s="152">
        <f t="shared" si="296"/>
        <v>6867571646176</v>
      </c>
      <c r="N300" s="152">
        <f t="shared" si="296"/>
        <v>6.436E+15</v>
      </c>
      <c r="O300" s="152">
        <f t="shared" si="296"/>
        <v>2.61634E+19</v>
      </c>
      <c r="P300" s="152">
        <f t="shared" si="296"/>
        <v>6.66685E+23</v>
      </c>
      <c r="Q300" s="152">
        <f t="shared" si="296"/>
        <v>1.82256E+29</v>
      </c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6">
        <v>297.0</v>
      </c>
      <c r="C301" s="152">
        <f t="shared" ref="C301:Q301" si="297">C300/(1-C$2*C$3^($B301-1))</f>
        <v>5.241157129</v>
      </c>
      <c r="D301" s="152">
        <f t="shared" si="297"/>
        <v>14.98396384</v>
      </c>
      <c r="E301" s="152">
        <f t="shared" si="297"/>
        <v>50.32257793</v>
      </c>
      <c r="F301" s="152">
        <f t="shared" si="297"/>
        <v>229.375522</v>
      </c>
      <c r="G301" s="152">
        <f t="shared" si="297"/>
        <v>1385.329064</v>
      </c>
      <c r="H301" s="152">
        <f t="shared" si="297"/>
        <v>12487.11981</v>
      </c>
      <c r="I301" s="152">
        <f t="shared" si="297"/>
        <v>183964.9203</v>
      </c>
      <c r="J301" s="152">
        <f t="shared" si="297"/>
        <v>4766045.904</v>
      </c>
      <c r="K301" s="152">
        <f t="shared" si="297"/>
        <v>230532576</v>
      </c>
      <c r="L301" s="152">
        <f t="shared" si="297"/>
        <v>24131968441</v>
      </c>
      <c r="M301" s="152">
        <f t="shared" si="297"/>
        <v>6867901664607</v>
      </c>
      <c r="N301" s="152">
        <f t="shared" si="297"/>
        <v>6.43683E+15</v>
      </c>
      <c r="O301" s="152">
        <f t="shared" si="297"/>
        <v>2.61724E+19</v>
      </c>
      <c r="P301" s="152">
        <f t="shared" si="297"/>
        <v>6.67285E+23</v>
      </c>
      <c r="Q301" s="152">
        <f t="shared" si="297"/>
        <v>1.82678E+29</v>
      </c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6">
        <v>298.0</v>
      </c>
      <c r="C302" s="152">
        <f t="shared" ref="C302:Q302" si="298">C301/(1-C$2*C$3^($B302-1))</f>
        <v>5.241157132</v>
      </c>
      <c r="D302" s="152">
        <f t="shared" si="298"/>
        <v>14.98396387</v>
      </c>
      <c r="E302" s="152">
        <f t="shared" si="298"/>
        <v>50.32257832</v>
      </c>
      <c r="F302" s="152">
        <f t="shared" si="298"/>
        <v>229.3755278</v>
      </c>
      <c r="G302" s="152">
        <f t="shared" si="298"/>
        <v>1385.329174</v>
      </c>
      <c r="H302" s="152">
        <f t="shared" si="298"/>
        <v>12487.12285</v>
      </c>
      <c r="I302" s="152">
        <f t="shared" si="298"/>
        <v>183965.0539</v>
      </c>
      <c r="J302" s="152">
        <f t="shared" si="298"/>
        <v>4766056.007</v>
      </c>
      <c r="K302" s="152">
        <f t="shared" si="298"/>
        <v>230533969.5</v>
      </c>
      <c r="L302" s="152">
        <f t="shared" si="298"/>
        <v>24132376404</v>
      </c>
      <c r="M302" s="152">
        <f t="shared" si="298"/>
        <v>6868221137308</v>
      </c>
      <c r="N302" s="152">
        <f t="shared" si="298"/>
        <v>6.43764E+15</v>
      </c>
      <c r="O302" s="152">
        <f t="shared" si="298"/>
        <v>2.61812E+19</v>
      </c>
      <c r="P302" s="152">
        <f t="shared" si="298"/>
        <v>6.67871E+23</v>
      </c>
      <c r="Q302" s="152">
        <f t="shared" si="298"/>
        <v>1.83093E+29</v>
      </c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6">
        <v>299.0</v>
      </c>
      <c r="C303" s="152">
        <f t="shared" ref="C303:Q303" si="299">C302/(1-C$2*C$3^($B303-1))</f>
        <v>5.241157135</v>
      </c>
      <c r="D303" s="152">
        <f t="shared" si="299"/>
        <v>14.9839639</v>
      </c>
      <c r="E303" s="152">
        <f t="shared" si="299"/>
        <v>50.32257868</v>
      </c>
      <c r="F303" s="152">
        <f t="shared" si="299"/>
        <v>229.3755333</v>
      </c>
      <c r="G303" s="152">
        <f t="shared" si="299"/>
        <v>1385.329279</v>
      </c>
      <c r="H303" s="152">
        <f t="shared" si="299"/>
        <v>12487.12574</v>
      </c>
      <c r="I303" s="152">
        <f t="shared" si="299"/>
        <v>183965.1817</v>
      </c>
      <c r="J303" s="152">
        <f t="shared" si="299"/>
        <v>4766065.696</v>
      </c>
      <c r="K303" s="152">
        <f t="shared" si="299"/>
        <v>230535310</v>
      </c>
      <c r="L303" s="152">
        <f t="shared" si="299"/>
        <v>24132770095</v>
      </c>
      <c r="M303" s="152">
        <f t="shared" si="299"/>
        <v>6868530400809</v>
      </c>
      <c r="N303" s="152">
        <f t="shared" si="299"/>
        <v>6.43843E+15</v>
      </c>
      <c r="O303" s="152">
        <f t="shared" si="299"/>
        <v>2.61898E+19</v>
      </c>
      <c r="P303" s="152">
        <f t="shared" si="299"/>
        <v>6.68445E+23</v>
      </c>
      <c r="Q303" s="152">
        <f t="shared" si="299"/>
        <v>1.83501E+29</v>
      </c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6">
        <v>300.0</v>
      </c>
      <c r="C304" s="152">
        <f t="shared" ref="C304:Q304" si="300">C303/(1-C$2*C$3^($B304-1))</f>
        <v>5.241157137</v>
      </c>
      <c r="D304" s="152">
        <f t="shared" si="300"/>
        <v>14.98396393</v>
      </c>
      <c r="E304" s="152">
        <f t="shared" si="300"/>
        <v>50.32257902</v>
      </c>
      <c r="F304" s="152">
        <f t="shared" si="300"/>
        <v>229.3755385</v>
      </c>
      <c r="G304" s="152">
        <f t="shared" si="300"/>
        <v>1385.329378</v>
      </c>
      <c r="H304" s="152">
        <f t="shared" si="300"/>
        <v>12487.1285</v>
      </c>
      <c r="I304" s="152">
        <f t="shared" si="300"/>
        <v>183965.3039</v>
      </c>
      <c r="J304" s="152">
        <f t="shared" si="300"/>
        <v>4766074.987</v>
      </c>
      <c r="K304" s="152">
        <f t="shared" si="300"/>
        <v>230536599.6</v>
      </c>
      <c r="L304" s="152">
        <f t="shared" si="300"/>
        <v>24133150013</v>
      </c>
      <c r="M304" s="152">
        <f t="shared" si="300"/>
        <v>6868829780925</v>
      </c>
      <c r="N304" s="152">
        <f t="shared" si="300"/>
        <v>6.43919E+15</v>
      </c>
      <c r="O304" s="152">
        <f t="shared" si="300"/>
        <v>2.61981E+19</v>
      </c>
      <c r="P304" s="152">
        <f t="shared" si="300"/>
        <v>6.69006E+23</v>
      </c>
      <c r="Q304" s="152">
        <f t="shared" si="300"/>
        <v>1.83901E+29</v>
      </c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6">
        <v>301.0</v>
      </c>
      <c r="C305" s="152">
        <f t="shared" ref="C305:Q305" si="301">C304/(1-C$2*C$3^($B305-1))</f>
        <v>5.24115714</v>
      </c>
      <c r="D305" s="152">
        <f t="shared" si="301"/>
        <v>14.98396396</v>
      </c>
      <c r="E305" s="152">
        <f t="shared" si="301"/>
        <v>50.32257934</v>
      </c>
      <c r="F305" s="152">
        <f t="shared" si="301"/>
        <v>229.3755434</v>
      </c>
      <c r="G305" s="152">
        <f t="shared" si="301"/>
        <v>1385.329473</v>
      </c>
      <c r="H305" s="152">
        <f t="shared" si="301"/>
        <v>12487.13113</v>
      </c>
      <c r="I305" s="152">
        <f t="shared" si="301"/>
        <v>183965.4207</v>
      </c>
      <c r="J305" s="152">
        <f t="shared" si="301"/>
        <v>4766083.898</v>
      </c>
      <c r="K305" s="152">
        <f t="shared" si="301"/>
        <v>230537840.2</v>
      </c>
      <c r="L305" s="152">
        <f t="shared" si="301"/>
        <v>24133516639</v>
      </c>
      <c r="M305" s="152">
        <f t="shared" si="301"/>
        <v>6869119593105</v>
      </c>
      <c r="N305" s="152">
        <f t="shared" si="301"/>
        <v>6.43994E+15</v>
      </c>
      <c r="O305" s="152">
        <f t="shared" si="301"/>
        <v>2.62062E+19</v>
      </c>
      <c r="P305" s="152">
        <f t="shared" si="301"/>
        <v>6.69554E+23</v>
      </c>
      <c r="Q305" s="152">
        <f t="shared" si="301"/>
        <v>1.84295E+29</v>
      </c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6">
        <v>302.0</v>
      </c>
      <c r="C306" s="152">
        <f t="shared" ref="C306:Q306" si="302">C305/(1-C$2*C$3^($B306-1))</f>
        <v>5.241157142</v>
      </c>
      <c r="D306" s="152">
        <f t="shared" si="302"/>
        <v>14.98396398</v>
      </c>
      <c r="E306" s="152">
        <f t="shared" si="302"/>
        <v>50.32257965</v>
      </c>
      <c r="F306" s="152">
        <f t="shared" si="302"/>
        <v>229.3755481</v>
      </c>
      <c r="G306" s="152">
        <f t="shared" si="302"/>
        <v>1385.329562</v>
      </c>
      <c r="H306" s="152">
        <f t="shared" si="302"/>
        <v>12487.13364</v>
      </c>
      <c r="I306" s="152">
        <f t="shared" si="302"/>
        <v>183965.5323</v>
      </c>
      <c r="J306" s="152">
        <f t="shared" si="302"/>
        <v>4766092.443</v>
      </c>
      <c r="K306" s="152">
        <f t="shared" si="302"/>
        <v>230539033.7</v>
      </c>
      <c r="L306" s="152">
        <f t="shared" si="302"/>
        <v>24133870439</v>
      </c>
      <c r="M306" s="152">
        <f t="shared" si="302"/>
        <v>6869400142754</v>
      </c>
      <c r="N306" s="152">
        <f t="shared" si="302"/>
        <v>6.44066E+15</v>
      </c>
      <c r="O306" s="152">
        <f t="shared" si="302"/>
        <v>2.62141E+19</v>
      </c>
      <c r="P306" s="152">
        <f t="shared" si="302"/>
        <v>6.7009E+23</v>
      </c>
      <c r="Q306" s="152">
        <f t="shared" si="302"/>
        <v>1.84681E+29</v>
      </c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6">
        <v>303.0</v>
      </c>
      <c r="C307" s="152">
        <f t="shared" ref="C307:Q307" si="303">C306/(1-C$2*C$3^($B307-1))</f>
        <v>5.241157144</v>
      </c>
      <c r="D307" s="152">
        <f t="shared" si="303"/>
        <v>14.98396401</v>
      </c>
      <c r="E307" s="152">
        <f t="shared" si="303"/>
        <v>50.32257994</v>
      </c>
      <c r="F307" s="152">
        <f t="shared" si="303"/>
        <v>229.3755525</v>
      </c>
      <c r="G307" s="152">
        <f t="shared" si="303"/>
        <v>1385.329648</v>
      </c>
      <c r="H307" s="152">
        <f t="shared" si="303"/>
        <v>12487.13603</v>
      </c>
      <c r="I307" s="152">
        <f t="shared" si="303"/>
        <v>183965.6391</v>
      </c>
      <c r="J307" s="152">
        <f t="shared" si="303"/>
        <v>4766100.638</v>
      </c>
      <c r="K307" s="152">
        <f t="shared" si="303"/>
        <v>230540181.8</v>
      </c>
      <c r="L307" s="152">
        <f t="shared" si="303"/>
        <v>24134211860</v>
      </c>
      <c r="M307" s="152">
        <f t="shared" si="303"/>
        <v>6869671725550</v>
      </c>
      <c r="N307" s="152">
        <f t="shared" si="303"/>
        <v>6.44136E+15</v>
      </c>
      <c r="O307" s="152">
        <f t="shared" si="303"/>
        <v>2.62218E+19</v>
      </c>
      <c r="P307" s="152">
        <f t="shared" si="303"/>
        <v>6.70615E+23</v>
      </c>
      <c r="Q307" s="152">
        <f t="shared" si="303"/>
        <v>1.8506E+29</v>
      </c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6">
        <v>304.0</v>
      </c>
      <c r="C308" s="152">
        <f t="shared" ref="C308:Q308" si="304">C307/(1-C$2*C$3^($B308-1))</f>
        <v>5.241157146</v>
      </c>
      <c r="D308" s="152">
        <f t="shared" si="304"/>
        <v>14.98396403</v>
      </c>
      <c r="E308" s="152">
        <f t="shared" si="304"/>
        <v>50.32258021</v>
      </c>
      <c r="F308" s="152">
        <f t="shared" si="304"/>
        <v>229.3755567</v>
      </c>
      <c r="G308" s="152">
        <f t="shared" si="304"/>
        <v>1385.329729</v>
      </c>
      <c r="H308" s="152">
        <f t="shared" si="304"/>
        <v>12487.13831</v>
      </c>
      <c r="I308" s="152">
        <f t="shared" si="304"/>
        <v>183965.7411</v>
      </c>
      <c r="J308" s="152">
        <f t="shared" si="304"/>
        <v>4766108.496</v>
      </c>
      <c r="K308" s="152">
        <f t="shared" si="304"/>
        <v>230541286.3</v>
      </c>
      <c r="L308" s="152">
        <f t="shared" si="304"/>
        <v>24134541336</v>
      </c>
      <c r="M308" s="152">
        <f t="shared" si="304"/>
        <v>6869934627757</v>
      </c>
      <c r="N308" s="152">
        <f t="shared" si="304"/>
        <v>6.44204E+15</v>
      </c>
      <c r="O308" s="152">
        <f t="shared" si="304"/>
        <v>2.62293E+19</v>
      </c>
      <c r="P308" s="152">
        <f t="shared" si="304"/>
        <v>6.71127E+23</v>
      </c>
      <c r="Q308" s="152">
        <f t="shared" si="304"/>
        <v>1.85432E+29</v>
      </c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6">
        <v>305.0</v>
      </c>
      <c r="C309" s="152">
        <f t="shared" ref="C309:Q309" si="305">C308/(1-C$2*C$3^($B309-1))</f>
        <v>5.241157148</v>
      </c>
      <c r="D309" s="152">
        <f t="shared" si="305"/>
        <v>14.98396405</v>
      </c>
      <c r="E309" s="152">
        <f t="shared" si="305"/>
        <v>50.32258047</v>
      </c>
      <c r="F309" s="152">
        <f t="shared" si="305"/>
        <v>229.3755606</v>
      </c>
      <c r="G309" s="152">
        <f t="shared" si="305"/>
        <v>1385.329806</v>
      </c>
      <c r="H309" s="152">
        <f t="shared" si="305"/>
        <v>12487.14048</v>
      </c>
      <c r="I309" s="152">
        <f t="shared" si="305"/>
        <v>183965.8387</v>
      </c>
      <c r="J309" s="152">
        <f t="shared" si="305"/>
        <v>4766116.033</v>
      </c>
      <c r="K309" s="152">
        <f t="shared" si="305"/>
        <v>230542348.8</v>
      </c>
      <c r="L309" s="152">
        <f t="shared" si="305"/>
        <v>24134859285</v>
      </c>
      <c r="M309" s="152">
        <f t="shared" si="305"/>
        <v>6870189126522</v>
      </c>
      <c r="N309" s="152">
        <f t="shared" si="305"/>
        <v>6.4427E+15</v>
      </c>
      <c r="O309" s="152">
        <f t="shared" si="305"/>
        <v>2.62366E+19</v>
      </c>
      <c r="P309" s="152">
        <f t="shared" si="305"/>
        <v>6.71628E+23</v>
      </c>
      <c r="Q309" s="152">
        <f t="shared" si="305"/>
        <v>1.85798E+29</v>
      </c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6">
        <v>306.0</v>
      </c>
      <c r="C310" s="152">
        <f t="shared" ref="C310:Q310" si="306">C309/(1-C$2*C$3^($B310-1))</f>
        <v>5.24115715</v>
      </c>
      <c r="D310" s="152">
        <f t="shared" si="306"/>
        <v>14.98396407</v>
      </c>
      <c r="E310" s="152">
        <f t="shared" si="306"/>
        <v>50.32258071</v>
      </c>
      <c r="F310" s="152">
        <f t="shared" si="306"/>
        <v>229.3755644</v>
      </c>
      <c r="G310" s="152">
        <f t="shared" si="306"/>
        <v>1385.329879</v>
      </c>
      <c r="H310" s="152">
        <f t="shared" si="306"/>
        <v>12487.14254</v>
      </c>
      <c r="I310" s="152">
        <f t="shared" si="306"/>
        <v>183965.9319</v>
      </c>
      <c r="J310" s="152">
        <f t="shared" si="306"/>
        <v>4766123.261</v>
      </c>
      <c r="K310" s="152">
        <f t="shared" si="306"/>
        <v>230543371</v>
      </c>
      <c r="L310" s="152">
        <f t="shared" si="306"/>
        <v>24135166110</v>
      </c>
      <c r="M310" s="152">
        <f t="shared" si="306"/>
        <v>6870435490160</v>
      </c>
      <c r="N310" s="152">
        <f t="shared" si="306"/>
        <v>6.44334E+15</v>
      </c>
      <c r="O310" s="152">
        <f t="shared" si="306"/>
        <v>2.62438E+19</v>
      </c>
      <c r="P310" s="152">
        <f t="shared" si="306"/>
        <v>6.72118E+23</v>
      </c>
      <c r="Q310" s="152">
        <f t="shared" si="306"/>
        <v>1.86157E+29</v>
      </c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6">
        <v>307.0</v>
      </c>
      <c r="C311" s="152">
        <f t="shared" ref="C311:Q311" si="307">C310/(1-C$2*C$3^($B311-1))</f>
        <v>5.241157151</v>
      </c>
      <c r="D311" s="152">
        <f t="shared" si="307"/>
        <v>14.98396409</v>
      </c>
      <c r="E311" s="152">
        <f t="shared" si="307"/>
        <v>50.32258094</v>
      </c>
      <c r="F311" s="152">
        <f t="shared" si="307"/>
        <v>229.3755679</v>
      </c>
      <c r="G311" s="152">
        <f t="shared" si="307"/>
        <v>1385.329948</v>
      </c>
      <c r="H311" s="152">
        <f t="shared" si="307"/>
        <v>12487.14451</v>
      </c>
      <c r="I311" s="152">
        <f t="shared" si="307"/>
        <v>183966.0211</v>
      </c>
      <c r="J311" s="152">
        <f t="shared" si="307"/>
        <v>4766130.192</v>
      </c>
      <c r="K311" s="152">
        <f t="shared" si="307"/>
        <v>230544354.3</v>
      </c>
      <c r="L311" s="152">
        <f t="shared" si="307"/>
        <v>24135462199</v>
      </c>
      <c r="M311" s="152">
        <f t="shared" si="307"/>
        <v>6870673978440</v>
      </c>
      <c r="N311" s="152">
        <f t="shared" si="307"/>
        <v>6.44396E+15</v>
      </c>
      <c r="O311" s="152">
        <f t="shared" si="307"/>
        <v>2.62507E+19</v>
      </c>
      <c r="P311" s="152">
        <f t="shared" si="307"/>
        <v>6.72597E+23</v>
      </c>
      <c r="Q311" s="152">
        <f t="shared" si="307"/>
        <v>1.86509E+29</v>
      </c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6">
        <v>308.0</v>
      </c>
      <c r="C312" s="152">
        <f t="shared" ref="C312:Q312" si="308">C311/(1-C$2*C$3^($B312-1))</f>
        <v>5.241157153</v>
      </c>
      <c r="D312" s="152">
        <f t="shared" si="308"/>
        <v>14.98396411</v>
      </c>
      <c r="E312" s="152">
        <f t="shared" si="308"/>
        <v>50.32258115</v>
      </c>
      <c r="F312" s="152">
        <f t="shared" si="308"/>
        <v>229.3755713</v>
      </c>
      <c r="G312" s="152">
        <f t="shared" si="308"/>
        <v>1385.330014</v>
      </c>
      <c r="H312" s="152">
        <f t="shared" si="308"/>
        <v>12487.14639</v>
      </c>
      <c r="I312" s="152">
        <f t="shared" si="308"/>
        <v>183966.1063</v>
      </c>
      <c r="J312" s="152">
        <f t="shared" si="308"/>
        <v>4766136.839</v>
      </c>
      <c r="K312" s="152">
        <f t="shared" si="308"/>
        <v>230545300.3</v>
      </c>
      <c r="L312" s="152">
        <f t="shared" si="308"/>
        <v>24135747928</v>
      </c>
      <c r="M312" s="152">
        <f t="shared" si="308"/>
        <v>6870904842853</v>
      </c>
      <c r="N312" s="152">
        <f t="shared" si="308"/>
        <v>6.44456E+15</v>
      </c>
      <c r="O312" s="152">
        <f t="shared" si="308"/>
        <v>2.62575E+19</v>
      </c>
      <c r="P312" s="152">
        <f t="shared" si="308"/>
        <v>6.73066E+23</v>
      </c>
      <c r="Q312" s="152">
        <f t="shared" si="308"/>
        <v>1.86856E+29</v>
      </c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6">
        <v>309.0</v>
      </c>
      <c r="C313" s="152">
        <f t="shared" ref="C313:Q313" si="309">C312/(1-C$2*C$3^($B313-1))</f>
        <v>5.241157154</v>
      </c>
      <c r="D313" s="152">
        <f t="shared" si="309"/>
        <v>14.98396413</v>
      </c>
      <c r="E313" s="152">
        <f t="shared" si="309"/>
        <v>50.32258136</v>
      </c>
      <c r="F313" s="152">
        <f t="shared" si="309"/>
        <v>229.3755745</v>
      </c>
      <c r="G313" s="152">
        <f t="shared" si="309"/>
        <v>1385.330077</v>
      </c>
      <c r="H313" s="152">
        <f t="shared" si="309"/>
        <v>12487.14818</v>
      </c>
      <c r="I313" s="152">
        <f t="shared" si="309"/>
        <v>183966.1878</v>
      </c>
      <c r="J313" s="152">
        <f t="shared" si="309"/>
        <v>4766143.214</v>
      </c>
      <c r="K313" s="152">
        <f t="shared" si="309"/>
        <v>230546210.3</v>
      </c>
      <c r="L313" s="152">
        <f t="shared" si="309"/>
        <v>24136023660</v>
      </c>
      <c r="M313" s="152">
        <f t="shared" si="309"/>
        <v>6871128326873</v>
      </c>
      <c r="N313" s="152">
        <f t="shared" si="309"/>
        <v>6.44515E+15</v>
      </c>
      <c r="O313" s="152">
        <f t="shared" si="309"/>
        <v>2.6264E+19</v>
      </c>
      <c r="P313" s="152">
        <f t="shared" si="309"/>
        <v>6.73524E+23</v>
      </c>
      <c r="Q313" s="152">
        <f t="shared" si="309"/>
        <v>1.87195E+29</v>
      </c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6">
        <v>310.0</v>
      </c>
      <c r="C314" s="152">
        <f t="shared" ref="C314:Q314" si="310">C313/(1-C$2*C$3^($B314-1))</f>
        <v>5.241157156</v>
      </c>
      <c r="D314" s="152">
        <f t="shared" si="310"/>
        <v>14.98396414</v>
      </c>
      <c r="E314" s="152">
        <f t="shared" si="310"/>
        <v>50.32258155</v>
      </c>
      <c r="F314" s="152">
        <f t="shared" si="310"/>
        <v>229.3755775</v>
      </c>
      <c r="G314" s="152">
        <f t="shared" si="310"/>
        <v>1385.330137</v>
      </c>
      <c r="H314" s="152">
        <f t="shared" si="310"/>
        <v>12487.14989</v>
      </c>
      <c r="I314" s="152">
        <f t="shared" si="310"/>
        <v>183966.2657</v>
      </c>
      <c r="J314" s="152">
        <f t="shared" si="310"/>
        <v>4766149.327</v>
      </c>
      <c r="K314" s="152">
        <f t="shared" si="310"/>
        <v>230547085.7</v>
      </c>
      <c r="L314" s="152">
        <f t="shared" si="310"/>
        <v>24136289745</v>
      </c>
      <c r="M314" s="152">
        <f t="shared" si="310"/>
        <v>6871344666215</v>
      </c>
      <c r="N314" s="152">
        <f t="shared" si="310"/>
        <v>6.44572E+15</v>
      </c>
      <c r="O314" s="152">
        <f t="shared" si="310"/>
        <v>2.62705E+19</v>
      </c>
      <c r="P314" s="152">
        <f t="shared" si="310"/>
        <v>6.73972E+23</v>
      </c>
      <c r="Q314" s="152">
        <f t="shared" si="310"/>
        <v>1.87529E+29</v>
      </c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6">
        <v>311.0</v>
      </c>
      <c r="C315" s="152">
        <f t="shared" ref="C315:Q315" si="311">C314/(1-C$2*C$3^($B315-1))</f>
        <v>5.241157157</v>
      </c>
      <c r="D315" s="152">
        <f t="shared" si="311"/>
        <v>14.98396416</v>
      </c>
      <c r="E315" s="152">
        <f t="shared" si="311"/>
        <v>50.32258173</v>
      </c>
      <c r="F315" s="152">
        <f t="shared" si="311"/>
        <v>229.3755804</v>
      </c>
      <c r="G315" s="152">
        <f t="shared" si="311"/>
        <v>1385.330193</v>
      </c>
      <c r="H315" s="152">
        <f t="shared" si="311"/>
        <v>12487.15151</v>
      </c>
      <c r="I315" s="152">
        <f t="shared" si="311"/>
        <v>183966.3402</v>
      </c>
      <c r="J315" s="152">
        <f t="shared" si="311"/>
        <v>4766155.19</v>
      </c>
      <c r="K315" s="152">
        <f t="shared" si="311"/>
        <v>230547927.9</v>
      </c>
      <c r="L315" s="152">
        <f t="shared" si="311"/>
        <v>24136546519</v>
      </c>
      <c r="M315" s="152">
        <f t="shared" si="311"/>
        <v>6871554089081</v>
      </c>
      <c r="N315" s="152">
        <f t="shared" si="311"/>
        <v>6.44627E+15</v>
      </c>
      <c r="O315" s="152">
        <f t="shared" si="311"/>
        <v>2.62767E+19</v>
      </c>
      <c r="P315" s="152">
        <f t="shared" si="311"/>
        <v>6.74409E+23</v>
      </c>
      <c r="Q315" s="152">
        <f t="shared" si="311"/>
        <v>1.87856E+29</v>
      </c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6">
        <v>312.0</v>
      </c>
      <c r="C316" s="152">
        <f t="shared" ref="C316:Q316" si="312">C315/(1-C$2*C$3^($B316-1))</f>
        <v>5.241157158</v>
      </c>
      <c r="D316" s="152">
        <f t="shared" si="312"/>
        <v>14.98396417</v>
      </c>
      <c r="E316" s="152">
        <f t="shared" si="312"/>
        <v>50.3225819</v>
      </c>
      <c r="F316" s="152">
        <f t="shared" si="312"/>
        <v>229.3755831</v>
      </c>
      <c r="G316" s="152">
        <f t="shared" si="312"/>
        <v>1385.330247</v>
      </c>
      <c r="H316" s="152">
        <f t="shared" si="312"/>
        <v>12487.15306</v>
      </c>
      <c r="I316" s="152">
        <f t="shared" si="312"/>
        <v>183966.4114</v>
      </c>
      <c r="J316" s="152">
        <f t="shared" si="312"/>
        <v>4766160.812</v>
      </c>
      <c r="K316" s="152">
        <f t="shared" si="312"/>
        <v>230548738.1</v>
      </c>
      <c r="L316" s="152">
        <f t="shared" si="312"/>
        <v>24136794308</v>
      </c>
      <c r="M316" s="152">
        <f t="shared" si="312"/>
        <v>6871756816396</v>
      </c>
      <c r="N316" s="152">
        <f t="shared" si="312"/>
        <v>6.44681E+15</v>
      </c>
      <c r="O316" s="152">
        <f t="shared" si="312"/>
        <v>2.62828E+19</v>
      </c>
      <c r="P316" s="152">
        <f t="shared" si="312"/>
        <v>6.74837E+23</v>
      </c>
      <c r="Q316" s="152">
        <f t="shared" si="312"/>
        <v>1.88178E+29</v>
      </c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6">
        <v>313.0</v>
      </c>
      <c r="C317" s="152">
        <f t="shared" ref="C317:Q317" si="313">C316/(1-C$2*C$3^($B317-1))</f>
        <v>5.241157159</v>
      </c>
      <c r="D317" s="152">
        <f t="shared" si="313"/>
        <v>14.98396419</v>
      </c>
      <c r="E317" s="152">
        <f t="shared" si="313"/>
        <v>50.32258207</v>
      </c>
      <c r="F317" s="152">
        <f t="shared" si="313"/>
        <v>229.3755856</v>
      </c>
      <c r="G317" s="152">
        <f t="shared" si="313"/>
        <v>1385.330298</v>
      </c>
      <c r="H317" s="152">
        <f t="shared" si="313"/>
        <v>12487.15454</v>
      </c>
      <c r="I317" s="152">
        <f t="shared" si="313"/>
        <v>183966.4794</v>
      </c>
      <c r="J317" s="152">
        <f t="shared" si="313"/>
        <v>4766166.204</v>
      </c>
      <c r="K317" s="152">
        <f t="shared" si="313"/>
        <v>230549517.5</v>
      </c>
      <c r="L317" s="152">
        <f t="shared" si="313"/>
        <v>24137033428</v>
      </c>
      <c r="M317" s="152">
        <f t="shared" si="313"/>
        <v>6871953062042</v>
      </c>
      <c r="N317" s="152">
        <f t="shared" si="313"/>
        <v>6.44733E+15</v>
      </c>
      <c r="O317" s="152">
        <f t="shared" si="313"/>
        <v>2.62887E+19</v>
      </c>
      <c r="P317" s="152">
        <f t="shared" si="313"/>
        <v>6.75255E+23</v>
      </c>
      <c r="Q317" s="152">
        <f t="shared" si="313"/>
        <v>1.88493E+29</v>
      </c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6">
        <v>314.0</v>
      </c>
      <c r="C318" s="152">
        <f t="shared" ref="C318:Q318" si="314">C317/(1-C$2*C$3^($B318-1))</f>
        <v>5.24115716</v>
      </c>
      <c r="D318" s="152">
        <f t="shared" si="314"/>
        <v>14.9839642</v>
      </c>
      <c r="E318" s="152">
        <f t="shared" si="314"/>
        <v>50.32258222</v>
      </c>
      <c r="F318" s="152">
        <f t="shared" si="314"/>
        <v>229.375588</v>
      </c>
      <c r="G318" s="152">
        <f t="shared" si="314"/>
        <v>1385.330347</v>
      </c>
      <c r="H318" s="152">
        <f t="shared" si="314"/>
        <v>12487.15595</v>
      </c>
      <c r="I318" s="152">
        <f t="shared" si="314"/>
        <v>183966.5445</v>
      </c>
      <c r="J318" s="152">
        <f t="shared" si="314"/>
        <v>4766171.374</v>
      </c>
      <c r="K318" s="152">
        <f t="shared" si="314"/>
        <v>230550267.2</v>
      </c>
      <c r="L318" s="152">
        <f t="shared" si="314"/>
        <v>24137264180</v>
      </c>
      <c r="M318" s="152">
        <f t="shared" si="314"/>
        <v>6872143033078</v>
      </c>
      <c r="N318" s="152">
        <f t="shared" si="314"/>
        <v>6.44784E+15</v>
      </c>
      <c r="O318" s="152">
        <f t="shared" si="314"/>
        <v>2.62945E+19</v>
      </c>
      <c r="P318" s="152">
        <f t="shared" si="314"/>
        <v>6.75664E+23</v>
      </c>
      <c r="Q318" s="152">
        <f t="shared" si="314"/>
        <v>1.88803E+29</v>
      </c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6">
        <v>315.0</v>
      </c>
      <c r="C319" s="152">
        <f t="shared" ref="C319:Q319" si="315">C318/(1-C$2*C$3^($B319-1))</f>
        <v>5.241157161</v>
      </c>
      <c r="D319" s="152">
        <f t="shared" si="315"/>
        <v>14.98396421</v>
      </c>
      <c r="E319" s="152">
        <f t="shared" si="315"/>
        <v>50.32258236</v>
      </c>
      <c r="F319" s="152">
        <f t="shared" si="315"/>
        <v>229.3755903</v>
      </c>
      <c r="G319" s="152">
        <f t="shared" si="315"/>
        <v>1385.330393</v>
      </c>
      <c r="H319" s="152">
        <f t="shared" si="315"/>
        <v>12487.15729</v>
      </c>
      <c r="I319" s="152">
        <f t="shared" si="315"/>
        <v>183966.6067</v>
      </c>
      <c r="J319" s="152">
        <f t="shared" si="315"/>
        <v>4766176.333</v>
      </c>
      <c r="K319" s="152">
        <f t="shared" si="315"/>
        <v>230550988.5</v>
      </c>
      <c r="L319" s="152">
        <f t="shared" si="315"/>
        <v>24137486858</v>
      </c>
      <c r="M319" s="152">
        <f t="shared" si="315"/>
        <v>6872326929962</v>
      </c>
      <c r="N319" s="152">
        <f t="shared" si="315"/>
        <v>6.44833E+15</v>
      </c>
      <c r="O319" s="152">
        <f t="shared" si="315"/>
        <v>2.63001E+19</v>
      </c>
      <c r="P319" s="152">
        <f t="shared" si="315"/>
        <v>6.76064E+23</v>
      </c>
      <c r="Q319" s="152">
        <f t="shared" si="315"/>
        <v>1.89107E+29</v>
      </c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6">
        <v>316.0</v>
      </c>
      <c r="C320" s="152">
        <f t="shared" ref="C320:Q320" si="316">C319/(1-C$2*C$3^($B320-1))</f>
        <v>5.241157162</v>
      </c>
      <c r="D320" s="152">
        <f t="shared" si="316"/>
        <v>14.98396422</v>
      </c>
      <c r="E320" s="152">
        <f t="shared" si="316"/>
        <v>50.3225825</v>
      </c>
      <c r="F320" s="152">
        <f t="shared" si="316"/>
        <v>229.3755925</v>
      </c>
      <c r="G320" s="152">
        <f t="shared" si="316"/>
        <v>1385.330437</v>
      </c>
      <c r="H320" s="152">
        <f t="shared" si="316"/>
        <v>12487.15856</v>
      </c>
      <c r="I320" s="152">
        <f t="shared" si="316"/>
        <v>183966.6662</v>
      </c>
      <c r="J320" s="152">
        <f t="shared" si="316"/>
        <v>4766181.089</v>
      </c>
      <c r="K320" s="152">
        <f t="shared" si="316"/>
        <v>230551682.4</v>
      </c>
      <c r="L320" s="152">
        <f t="shared" si="316"/>
        <v>24137701744</v>
      </c>
      <c r="M320" s="152">
        <f t="shared" si="316"/>
        <v>6872504946757</v>
      </c>
      <c r="N320" s="152">
        <f t="shared" si="316"/>
        <v>6.44881E+15</v>
      </c>
      <c r="O320" s="152">
        <f t="shared" si="316"/>
        <v>2.63056E+19</v>
      </c>
      <c r="P320" s="152">
        <f t="shared" si="316"/>
        <v>6.76455E+23</v>
      </c>
      <c r="Q320" s="152">
        <f t="shared" si="316"/>
        <v>1.89406E+29</v>
      </c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6">
        <v>317.0</v>
      </c>
      <c r="C321" s="152">
        <f t="shared" ref="C321:Q321" si="317">C320/(1-C$2*C$3^($B321-1))</f>
        <v>5.241157163</v>
      </c>
      <c r="D321" s="152">
        <f t="shared" si="317"/>
        <v>14.98396423</v>
      </c>
      <c r="E321" s="152">
        <f t="shared" si="317"/>
        <v>50.32258263</v>
      </c>
      <c r="F321" s="152">
        <f t="shared" si="317"/>
        <v>229.3755946</v>
      </c>
      <c r="G321" s="152">
        <f t="shared" si="317"/>
        <v>1385.330478</v>
      </c>
      <c r="H321" s="152">
        <f t="shared" si="317"/>
        <v>12487.15978</v>
      </c>
      <c r="I321" s="152">
        <f t="shared" si="317"/>
        <v>183966.723</v>
      </c>
      <c r="J321" s="152">
        <f t="shared" si="317"/>
        <v>4766185.649</v>
      </c>
      <c r="K321" s="152">
        <f t="shared" si="317"/>
        <v>230552349.9</v>
      </c>
      <c r="L321" s="152">
        <f t="shared" si="317"/>
        <v>24137909111</v>
      </c>
      <c r="M321" s="152">
        <f t="shared" si="317"/>
        <v>6872677271335</v>
      </c>
      <c r="N321" s="152">
        <f t="shared" si="317"/>
        <v>6.44927E+15</v>
      </c>
      <c r="O321" s="152">
        <f t="shared" si="317"/>
        <v>2.6311E+19</v>
      </c>
      <c r="P321" s="152">
        <f t="shared" si="317"/>
        <v>6.76837E+23</v>
      </c>
      <c r="Q321" s="152">
        <f t="shared" si="317"/>
        <v>1.89699E+29</v>
      </c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6">
        <v>318.0</v>
      </c>
      <c r="C322" s="152">
        <f t="shared" ref="C322:Q322" si="318">C321/(1-C$2*C$3^($B322-1))</f>
        <v>5.241157164</v>
      </c>
      <c r="D322" s="152">
        <f t="shared" si="318"/>
        <v>14.98396424</v>
      </c>
      <c r="E322" s="152">
        <f t="shared" si="318"/>
        <v>50.32258275</v>
      </c>
      <c r="F322" s="152">
        <f t="shared" si="318"/>
        <v>229.3755965</v>
      </c>
      <c r="G322" s="152">
        <f t="shared" si="318"/>
        <v>1385.330518</v>
      </c>
      <c r="H322" s="152">
        <f t="shared" si="318"/>
        <v>12487.16094</v>
      </c>
      <c r="I322" s="152">
        <f t="shared" si="318"/>
        <v>183966.7774</v>
      </c>
      <c r="J322" s="152">
        <f t="shared" si="318"/>
        <v>4766190.023</v>
      </c>
      <c r="K322" s="152">
        <f t="shared" si="318"/>
        <v>230552992.1</v>
      </c>
      <c r="L322" s="152">
        <f t="shared" si="318"/>
        <v>24138109222</v>
      </c>
      <c r="M322" s="152">
        <f t="shared" si="318"/>
        <v>6872844085575</v>
      </c>
      <c r="N322" s="152">
        <f t="shared" si="318"/>
        <v>6.44972E+15</v>
      </c>
      <c r="O322" s="152">
        <f t="shared" si="318"/>
        <v>2.63162E+19</v>
      </c>
      <c r="P322" s="152">
        <f t="shared" si="318"/>
        <v>6.7721E+23</v>
      </c>
      <c r="Q322" s="152">
        <f t="shared" si="318"/>
        <v>1.89986E+29</v>
      </c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6">
        <v>319.0</v>
      </c>
      <c r="C323" s="152">
        <f t="shared" ref="C323:Q323" si="319">C322/(1-C$2*C$3^($B323-1))</f>
        <v>5.241157165</v>
      </c>
      <c r="D323" s="152">
        <f t="shared" si="319"/>
        <v>14.98396425</v>
      </c>
      <c r="E323" s="152">
        <f t="shared" si="319"/>
        <v>50.32258286</v>
      </c>
      <c r="F323" s="152">
        <f t="shared" si="319"/>
        <v>229.3755984</v>
      </c>
      <c r="G323" s="152">
        <f t="shared" si="319"/>
        <v>1385.330555</v>
      </c>
      <c r="H323" s="152">
        <f t="shared" si="319"/>
        <v>12487.16205</v>
      </c>
      <c r="I323" s="152">
        <f t="shared" si="319"/>
        <v>183966.8293</v>
      </c>
      <c r="J323" s="152">
        <f t="shared" si="319"/>
        <v>4766194.217</v>
      </c>
      <c r="K323" s="152">
        <f t="shared" si="319"/>
        <v>230553609.8</v>
      </c>
      <c r="L323" s="152">
        <f t="shared" si="319"/>
        <v>24138302331</v>
      </c>
      <c r="M323" s="152">
        <f t="shared" si="319"/>
        <v>6873005565554</v>
      </c>
      <c r="N323" s="152">
        <f t="shared" si="319"/>
        <v>6.45016E+15</v>
      </c>
      <c r="O323" s="152">
        <f t="shared" si="319"/>
        <v>2.63213E+19</v>
      </c>
      <c r="P323" s="152">
        <f t="shared" si="319"/>
        <v>6.77575E+23</v>
      </c>
      <c r="Q323" s="152">
        <f t="shared" si="319"/>
        <v>1.90268E+29</v>
      </c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6">
        <v>320.0</v>
      </c>
      <c r="C324" s="152">
        <f t="shared" ref="C324:Q324" si="320">C323/(1-C$2*C$3^($B324-1))</f>
        <v>5.241157165</v>
      </c>
      <c r="D324" s="152">
        <f t="shared" si="320"/>
        <v>14.98396426</v>
      </c>
      <c r="E324" s="152">
        <f t="shared" si="320"/>
        <v>50.32258297</v>
      </c>
      <c r="F324" s="152">
        <f t="shared" si="320"/>
        <v>229.3756001</v>
      </c>
      <c r="G324" s="152">
        <f t="shared" si="320"/>
        <v>1385.330591</v>
      </c>
      <c r="H324" s="152">
        <f t="shared" si="320"/>
        <v>12487.1631</v>
      </c>
      <c r="I324" s="152">
        <f t="shared" si="320"/>
        <v>183966.879</v>
      </c>
      <c r="J324" s="152">
        <f t="shared" si="320"/>
        <v>4766198.239</v>
      </c>
      <c r="K324" s="152">
        <f t="shared" si="320"/>
        <v>230554204.1</v>
      </c>
      <c r="L324" s="152">
        <f t="shared" si="320"/>
        <v>24138488682</v>
      </c>
      <c r="M324" s="152">
        <f t="shared" si="320"/>
        <v>6873161881729</v>
      </c>
      <c r="N324" s="152">
        <f t="shared" si="320"/>
        <v>6.45059E+15</v>
      </c>
      <c r="O324" s="152">
        <f t="shared" si="320"/>
        <v>2.63262E+19</v>
      </c>
      <c r="P324" s="152">
        <f t="shared" si="320"/>
        <v>6.77932E+23</v>
      </c>
      <c r="Q324" s="152">
        <f t="shared" si="320"/>
        <v>1.90545E+29</v>
      </c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6">
        <v>321.0</v>
      </c>
      <c r="C325" s="152">
        <f t="shared" ref="C325:Q325" si="321">C324/(1-C$2*C$3^($B325-1))</f>
        <v>5.241157166</v>
      </c>
      <c r="D325" s="152">
        <f t="shared" si="321"/>
        <v>14.98396427</v>
      </c>
      <c r="E325" s="152">
        <f t="shared" si="321"/>
        <v>50.32258307</v>
      </c>
      <c r="F325" s="152">
        <f t="shared" si="321"/>
        <v>229.3756018</v>
      </c>
      <c r="G325" s="152">
        <f t="shared" si="321"/>
        <v>1385.330625</v>
      </c>
      <c r="H325" s="152">
        <f t="shared" si="321"/>
        <v>12487.16411</v>
      </c>
      <c r="I325" s="152">
        <f t="shared" si="321"/>
        <v>183966.9265</v>
      </c>
      <c r="J325" s="152">
        <f t="shared" si="321"/>
        <v>4766202.096</v>
      </c>
      <c r="K325" s="152">
        <f t="shared" si="321"/>
        <v>230554775.8</v>
      </c>
      <c r="L325" s="152">
        <f t="shared" si="321"/>
        <v>24138668512</v>
      </c>
      <c r="M325" s="152">
        <f t="shared" si="321"/>
        <v>6873313199117</v>
      </c>
      <c r="N325" s="152">
        <f t="shared" si="321"/>
        <v>6.451E+15</v>
      </c>
      <c r="O325" s="152">
        <f t="shared" si="321"/>
        <v>2.6331E+19</v>
      </c>
      <c r="P325" s="152">
        <f t="shared" si="321"/>
        <v>6.78281E+23</v>
      </c>
      <c r="Q325" s="152">
        <f t="shared" si="321"/>
        <v>1.90817E+29</v>
      </c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6">
        <v>322.0</v>
      </c>
      <c r="C326" s="152">
        <f t="shared" ref="C326:Q326" si="322">C325/(1-C$2*C$3^($B326-1))</f>
        <v>5.241157167</v>
      </c>
      <c r="D326" s="152">
        <f t="shared" si="322"/>
        <v>14.98396427</v>
      </c>
      <c r="E326" s="152">
        <f t="shared" si="322"/>
        <v>50.32258317</v>
      </c>
      <c r="F326" s="152">
        <f t="shared" si="322"/>
        <v>229.3756033</v>
      </c>
      <c r="G326" s="152">
        <f t="shared" si="322"/>
        <v>1385.330657</v>
      </c>
      <c r="H326" s="152">
        <f t="shared" si="322"/>
        <v>12487.16506</v>
      </c>
      <c r="I326" s="152">
        <f t="shared" si="322"/>
        <v>183966.9719</v>
      </c>
      <c r="J326" s="152">
        <f t="shared" si="322"/>
        <v>4766205.795</v>
      </c>
      <c r="K326" s="152">
        <f t="shared" si="322"/>
        <v>230555325.8</v>
      </c>
      <c r="L326" s="152">
        <f t="shared" si="322"/>
        <v>24138842049</v>
      </c>
      <c r="M326" s="152">
        <f t="shared" si="322"/>
        <v>6873459677470</v>
      </c>
      <c r="N326" s="152">
        <f t="shared" si="322"/>
        <v>6.4514E+15</v>
      </c>
      <c r="O326" s="152">
        <f t="shared" si="322"/>
        <v>2.63357E+19</v>
      </c>
      <c r="P326" s="152">
        <f t="shared" si="322"/>
        <v>6.78622E+23</v>
      </c>
      <c r="Q326" s="152">
        <f t="shared" si="322"/>
        <v>1.91084E+29</v>
      </c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6">
        <v>323.0</v>
      </c>
      <c r="C327" s="152">
        <f t="shared" ref="C327:Q327" si="323">C326/(1-C$2*C$3^($B327-1))</f>
        <v>5.241157167</v>
      </c>
      <c r="D327" s="152">
        <f t="shared" si="323"/>
        <v>14.98396428</v>
      </c>
      <c r="E327" s="152">
        <f t="shared" si="323"/>
        <v>50.32258326</v>
      </c>
      <c r="F327" s="152">
        <f t="shared" si="323"/>
        <v>229.3756048</v>
      </c>
      <c r="G327" s="152">
        <f t="shared" si="323"/>
        <v>1385.330688</v>
      </c>
      <c r="H327" s="152">
        <f t="shared" si="323"/>
        <v>12487.16598</v>
      </c>
      <c r="I327" s="152">
        <f t="shared" si="323"/>
        <v>183967.0153</v>
      </c>
      <c r="J327" s="152">
        <f t="shared" si="323"/>
        <v>4766209.343</v>
      </c>
      <c r="K327" s="152">
        <f t="shared" si="323"/>
        <v>230555854.8</v>
      </c>
      <c r="L327" s="152">
        <f t="shared" si="323"/>
        <v>24139009514</v>
      </c>
      <c r="M327" s="152">
        <f t="shared" si="323"/>
        <v>6873601471441</v>
      </c>
      <c r="N327" s="152">
        <f t="shared" si="323"/>
        <v>6.45179E+15</v>
      </c>
      <c r="O327" s="152">
        <f t="shared" si="323"/>
        <v>2.63403E+19</v>
      </c>
      <c r="P327" s="152">
        <f t="shared" si="323"/>
        <v>6.78955E+23</v>
      </c>
      <c r="Q327" s="152">
        <f t="shared" si="323"/>
        <v>1.91346E+29</v>
      </c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6">
        <v>324.0</v>
      </c>
      <c r="C328" s="152">
        <f t="shared" ref="C328:Q328" si="324">C327/(1-C$2*C$3^($B328-1))</f>
        <v>5.241157168</v>
      </c>
      <c r="D328" s="152">
        <f t="shared" si="324"/>
        <v>14.98396429</v>
      </c>
      <c r="E328" s="152">
        <f t="shared" si="324"/>
        <v>50.32258335</v>
      </c>
      <c r="F328" s="152">
        <f t="shared" si="324"/>
        <v>229.3756062</v>
      </c>
      <c r="G328" s="152">
        <f t="shared" si="324"/>
        <v>1385.330717</v>
      </c>
      <c r="H328" s="152">
        <f t="shared" si="324"/>
        <v>12487.16684</v>
      </c>
      <c r="I328" s="152">
        <f t="shared" si="324"/>
        <v>183967.0568</v>
      </c>
      <c r="J328" s="152">
        <f t="shared" si="324"/>
        <v>4766212.745</v>
      </c>
      <c r="K328" s="152">
        <f t="shared" si="324"/>
        <v>230556363.8</v>
      </c>
      <c r="L328" s="152">
        <f t="shared" si="324"/>
        <v>24139171119</v>
      </c>
      <c r="M328" s="152">
        <f t="shared" si="324"/>
        <v>6873738730746</v>
      </c>
      <c r="N328" s="152">
        <f t="shared" si="324"/>
        <v>6.45217E+15</v>
      </c>
      <c r="O328" s="152">
        <f t="shared" si="324"/>
        <v>2.63447E+19</v>
      </c>
      <c r="P328" s="152">
        <f t="shared" si="324"/>
        <v>6.79281E+23</v>
      </c>
      <c r="Q328" s="152">
        <f t="shared" si="324"/>
        <v>1.91602E+29</v>
      </c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6">
        <v>325.0</v>
      </c>
      <c r="C329" s="152">
        <f t="shared" ref="C329:Q329" si="325">C328/(1-C$2*C$3^($B329-1))</f>
        <v>5.241157168</v>
      </c>
      <c r="D329" s="152">
        <f t="shared" si="325"/>
        <v>14.98396429</v>
      </c>
      <c r="E329" s="152">
        <f t="shared" si="325"/>
        <v>50.32258343</v>
      </c>
      <c r="F329" s="152">
        <f t="shared" si="325"/>
        <v>229.3756076</v>
      </c>
      <c r="G329" s="152">
        <f t="shared" si="325"/>
        <v>1385.330744</v>
      </c>
      <c r="H329" s="152">
        <f t="shared" si="325"/>
        <v>12487.16767</v>
      </c>
      <c r="I329" s="152">
        <f t="shared" si="325"/>
        <v>183967.0964</v>
      </c>
      <c r="J329" s="152">
        <f t="shared" si="325"/>
        <v>4766216.007</v>
      </c>
      <c r="K329" s="152">
        <f t="shared" si="325"/>
        <v>230556853.4</v>
      </c>
      <c r="L329" s="152">
        <f t="shared" si="325"/>
        <v>24139327068</v>
      </c>
      <c r="M329" s="152">
        <f t="shared" si="325"/>
        <v>6873871600322</v>
      </c>
      <c r="N329" s="152">
        <f t="shared" si="325"/>
        <v>6.45253E+15</v>
      </c>
      <c r="O329" s="152">
        <f t="shared" si="325"/>
        <v>2.63491E+19</v>
      </c>
      <c r="P329" s="152">
        <f t="shared" si="325"/>
        <v>6.796E+23</v>
      </c>
      <c r="Q329" s="152">
        <f t="shared" si="325"/>
        <v>1.91855E+29</v>
      </c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6">
        <v>326.0</v>
      </c>
      <c r="C330" s="152">
        <f t="shared" ref="C330:Q330" si="326">C329/(1-C$2*C$3^($B330-1))</f>
        <v>5.241157169</v>
      </c>
      <c r="D330" s="152">
        <f t="shared" si="326"/>
        <v>14.9839643</v>
      </c>
      <c r="E330" s="152">
        <f t="shared" si="326"/>
        <v>50.32258351</v>
      </c>
      <c r="F330" s="152">
        <f t="shared" si="326"/>
        <v>229.3756088</v>
      </c>
      <c r="G330" s="152">
        <f t="shared" si="326"/>
        <v>1385.33077</v>
      </c>
      <c r="H330" s="152">
        <f t="shared" si="326"/>
        <v>12487.16846</v>
      </c>
      <c r="I330" s="152">
        <f t="shared" si="326"/>
        <v>183967.1343</v>
      </c>
      <c r="J330" s="152">
        <f t="shared" si="326"/>
        <v>4766219.136</v>
      </c>
      <c r="K330" s="152">
        <f t="shared" si="326"/>
        <v>230557324.5</v>
      </c>
      <c r="L330" s="152">
        <f t="shared" si="326"/>
        <v>24139477560</v>
      </c>
      <c r="M330" s="152">
        <f t="shared" si="326"/>
        <v>6874000220477</v>
      </c>
      <c r="N330" s="152">
        <f t="shared" si="326"/>
        <v>6.45289E+15</v>
      </c>
      <c r="O330" s="152">
        <f t="shared" si="326"/>
        <v>2.63533E+19</v>
      </c>
      <c r="P330" s="152">
        <f t="shared" si="326"/>
        <v>6.79911E+23</v>
      </c>
      <c r="Q330" s="152">
        <f t="shared" si="326"/>
        <v>1.92102E+29</v>
      </c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6">
        <v>327.0</v>
      </c>
      <c r="C331" s="152">
        <f t="shared" ref="C331:Q331" si="327">C330/(1-C$2*C$3^($B331-1))</f>
        <v>5.241157169</v>
      </c>
      <c r="D331" s="152">
        <f t="shared" si="327"/>
        <v>14.98396431</v>
      </c>
      <c r="E331" s="152">
        <f t="shared" si="327"/>
        <v>50.32258358</v>
      </c>
      <c r="F331" s="152">
        <f t="shared" si="327"/>
        <v>229.37561</v>
      </c>
      <c r="G331" s="152">
        <f t="shared" si="327"/>
        <v>1385.330795</v>
      </c>
      <c r="H331" s="152">
        <f t="shared" si="327"/>
        <v>12487.16922</v>
      </c>
      <c r="I331" s="152">
        <f t="shared" si="327"/>
        <v>183967.1706</v>
      </c>
      <c r="J331" s="152">
        <f t="shared" si="327"/>
        <v>4766222.137</v>
      </c>
      <c r="K331" s="152">
        <f t="shared" si="327"/>
        <v>230557777.6</v>
      </c>
      <c r="L331" s="152">
        <f t="shared" si="327"/>
        <v>24139622786</v>
      </c>
      <c r="M331" s="152">
        <f t="shared" si="327"/>
        <v>6874124727043</v>
      </c>
      <c r="N331" s="152">
        <f t="shared" si="327"/>
        <v>6.45324E+15</v>
      </c>
      <c r="O331" s="152">
        <f t="shared" si="327"/>
        <v>2.63574E+19</v>
      </c>
      <c r="P331" s="152">
        <f t="shared" si="327"/>
        <v>6.80215E+23</v>
      </c>
      <c r="Q331" s="152">
        <f t="shared" si="327"/>
        <v>1.92345E+29</v>
      </c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6">
        <v>328.0</v>
      </c>
      <c r="C332" s="152">
        <f t="shared" ref="C332:Q332" si="328">C331/(1-C$2*C$3^($B332-1))</f>
        <v>5.24115717</v>
      </c>
      <c r="D332" s="152">
        <f t="shared" si="328"/>
        <v>14.98396431</v>
      </c>
      <c r="E332" s="152">
        <f t="shared" si="328"/>
        <v>50.32258365</v>
      </c>
      <c r="F332" s="152">
        <f t="shared" si="328"/>
        <v>229.3756112</v>
      </c>
      <c r="G332" s="152">
        <f t="shared" si="328"/>
        <v>1385.330819</v>
      </c>
      <c r="H332" s="152">
        <f t="shared" si="328"/>
        <v>12487.16993</v>
      </c>
      <c r="I332" s="152">
        <f t="shared" si="328"/>
        <v>183967.2052</v>
      </c>
      <c r="J332" s="152">
        <f t="shared" si="328"/>
        <v>4766225.014</v>
      </c>
      <c r="K332" s="152">
        <f t="shared" si="328"/>
        <v>230558213.5</v>
      </c>
      <c r="L332" s="152">
        <f t="shared" si="328"/>
        <v>24139762930</v>
      </c>
      <c r="M332" s="152">
        <f t="shared" si="328"/>
        <v>6874245251512</v>
      </c>
      <c r="N332" s="152">
        <f t="shared" si="328"/>
        <v>6.45357E+15</v>
      </c>
      <c r="O332" s="152">
        <f t="shared" si="328"/>
        <v>2.63614E+19</v>
      </c>
      <c r="P332" s="152">
        <f t="shared" si="328"/>
        <v>6.80512E+23</v>
      </c>
      <c r="Q332" s="152">
        <f t="shared" si="328"/>
        <v>1.92583E+29</v>
      </c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6">
        <v>329.0</v>
      </c>
      <c r="C333" s="152">
        <f t="shared" ref="C333:Q333" si="329">C332/(1-C$2*C$3^($B333-1))</f>
        <v>5.24115717</v>
      </c>
      <c r="D333" s="152">
        <f t="shared" si="329"/>
        <v>14.98396432</v>
      </c>
      <c r="E333" s="152">
        <f t="shared" si="329"/>
        <v>50.32258371</v>
      </c>
      <c r="F333" s="152">
        <f t="shared" si="329"/>
        <v>229.3756122</v>
      </c>
      <c r="G333" s="152">
        <f t="shared" si="329"/>
        <v>1385.330842</v>
      </c>
      <c r="H333" s="152">
        <f t="shared" si="329"/>
        <v>12487.17062</v>
      </c>
      <c r="I333" s="152">
        <f t="shared" si="329"/>
        <v>183967.2384</v>
      </c>
      <c r="J333" s="152">
        <f t="shared" si="329"/>
        <v>4766227.774</v>
      </c>
      <c r="K333" s="152">
        <f t="shared" si="329"/>
        <v>230558632.9</v>
      </c>
      <c r="L333" s="152">
        <f t="shared" si="329"/>
        <v>24139898169</v>
      </c>
      <c r="M333" s="152">
        <f t="shared" si="329"/>
        <v>6874361921178</v>
      </c>
      <c r="N333" s="152">
        <f t="shared" si="329"/>
        <v>6.4539E+15</v>
      </c>
      <c r="O333" s="152">
        <f t="shared" si="329"/>
        <v>2.63653E+19</v>
      </c>
      <c r="P333" s="152">
        <f t="shared" si="329"/>
        <v>6.80803E+23</v>
      </c>
      <c r="Q333" s="152">
        <f t="shared" si="329"/>
        <v>1.92816E+29</v>
      </c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6">
        <v>330.0</v>
      </c>
      <c r="C334" s="152">
        <f t="shared" ref="C334:Q334" si="330">C333/(1-C$2*C$3^($B334-1))</f>
        <v>5.24115717</v>
      </c>
      <c r="D334" s="152">
        <f t="shared" si="330"/>
        <v>14.98396432</v>
      </c>
      <c r="E334" s="152">
        <f t="shared" si="330"/>
        <v>50.32258377</v>
      </c>
      <c r="F334" s="152">
        <f t="shared" si="330"/>
        <v>229.3756132</v>
      </c>
      <c r="G334" s="152">
        <f t="shared" si="330"/>
        <v>1385.330863</v>
      </c>
      <c r="H334" s="152">
        <f t="shared" si="330"/>
        <v>12487.17127</v>
      </c>
      <c r="I334" s="152">
        <f t="shared" si="330"/>
        <v>183967.27</v>
      </c>
      <c r="J334" s="152">
        <f t="shared" si="330"/>
        <v>4766230.42</v>
      </c>
      <c r="K334" s="152">
        <f t="shared" si="330"/>
        <v>230559036.3</v>
      </c>
      <c r="L334" s="152">
        <f t="shared" si="330"/>
        <v>24140028676</v>
      </c>
      <c r="M334" s="152">
        <f t="shared" si="330"/>
        <v>6874474859270</v>
      </c>
      <c r="N334" s="152">
        <f t="shared" si="330"/>
        <v>6.45422E+15</v>
      </c>
      <c r="O334" s="152">
        <f t="shared" si="330"/>
        <v>2.63691E+19</v>
      </c>
      <c r="P334" s="152">
        <f t="shared" si="330"/>
        <v>6.81087E+23</v>
      </c>
      <c r="Q334" s="152">
        <f t="shared" si="330"/>
        <v>1.93046E+29</v>
      </c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6">
        <v>331.0</v>
      </c>
      <c r="C335" s="152">
        <f t="shared" ref="C335:Q335" si="331">C334/(1-C$2*C$3^($B335-1))</f>
        <v>5.241157171</v>
      </c>
      <c r="D335" s="152">
        <f t="shared" si="331"/>
        <v>14.98396433</v>
      </c>
      <c r="E335" s="152">
        <f t="shared" si="331"/>
        <v>50.32258383</v>
      </c>
      <c r="F335" s="152">
        <f t="shared" si="331"/>
        <v>229.3756142</v>
      </c>
      <c r="G335" s="152">
        <f t="shared" si="331"/>
        <v>1385.330883</v>
      </c>
      <c r="H335" s="152">
        <f t="shared" si="331"/>
        <v>12487.17189</v>
      </c>
      <c r="I335" s="152">
        <f t="shared" si="331"/>
        <v>183967.3003</v>
      </c>
      <c r="J335" s="152">
        <f t="shared" si="331"/>
        <v>4766232.958</v>
      </c>
      <c r="K335" s="152">
        <f t="shared" si="331"/>
        <v>230559424.3</v>
      </c>
      <c r="L335" s="152">
        <f t="shared" si="331"/>
        <v>24140154615</v>
      </c>
      <c r="M335" s="152">
        <f t="shared" si="331"/>
        <v>6874584185082</v>
      </c>
      <c r="N335" s="152">
        <f t="shared" si="331"/>
        <v>6.45452E+15</v>
      </c>
      <c r="O335" s="152">
        <f t="shared" si="331"/>
        <v>2.63728E+19</v>
      </c>
      <c r="P335" s="152">
        <f t="shared" si="331"/>
        <v>6.81365E+23</v>
      </c>
      <c r="Q335" s="152">
        <f t="shared" si="331"/>
        <v>1.93271E+29</v>
      </c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6">
        <v>332.0</v>
      </c>
      <c r="C336" s="152">
        <f t="shared" ref="C336:Q336" si="332">C335/(1-C$2*C$3^($B336-1))</f>
        <v>5.241157171</v>
      </c>
      <c r="D336" s="152">
        <f t="shared" si="332"/>
        <v>14.98396433</v>
      </c>
      <c r="E336" s="152">
        <f t="shared" si="332"/>
        <v>50.32258388</v>
      </c>
      <c r="F336" s="152">
        <f t="shared" si="332"/>
        <v>229.3756151</v>
      </c>
      <c r="G336" s="152">
        <f t="shared" si="332"/>
        <v>1385.330902</v>
      </c>
      <c r="H336" s="152">
        <f t="shared" si="332"/>
        <v>12487.17248</v>
      </c>
      <c r="I336" s="152">
        <f t="shared" si="332"/>
        <v>183967.3293</v>
      </c>
      <c r="J336" s="152">
        <f t="shared" si="332"/>
        <v>4766235.392</v>
      </c>
      <c r="K336" s="152">
        <f t="shared" si="332"/>
        <v>230559797.7</v>
      </c>
      <c r="L336" s="152">
        <f t="shared" si="332"/>
        <v>24140276148</v>
      </c>
      <c r="M336" s="152">
        <f t="shared" si="332"/>
        <v>6874690014096</v>
      </c>
      <c r="N336" s="152">
        <f t="shared" si="332"/>
        <v>6.45482E+15</v>
      </c>
      <c r="O336" s="152">
        <f t="shared" si="332"/>
        <v>2.63764E+19</v>
      </c>
      <c r="P336" s="152">
        <f t="shared" si="332"/>
        <v>6.81636E+23</v>
      </c>
      <c r="Q336" s="152">
        <f t="shared" si="332"/>
        <v>1.93491E+29</v>
      </c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6">
        <v>333.0</v>
      </c>
      <c r="C337" s="152">
        <f t="shared" ref="C337:Q337" si="333">C336/(1-C$2*C$3^($B337-1))</f>
        <v>5.241157171</v>
      </c>
      <c r="D337" s="152">
        <f t="shared" si="333"/>
        <v>14.98396433</v>
      </c>
      <c r="E337" s="152">
        <f t="shared" si="333"/>
        <v>50.32258393</v>
      </c>
      <c r="F337" s="152">
        <f t="shared" si="333"/>
        <v>229.375616</v>
      </c>
      <c r="G337" s="152">
        <f t="shared" si="333"/>
        <v>1385.330921</v>
      </c>
      <c r="H337" s="152">
        <f t="shared" si="333"/>
        <v>12487.17304</v>
      </c>
      <c r="I337" s="152">
        <f t="shared" si="333"/>
        <v>183967.3569</v>
      </c>
      <c r="J337" s="152">
        <f t="shared" si="333"/>
        <v>4766237.726</v>
      </c>
      <c r="K337" s="152">
        <f t="shared" si="333"/>
        <v>230560156.8</v>
      </c>
      <c r="L337" s="152">
        <f t="shared" si="333"/>
        <v>24140393427</v>
      </c>
      <c r="M337" s="152">
        <f t="shared" si="333"/>
        <v>6874792458109</v>
      </c>
      <c r="N337" s="152">
        <f t="shared" si="333"/>
        <v>6.45511E+15</v>
      </c>
      <c r="O337" s="152">
        <f t="shared" si="333"/>
        <v>2.63799E+19</v>
      </c>
      <c r="P337" s="152">
        <f t="shared" si="333"/>
        <v>6.81901E+23</v>
      </c>
      <c r="Q337" s="152">
        <f t="shared" si="333"/>
        <v>1.93708E+29</v>
      </c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6">
        <v>334.0</v>
      </c>
      <c r="C338" s="152">
        <f t="shared" ref="C338:Q338" si="334">C337/(1-C$2*C$3^($B338-1))</f>
        <v>5.241157172</v>
      </c>
      <c r="D338" s="152">
        <f t="shared" si="334"/>
        <v>14.98396434</v>
      </c>
      <c r="E338" s="152">
        <f t="shared" si="334"/>
        <v>50.32258398</v>
      </c>
      <c r="F338" s="152">
        <f t="shared" si="334"/>
        <v>229.3756168</v>
      </c>
      <c r="G338" s="152">
        <f t="shared" si="334"/>
        <v>1385.330938</v>
      </c>
      <c r="H338" s="152">
        <f t="shared" si="334"/>
        <v>12487.17358</v>
      </c>
      <c r="I338" s="152">
        <f t="shared" si="334"/>
        <v>183967.3834</v>
      </c>
      <c r="J338" s="152">
        <f t="shared" si="334"/>
        <v>4766239.964</v>
      </c>
      <c r="K338" s="152">
        <f t="shared" si="334"/>
        <v>230560502.3</v>
      </c>
      <c r="L338" s="152">
        <f t="shared" si="334"/>
        <v>24140506602</v>
      </c>
      <c r="M338" s="152">
        <f t="shared" si="334"/>
        <v>6874891625344</v>
      </c>
      <c r="N338" s="152">
        <f t="shared" si="334"/>
        <v>6.45539E+15</v>
      </c>
      <c r="O338" s="152">
        <f t="shared" si="334"/>
        <v>2.63834E+19</v>
      </c>
      <c r="P338" s="152">
        <f t="shared" si="334"/>
        <v>6.82161E+23</v>
      </c>
      <c r="Q338" s="152">
        <f t="shared" si="334"/>
        <v>1.9392E+29</v>
      </c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6">
        <v>335.0</v>
      </c>
      <c r="C339" s="152">
        <f t="shared" ref="C339:Q339" si="335">C338/(1-C$2*C$3^($B339-1))</f>
        <v>5.241157172</v>
      </c>
      <c r="D339" s="152">
        <f t="shared" si="335"/>
        <v>14.98396434</v>
      </c>
      <c r="E339" s="152">
        <f t="shared" si="335"/>
        <v>50.32258403</v>
      </c>
      <c r="F339" s="152">
        <f t="shared" si="335"/>
        <v>229.3756176</v>
      </c>
      <c r="G339" s="152">
        <f t="shared" si="335"/>
        <v>1385.330955</v>
      </c>
      <c r="H339" s="152">
        <f t="shared" si="335"/>
        <v>12487.17409</v>
      </c>
      <c r="I339" s="152">
        <f t="shared" si="335"/>
        <v>183967.4087</v>
      </c>
      <c r="J339" s="152">
        <f t="shared" si="335"/>
        <v>4766242.111</v>
      </c>
      <c r="K339" s="152">
        <f t="shared" si="335"/>
        <v>230560834.7</v>
      </c>
      <c r="L339" s="152">
        <f t="shared" si="335"/>
        <v>24140615816</v>
      </c>
      <c r="M339" s="152">
        <f t="shared" si="335"/>
        <v>6874987620568</v>
      </c>
      <c r="N339" s="152">
        <f t="shared" si="335"/>
        <v>6.45567E+15</v>
      </c>
      <c r="O339" s="152">
        <f t="shared" si="335"/>
        <v>2.63867E+19</v>
      </c>
      <c r="P339" s="152">
        <f t="shared" si="335"/>
        <v>6.82414E+23</v>
      </c>
      <c r="Q339" s="152">
        <f t="shared" si="335"/>
        <v>1.94129E+29</v>
      </c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6">
        <v>336.0</v>
      </c>
      <c r="C340" s="152">
        <f t="shared" ref="C340:Q340" si="336">C339/(1-C$2*C$3^($B340-1))</f>
        <v>5.241157172</v>
      </c>
      <c r="D340" s="152">
        <f t="shared" si="336"/>
        <v>14.98396434</v>
      </c>
      <c r="E340" s="152">
        <f t="shared" si="336"/>
        <v>50.32258407</v>
      </c>
      <c r="F340" s="152">
        <f t="shared" si="336"/>
        <v>229.3756183</v>
      </c>
      <c r="G340" s="152">
        <f t="shared" si="336"/>
        <v>1385.33097</v>
      </c>
      <c r="H340" s="152">
        <f t="shared" si="336"/>
        <v>12487.17458</v>
      </c>
      <c r="I340" s="152">
        <f t="shared" si="336"/>
        <v>183967.4329</v>
      </c>
      <c r="J340" s="152">
        <f t="shared" si="336"/>
        <v>4766244.169</v>
      </c>
      <c r="K340" s="152">
        <f t="shared" si="336"/>
        <v>230561154.5</v>
      </c>
      <c r="L340" s="152">
        <f t="shared" si="336"/>
        <v>24140721209</v>
      </c>
      <c r="M340" s="152">
        <f t="shared" si="336"/>
        <v>6875080545201</v>
      </c>
      <c r="N340" s="152">
        <f t="shared" si="336"/>
        <v>6.45593E+15</v>
      </c>
      <c r="O340" s="152">
        <f t="shared" si="336"/>
        <v>2.639E+19</v>
      </c>
      <c r="P340" s="152">
        <f t="shared" si="336"/>
        <v>6.82662E+23</v>
      </c>
      <c r="Q340" s="152">
        <f t="shared" si="336"/>
        <v>1.94333E+29</v>
      </c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6">
        <v>337.0</v>
      </c>
      <c r="C341" s="152">
        <f t="shared" ref="C341:Q341" si="337">C340/(1-C$2*C$3^($B341-1))</f>
        <v>5.241157172</v>
      </c>
      <c r="D341" s="152">
        <f t="shared" si="337"/>
        <v>14.98396435</v>
      </c>
      <c r="E341" s="152">
        <f t="shared" si="337"/>
        <v>50.32258411</v>
      </c>
      <c r="F341" s="152">
        <f t="shared" si="337"/>
        <v>229.375619</v>
      </c>
      <c r="G341" s="152">
        <f t="shared" si="337"/>
        <v>1385.330985</v>
      </c>
      <c r="H341" s="152">
        <f t="shared" si="337"/>
        <v>12487.17504</v>
      </c>
      <c r="I341" s="152">
        <f t="shared" si="337"/>
        <v>183967.456</v>
      </c>
      <c r="J341" s="152">
        <f t="shared" si="337"/>
        <v>4766246.144</v>
      </c>
      <c r="K341" s="152">
        <f t="shared" si="337"/>
        <v>230561462.1</v>
      </c>
      <c r="L341" s="152">
        <f t="shared" si="337"/>
        <v>24140822913</v>
      </c>
      <c r="M341" s="152">
        <f t="shared" si="337"/>
        <v>6875170497422</v>
      </c>
      <c r="N341" s="152">
        <f t="shared" si="337"/>
        <v>6.45619E+15</v>
      </c>
      <c r="O341" s="152">
        <f t="shared" si="337"/>
        <v>2.63931E+19</v>
      </c>
      <c r="P341" s="152">
        <f t="shared" si="337"/>
        <v>6.82904E+23</v>
      </c>
      <c r="Q341" s="152">
        <f t="shared" si="337"/>
        <v>1.94534E+29</v>
      </c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6">
        <v>338.0</v>
      </c>
      <c r="C342" s="152">
        <f t="shared" ref="C342:Q342" si="338">C341/(1-C$2*C$3^($B342-1))</f>
        <v>5.241157173</v>
      </c>
      <c r="D342" s="152">
        <f t="shared" si="338"/>
        <v>14.98396435</v>
      </c>
      <c r="E342" s="152">
        <f t="shared" si="338"/>
        <v>50.32258415</v>
      </c>
      <c r="F342" s="152">
        <f t="shared" si="338"/>
        <v>229.3756196</v>
      </c>
      <c r="G342" s="152">
        <f t="shared" si="338"/>
        <v>1385.330999</v>
      </c>
      <c r="H342" s="152">
        <f t="shared" si="338"/>
        <v>12487.17549</v>
      </c>
      <c r="I342" s="152">
        <f t="shared" si="338"/>
        <v>183967.4781</v>
      </c>
      <c r="J342" s="152">
        <f t="shared" si="338"/>
        <v>4766248.037</v>
      </c>
      <c r="K342" s="152">
        <f t="shared" si="338"/>
        <v>230561758</v>
      </c>
      <c r="L342" s="152">
        <f t="shared" si="338"/>
        <v>24140921058</v>
      </c>
      <c r="M342" s="152">
        <f t="shared" si="338"/>
        <v>6875257572275</v>
      </c>
      <c r="N342" s="152">
        <f t="shared" si="338"/>
        <v>6.45644E+15</v>
      </c>
      <c r="O342" s="152">
        <f t="shared" si="338"/>
        <v>2.63962E+19</v>
      </c>
      <c r="P342" s="152">
        <f t="shared" si="338"/>
        <v>6.8314E+23</v>
      </c>
      <c r="Q342" s="152">
        <f t="shared" si="338"/>
        <v>1.9473E+29</v>
      </c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6">
        <v>339.0</v>
      </c>
      <c r="C343" s="152">
        <f t="shared" ref="C343:Q343" si="339">C342/(1-C$2*C$3^($B343-1))</f>
        <v>5.241157173</v>
      </c>
      <c r="D343" s="152">
        <f t="shared" si="339"/>
        <v>14.98396435</v>
      </c>
      <c r="E343" s="152">
        <f t="shared" si="339"/>
        <v>50.32258419</v>
      </c>
      <c r="F343" s="152">
        <f t="shared" si="339"/>
        <v>229.3756203</v>
      </c>
      <c r="G343" s="152">
        <f t="shared" si="339"/>
        <v>1385.331013</v>
      </c>
      <c r="H343" s="152">
        <f t="shared" si="339"/>
        <v>12487.17591</v>
      </c>
      <c r="I343" s="152">
        <f t="shared" si="339"/>
        <v>183967.4992</v>
      </c>
      <c r="J343" s="152">
        <f t="shared" si="339"/>
        <v>4766249.852</v>
      </c>
      <c r="K343" s="152">
        <f t="shared" si="339"/>
        <v>230562042.6</v>
      </c>
      <c r="L343" s="152">
        <f t="shared" si="339"/>
        <v>24141015768</v>
      </c>
      <c r="M343" s="152">
        <f t="shared" si="339"/>
        <v>6875341861766</v>
      </c>
      <c r="N343" s="152">
        <f t="shared" si="339"/>
        <v>6.45668E+15</v>
      </c>
      <c r="O343" s="152">
        <f t="shared" si="339"/>
        <v>2.63992E+19</v>
      </c>
      <c r="P343" s="152">
        <f t="shared" si="339"/>
        <v>6.83371E+23</v>
      </c>
      <c r="Q343" s="152">
        <f t="shared" si="339"/>
        <v>1.94923E+29</v>
      </c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6">
        <v>340.0</v>
      </c>
      <c r="C344" s="152">
        <f t="shared" ref="C344:Q344" si="340">C343/(1-C$2*C$3^($B344-1))</f>
        <v>5.241157173</v>
      </c>
      <c r="D344" s="152">
        <f t="shared" si="340"/>
        <v>14.98396436</v>
      </c>
      <c r="E344" s="152">
        <f t="shared" si="340"/>
        <v>50.32258422</v>
      </c>
      <c r="F344" s="152">
        <f t="shared" si="340"/>
        <v>229.3756209</v>
      </c>
      <c r="G344" s="152">
        <f t="shared" si="340"/>
        <v>1385.331026</v>
      </c>
      <c r="H344" s="152">
        <f t="shared" si="340"/>
        <v>12487.17631</v>
      </c>
      <c r="I344" s="152">
        <f t="shared" si="340"/>
        <v>183967.5194</v>
      </c>
      <c r="J344" s="152">
        <f t="shared" si="340"/>
        <v>4766251.594</v>
      </c>
      <c r="K344" s="152">
        <f t="shared" si="340"/>
        <v>230562316.5</v>
      </c>
      <c r="L344" s="152">
        <f t="shared" si="340"/>
        <v>24141107164</v>
      </c>
      <c r="M344" s="152">
        <f t="shared" si="340"/>
        <v>6875423454962</v>
      </c>
      <c r="N344" s="152">
        <f t="shared" si="340"/>
        <v>6.45692E+15</v>
      </c>
      <c r="O344" s="152">
        <f t="shared" si="340"/>
        <v>2.64021E+19</v>
      </c>
      <c r="P344" s="152">
        <f t="shared" si="340"/>
        <v>6.83597E+23</v>
      </c>
      <c r="Q344" s="152">
        <f t="shared" si="340"/>
        <v>1.95113E+29</v>
      </c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6">
        <v>341.0</v>
      </c>
      <c r="C345" s="152">
        <f t="shared" ref="C345:Q345" si="341">C344/(1-C$2*C$3^($B345-1))</f>
        <v>5.241157173</v>
      </c>
      <c r="D345" s="152">
        <f t="shared" si="341"/>
        <v>14.98396436</v>
      </c>
      <c r="E345" s="152">
        <f t="shared" si="341"/>
        <v>50.32258425</v>
      </c>
      <c r="F345" s="152">
        <f t="shared" si="341"/>
        <v>229.3756214</v>
      </c>
      <c r="G345" s="152">
        <f t="shared" si="341"/>
        <v>1385.331038</v>
      </c>
      <c r="H345" s="152">
        <f t="shared" si="341"/>
        <v>12487.1767</v>
      </c>
      <c r="I345" s="152">
        <f t="shared" si="341"/>
        <v>183967.5387</v>
      </c>
      <c r="J345" s="152">
        <f t="shared" si="341"/>
        <v>4766253.263</v>
      </c>
      <c r="K345" s="152">
        <f t="shared" si="341"/>
        <v>230562579.9</v>
      </c>
      <c r="L345" s="152">
        <f t="shared" si="341"/>
        <v>24141195361</v>
      </c>
      <c r="M345" s="152">
        <f t="shared" si="341"/>
        <v>6875502438082</v>
      </c>
      <c r="N345" s="152">
        <f t="shared" si="341"/>
        <v>6.45715E+15</v>
      </c>
      <c r="O345" s="152">
        <f t="shared" si="341"/>
        <v>2.6405E+19</v>
      </c>
      <c r="P345" s="152">
        <f t="shared" si="341"/>
        <v>6.83818E+23</v>
      </c>
      <c r="Q345" s="152">
        <f t="shared" si="341"/>
        <v>1.95298E+29</v>
      </c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6">
        <v>342.0</v>
      </c>
      <c r="C346" s="152">
        <f t="shared" ref="C346:Q346" si="342">C345/(1-C$2*C$3^($B346-1))</f>
        <v>5.241157173</v>
      </c>
      <c r="D346" s="152">
        <f t="shared" si="342"/>
        <v>14.98396436</v>
      </c>
      <c r="E346" s="152">
        <f t="shared" si="342"/>
        <v>50.32258428</v>
      </c>
      <c r="F346" s="152">
        <f t="shared" si="342"/>
        <v>229.3756219</v>
      </c>
      <c r="G346" s="152">
        <f t="shared" si="342"/>
        <v>1385.331049</v>
      </c>
      <c r="H346" s="152">
        <f t="shared" si="342"/>
        <v>12487.17706</v>
      </c>
      <c r="I346" s="152">
        <f t="shared" si="342"/>
        <v>183967.5572</v>
      </c>
      <c r="J346" s="152">
        <f t="shared" si="342"/>
        <v>4766254.865</v>
      </c>
      <c r="K346" s="152">
        <f t="shared" si="342"/>
        <v>230562833.3</v>
      </c>
      <c r="L346" s="152">
        <f t="shared" si="342"/>
        <v>24141280471</v>
      </c>
      <c r="M346" s="152">
        <f t="shared" si="342"/>
        <v>6875578894594</v>
      </c>
      <c r="N346" s="152">
        <f t="shared" si="342"/>
        <v>6.45737E+15</v>
      </c>
      <c r="O346" s="152">
        <f t="shared" si="342"/>
        <v>2.64078E+19</v>
      </c>
      <c r="P346" s="152">
        <f t="shared" si="342"/>
        <v>6.84034E+23</v>
      </c>
      <c r="Q346" s="152">
        <f t="shared" si="342"/>
        <v>1.9548E+29</v>
      </c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6">
        <v>343.0</v>
      </c>
      <c r="C347" s="152">
        <f t="shared" ref="C347:Q347" si="343">C346/(1-C$2*C$3^($B347-1))</f>
        <v>5.241157174</v>
      </c>
      <c r="D347" s="152">
        <f t="shared" si="343"/>
        <v>14.98396436</v>
      </c>
      <c r="E347" s="152">
        <f t="shared" si="343"/>
        <v>50.32258431</v>
      </c>
      <c r="F347" s="152">
        <f t="shared" si="343"/>
        <v>229.3756224</v>
      </c>
      <c r="G347" s="152">
        <f t="shared" si="343"/>
        <v>1385.33106</v>
      </c>
      <c r="H347" s="152">
        <f t="shared" si="343"/>
        <v>12487.17741</v>
      </c>
      <c r="I347" s="152">
        <f t="shared" si="343"/>
        <v>183967.5748</v>
      </c>
      <c r="J347" s="152">
        <f t="shared" si="343"/>
        <v>4766256.4</v>
      </c>
      <c r="K347" s="152">
        <f t="shared" si="343"/>
        <v>230563077.1</v>
      </c>
      <c r="L347" s="152">
        <f t="shared" si="343"/>
        <v>24141362603</v>
      </c>
      <c r="M347" s="152">
        <f t="shared" si="343"/>
        <v>6875652905293</v>
      </c>
      <c r="N347" s="152">
        <f t="shared" si="343"/>
        <v>6.45759E+15</v>
      </c>
      <c r="O347" s="152">
        <f t="shared" si="343"/>
        <v>2.64105E+19</v>
      </c>
      <c r="P347" s="152">
        <f t="shared" si="343"/>
        <v>6.84245E+23</v>
      </c>
      <c r="Q347" s="152">
        <f t="shared" si="343"/>
        <v>1.95659E+29</v>
      </c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6">
        <v>344.0</v>
      </c>
      <c r="C348" s="152">
        <f t="shared" ref="C348:Q348" si="344">C347/(1-C$2*C$3^($B348-1))</f>
        <v>5.241157174</v>
      </c>
      <c r="D348" s="152">
        <f t="shared" si="344"/>
        <v>14.98396436</v>
      </c>
      <c r="E348" s="152">
        <f t="shared" si="344"/>
        <v>50.32258434</v>
      </c>
      <c r="F348" s="152">
        <f t="shared" si="344"/>
        <v>229.3756229</v>
      </c>
      <c r="G348" s="152">
        <f t="shared" si="344"/>
        <v>1385.331071</v>
      </c>
      <c r="H348" s="152">
        <f t="shared" si="344"/>
        <v>12487.17774</v>
      </c>
      <c r="I348" s="152">
        <f t="shared" si="344"/>
        <v>183967.5917</v>
      </c>
      <c r="J348" s="152">
        <f t="shared" si="344"/>
        <v>4766257.873</v>
      </c>
      <c r="K348" s="152">
        <f t="shared" si="344"/>
        <v>230563311.7</v>
      </c>
      <c r="L348" s="152">
        <f t="shared" si="344"/>
        <v>24141441861</v>
      </c>
      <c r="M348" s="152">
        <f t="shared" si="344"/>
        <v>6875724548396</v>
      </c>
      <c r="N348" s="152">
        <f t="shared" si="344"/>
        <v>6.4578E+15</v>
      </c>
      <c r="O348" s="152">
        <f t="shared" si="344"/>
        <v>2.64131E+19</v>
      </c>
      <c r="P348" s="152">
        <f t="shared" si="344"/>
        <v>6.84451E+23</v>
      </c>
      <c r="Q348" s="152">
        <f t="shared" si="344"/>
        <v>1.95834E+29</v>
      </c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6">
        <v>345.0</v>
      </c>
      <c r="C349" s="152">
        <f t="shared" ref="C349:Q349" si="345">C348/(1-C$2*C$3^($B349-1))</f>
        <v>5.241157174</v>
      </c>
      <c r="D349" s="152">
        <f t="shared" si="345"/>
        <v>14.98396437</v>
      </c>
      <c r="E349" s="152">
        <f t="shared" si="345"/>
        <v>50.32258436</v>
      </c>
      <c r="F349" s="152">
        <f t="shared" si="345"/>
        <v>229.3756234</v>
      </c>
      <c r="G349" s="152">
        <f t="shared" si="345"/>
        <v>1385.331081</v>
      </c>
      <c r="H349" s="152">
        <f t="shared" si="345"/>
        <v>12487.17806</v>
      </c>
      <c r="I349" s="152">
        <f t="shared" si="345"/>
        <v>183967.6078</v>
      </c>
      <c r="J349" s="152">
        <f t="shared" si="345"/>
        <v>4766259.285</v>
      </c>
      <c r="K349" s="152">
        <f t="shared" si="345"/>
        <v>230563537.3</v>
      </c>
      <c r="L349" s="152">
        <f t="shared" si="345"/>
        <v>24141518344</v>
      </c>
      <c r="M349" s="152">
        <f t="shared" si="345"/>
        <v>6875793899620</v>
      </c>
      <c r="N349" s="152">
        <f t="shared" si="345"/>
        <v>6.458E+15</v>
      </c>
      <c r="O349" s="152">
        <f t="shared" si="345"/>
        <v>2.64157E+19</v>
      </c>
      <c r="P349" s="152">
        <f t="shared" si="345"/>
        <v>6.84652E+23</v>
      </c>
      <c r="Q349" s="152">
        <f t="shared" si="345"/>
        <v>1.96006E+29</v>
      </c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6">
        <v>346.0</v>
      </c>
      <c r="C350" s="152">
        <f t="shared" ref="C350:Q350" si="346">C349/(1-C$2*C$3^($B350-1))</f>
        <v>5.241157174</v>
      </c>
      <c r="D350" s="152">
        <f t="shared" si="346"/>
        <v>14.98396437</v>
      </c>
      <c r="E350" s="152">
        <f t="shared" si="346"/>
        <v>50.32258439</v>
      </c>
      <c r="F350" s="152">
        <f t="shared" si="346"/>
        <v>229.3756238</v>
      </c>
      <c r="G350" s="152">
        <f t="shared" si="346"/>
        <v>1385.33109</v>
      </c>
      <c r="H350" s="152">
        <f t="shared" si="346"/>
        <v>12487.17836</v>
      </c>
      <c r="I350" s="152">
        <f t="shared" si="346"/>
        <v>183967.6232</v>
      </c>
      <c r="J350" s="152">
        <f t="shared" si="346"/>
        <v>4766260.64</v>
      </c>
      <c r="K350" s="152">
        <f t="shared" si="346"/>
        <v>230563754.3</v>
      </c>
      <c r="L350" s="152">
        <f t="shared" si="346"/>
        <v>24141592152</v>
      </c>
      <c r="M350" s="152">
        <f t="shared" si="346"/>
        <v>6875861032260</v>
      </c>
      <c r="N350" s="152">
        <f t="shared" si="346"/>
        <v>6.4582E+15</v>
      </c>
      <c r="O350" s="152">
        <f t="shared" si="346"/>
        <v>2.64182E+19</v>
      </c>
      <c r="P350" s="152">
        <f t="shared" si="346"/>
        <v>6.84849E+23</v>
      </c>
      <c r="Q350" s="152">
        <f t="shared" si="346"/>
        <v>1.96175E+29</v>
      </c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6">
        <v>347.0</v>
      </c>
      <c r="C351" s="152">
        <f t="shared" ref="C351:Q351" si="347">C350/(1-C$2*C$3^($B351-1))</f>
        <v>5.241157174</v>
      </c>
      <c r="D351" s="152">
        <f t="shared" si="347"/>
        <v>14.98396437</v>
      </c>
      <c r="E351" s="152">
        <f t="shared" si="347"/>
        <v>50.32258441</v>
      </c>
      <c r="F351" s="152">
        <f t="shared" si="347"/>
        <v>229.3756242</v>
      </c>
      <c r="G351" s="152">
        <f t="shared" si="347"/>
        <v>1385.331099</v>
      </c>
      <c r="H351" s="152">
        <f t="shared" si="347"/>
        <v>12487.17865</v>
      </c>
      <c r="I351" s="152">
        <f t="shared" si="347"/>
        <v>183967.638</v>
      </c>
      <c r="J351" s="152">
        <f t="shared" si="347"/>
        <v>4766261.939</v>
      </c>
      <c r="K351" s="152">
        <f t="shared" si="347"/>
        <v>230563963.1</v>
      </c>
      <c r="L351" s="152">
        <f t="shared" si="347"/>
        <v>24141663376</v>
      </c>
      <c r="M351" s="152">
        <f t="shared" si="347"/>
        <v>6875926017270</v>
      </c>
      <c r="N351" s="152">
        <f t="shared" si="347"/>
        <v>6.45839E+15</v>
      </c>
      <c r="O351" s="152">
        <f t="shared" si="347"/>
        <v>2.64206E+19</v>
      </c>
      <c r="P351" s="152">
        <f t="shared" si="347"/>
        <v>6.85042E+23</v>
      </c>
      <c r="Q351" s="152">
        <f t="shared" si="347"/>
        <v>1.9634E+29</v>
      </c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6">
        <v>348.0</v>
      </c>
      <c r="C352" s="152">
        <f t="shared" ref="C352:Q352" si="348">C351/(1-C$2*C$3^($B352-1))</f>
        <v>5.241157174</v>
      </c>
      <c r="D352" s="152">
        <f t="shared" si="348"/>
        <v>14.98396437</v>
      </c>
      <c r="E352" s="152">
        <f t="shared" si="348"/>
        <v>50.32258443</v>
      </c>
      <c r="F352" s="152">
        <f t="shared" si="348"/>
        <v>229.3756246</v>
      </c>
      <c r="G352" s="152">
        <f t="shared" si="348"/>
        <v>1385.331107</v>
      </c>
      <c r="H352" s="152">
        <f t="shared" si="348"/>
        <v>12487.17892</v>
      </c>
      <c r="I352" s="152">
        <f t="shared" si="348"/>
        <v>183967.6521</v>
      </c>
      <c r="J352" s="152">
        <f t="shared" si="348"/>
        <v>4766263.184</v>
      </c>
      <c r="K352" s="152">
        <f t="shared" si="348"/>
        <v>230564164</v>
      </c>
      <c r="L352" s="152">
        <f t="shared" si="348"/>
        <v>24141732107</v>
      </c>
      <c r="M352" s="152">
        <f t="shared" si="348"/>
        <v>6875988923335</v>
      </c>
      <c r="N352" s="152">
        <f t="shared" si="348"/>
        <v>6.45858E+15</v>
      </c>
      <c r="O352" s="152">
        <f t="shared" si="348"/>
        <v>2.6423E+19</v>
      </c>
      <c r="P352" s="152">
        <f t="shared" si="348"/>
        <v>6.8523E+23</v>
      </c>
      <c r="Q352" s="152">
        <f t="shared" si="348"/>
        <v>1.96503E+29</v>
      </c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6">
        <v>349.0</v>
      </c>
      <c r="C353" s="152">
        <f t="shared" ref="C353:Q353" si="349">C352/(1-C$2*C$3^($B353-1))</f>
        <v>5.241157174</v>
      </c>
      <c r="D353" s="152">
        <f t="shared" si="349"/>
        <v>14.98396437</v>
      </c>
      <c r="E353" s="152">
        <f t="shared" si="349"/>
        <v>50.32258445</v>
      </c>
      <c r="F353" s="152">
        <f t="shared" si="349"/>
        <v>229.3756249</v>
      </c>
      <c r="G353" s="152">
        <f t="shared" si="349"/>
        <v>1385.331116</v>
      </c>
      <c r="H353" s="152">
        <f t="shared" si="349"/>
        <v>12487.17918</v>
      </c>
      <c r="I353" s="152">
        <f t="shared" si="349"/>
        <v>183967.6655</v>
      </c>
      <c r="J353" s="152">
        <f t="shared" si="349"/>
        <v>4766264.379</v>
      </c>
      <c r="K353" s="152">
        <f t="shared" si="349"/>
        <v>230564357.3</v>
      </c>
      <c r="L353" s="152">
        <f t="shared" si="349"/>
        <v>24141798433</v>
      </c>
      <c r="M353" s="152">
        <f t="shared" si="349"/>
        <v>6876049816945</v>
      </c>
      <c r="N353" s="152">
        <f t="shared" si="349"/>
        <v>6.45876E+15</v>
      </c>
      <c r="O353" s="152">
        <f t="shared" si="349"/>
        <v>2.64253E+19</v>
      </c>
      <c r="P353" s="152">
        <f t="shared" si="349"/>
        <v>6.85413E+23</v>
      </c>
      <c r="Q353" s="152">
        <f t="shared" si="349"/>
        <v>1.96662E+29</v>
      </c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6">
        <v>350.0</v>
      </c>
      <c r="C354" s="152">
        <f t="shared" ref="C354:Q354" si="350">C353/(1-C$2*C$3^($B354-1))</f>
        <v>5.241157174</v>
      </c>
      <c r="D354" s="152">
        <f t="shared" si="350"/>
        <v>14.98396437</v>
      </c>
      <c r="E354" s="152">
        <f t="shared" si="350"/>
        <v>50.32258447</v>
      </c>
      <c r="F354" s="152">
        <f t="shared" si="350"/>
        <v>229.3756253</v>
      </c>
      <c r="G354" s="152">
        <f t="shared" si="350"/>
        <v>1385.331123</v>
      </c>
      <c r="H354" s="152">
        <f t="shared" si="350"/>
        <v>12487.17943</v>
      </c>
      <c r="I354" s="152">
        <f t="shared" si="350"/>
        <v>183967.6784</v>
      </c>
      <c r="J354" s="152">
        <f t="shared" si="350"/>
        <v>4766265.525</v>
      </c>
      <c r="K354" s="152">
        <f t="shared" si="350"/>
        <v>230564543.1</v>
      </c>
      <c r="L354" s="152">
        <f t="shared" si="350"/>
        <v>24141862438</v>
      </c>
      <c r="M354" s="152">
        <f t="shared" si="350"/>
        <v>6876108762464</v>
      </c>
      <c r="N354" s="152">
        <f t="shared" si="350"/>
        <v>6.45894E+15</v>
      </c>
      <c r="O354" s="152">
        <f t="shared" si="350"/>
        <v>2.64275E+19</v>
      </c>
      <c r="P354" s="152">
        <f t="shared" si="350"/>
        <v>6.85593E+23</v>
      </c>
      <c r="Q354" s="152">
        <f t="shared" si="350"/>
        <v>1.96818E+29</v>
      </c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6">
        <v>351.0</v>
      </c>
      <c r="C355" s="152">
        <f t="shared" ref="C355:Q355" si="351">C354/(1-C$2*C$3^($B355-1))</f>
        <v>5.241157175</v>
      </c>
      <c r="D355" s="152">
        <f t="shared" si="351"/>
        <v>14.98396437</v>
      </c>
      <c r="E355" s="152">
        <f t="shared" si="351"/>
        <v>50.32258449</v>
      </c>
      <c r="F355" s="152">
        <f t="shared" si="351"/>
        <v>229.3756256</v>
      </c>
      <c r="G355" s="152">
        <f t="shared" si="351"/>
        <v>1385.33113</v>
      </c>
      <c r="H355" s="152">
        <f t="shared" si="351"/>
        <v>12487.17967</v>
      </c>
      <c r="I355" s="152">
        <f t="shared" si="351"/>
        <v>183967.6907</v>
      </c>
      <c r="J355" s="152">
        <f t="shared" si="351"/>
        <v>4766266.623</v>
      </c>
      <c r="K355" s="152">
        <f t="shared" si="351"/>
        <v>230564722</v>
      </c>
      <c r="L355" s="152">
        <f t="shared" si="351"/>
        <v>24141924202</v>
      </c>
      <c r="M355" s="152">
        <f t="shared" si="351"/>
        <v>6876165822201</v>
      </c>
      <c r="N355" s="152">
        <f t="shared" si="351"/>
        <v>6.45911E+15</v>
      </c>
      <c r="O355" s="152">
        <f t="shared" si="351"/>
        <v>2.64297E+19</v>
      </c>
      <c r="P355" s="152">
        <f t="shared" si="351"/>
        <v>6.85768E+23</v>
      </c>
      <c r="Q355" s="152">
        <f t="shared" si="351"/>
        <v>1.96971E+29</v>
      </c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6">
        <v>352.0</v>
      </c>
      <c r="C356" s="152">
        <f t="shared" ref="C356:Q356" si="352">C355/(1-C$2*C$3^($B356-1))</f>
        <v>5.241157175</v>
      </c>
      <c r="D356" s="152">
        <f t="shared" si="352"/>
        <v>14.98396438</v>
      </c>
      <c r="E356" s="152">
        <f t="shared" si="352"/>
        <v>50.32258451</v>
      </c>
      <c r="F356" s="152">
        <f t="shared" si="352"/>
        <v>229.3756259</v>
      </c>
      <c r="G356" s="152">
        <f t="shared" si="352"/>
        <v>1385.331137</v>
      </c>
      <c r="H356" s="152">
        <f t="shared" si="352"/>
        <v>12487.17989</v>
      </c>
      <c r="I356" s="152">
        <f t="shared" si="352"/>
        <v>183967.7025</v>
      </c>
      <c r="J356" s="152">
        <f t="shared" si="352"/>
        <v>4766267.677</v>
      </c>
      <c r="K356" s="152">
        <f t="shared" si="352"/>
        <v>230564894</v>
      </c>
      <c r="L356" s="152">
        <f t="shared" si="352"/>
        <v>24141983806</v>
      </c>
      <c r="M356" s="152">
        <f t="shared" si="352"/>
        <v>6876221056470</v>
      </c>
      <c r="N356" s="152">
        <f t="shared" si="352"/>
        <v>6.45927E+15</v>
      </c>
      <c r="O356" s="152">
        <f t="shared" si="352"/>
        <v>2.64319E+19</v>
      </c>
      <c r="P356" s="152">
        <f t="shared" si="352"/>
        <v>6.8594E+23</v>
      </c>
      <c r="Q356" s="152">
        <f t="shared" si="352"/>
        <v>1.97121E+29</v>
      </c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6">
        <v>353.0</v>
      </c>
      <c r="C357" s="152">
        <f t="shared" ref="C357:Q357" si="353">C356/(1-C$2*C$3^($B357-1))</f>
        <v>5.241157175</v>
      </c>
      <c r="D357" s="152">
        <f t="shared" si="353"/>
        <v>14.98396438</v>
      </c>
      <c r="E357" s="152">
        <f t="shared" si="353"/>
        <v>50.32258452</v>
      </c>
      <c r="F357" s="152">
        <f t="shared" si="353"/>
        <v>229.3756262</v>
      </c>
      <c r="G357" s="152">
        <f t="shared" si="353"/>
        <v>1385.331144</v>
      </c>
      <c r="H357" s="152">
        <f t="shared" si="353"/>
        <v>12487.18011</v>
      </c>
      <c r="I357" s="152">
        <f t="shared" si="353"/>
        <v>183967.7137</v>
      </c>
      <c r="J357" s="152">
        <f t="shared" si="353"/>
        <v>4766268.687</v>
      </c>
      <c r="K357" s="152">
        <f t="shared" si="353"/>
        <v>230565059.5</v>
      </c>
      <c r="L357" s="152">
        <f t="shared" si="353"/>
        <v>24142041323</v>
      </c>
      <c r="M357" s="152">
        <f t="shared" si="353"/>
        <v>6876274523658</v>
      </c>
      <c r="N357" s="152">
        <f t="shared" si="353"/>
        <v>6.45943E+15</v>
      </c>
      <c r="O357" s="152">
        <f t="shared" si="353"/>
        <v>2.64339E+19</v>
      </c>
      <c r="P357" s="152">
        <f t="shared" si="353"/>
        <v>6.86107E+23</v>
      </c>
      <c r="Q357" s="152">
        <f t="shared" si="353"/>
        <v>1.97268E+29</v>
      </c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6">
        <v>354.0</v>
      </c>
      <c r="C358" s="152">
        <f t="shared" ref="C358:Q358" si="354">C357/(1-C$2*C$3^($B358-1))</f>
        <v>5.241157175</v>
      </c>
      <c r="D358" s="152">
        <f t="shared" si="354"/>
        <v>14.98396438</v>
      </c>
      <c r="E358" s="152">
        <f t="shared" si="354"/>
        <v>50.32258454</v>
      </c>
      <c r="F358" s="152">
        <f t="shared" si="354"/>
        <v>229.3756265</v>
      </c>
      <c r="G358" s="152">
        <f t="shared" si="354"/>
        <v>1385.33115</v>
      </c>
      <c r="H358" s="152">
        <f t="shared" si="354"/>
        <v>12487.18031</v>
      </c>
      <c r="I358" s="152">
        <f t="shared" si="354"/>
        <v>183967.7245</v>
      </c>
      <c r="J358" s="152">
        <f t="shared" si="354"/>
        <v>4766269.656</v>
      </c>
      <c r="K358" s="152">
        <f t="shared" si="354"/>
        <v>230565218.7</v>
      </c>
      <c r="L358" s="152">
        <f t="shared" si="354"/>
        <v>24142096827</v>
      </c>
      <c r="M358" s="152">
        <f t="shared" si="354"/>
        <v>6876326280285</v>
      </c>
      <c r="N358" s="152">
        <f t="shared" si="354"/>
        <v>6.45959E+15</v>
      </c>
      <c r="O358" s="152">
        <f t="shared" si="354"/>
        <v>2.6436E+19</v>
      </c>
      <c r="P358" s="152">
        <f t="shared" si="354"/>
        <v>6.86271E+23</v>
      </c>
      <c r="Q358" s="152">
        <f t="shared" si="354"/>
        <v>1.97412E+29</v>
      </c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6">
        <v>355.0</v>
      </c>
      <c r="C359" s="152">
        <f t="shared" ref="C359:Q359" si="355">C358/(1-C$2*C$3^($B359-1))</f>
        <v>5.241157175</v>
      </c>
      <c r="D359" s="152">
        <f t="shared" si="355"/>
        <v>14.98396438</v>
      </c>
      <c r="E359" s="152">
        <f t="shared" si="355"/>
        <v>50.32258455</v>
      </c>
      <c r="F359" s="152">
        <f t="shared" si="355"/>
        <v>229.3756267</v>
      </c>
      <c r="G359" s="152">
        <f t="shared" si="355"/>
        <v>1385.331156</v>
      </c>
      <c r="H359" s="152">
        <f t="shared" si="355"/>
        <v>12487.18051</v>
      </c>
      <c r="I359" s="152">
        <f t="shared" si="355"/>
        <v>183967.7348</v>
      </c>
      <c r="J359" s="152">
        <f t="shared" si="355"/>
        <v>4766270.585</v>
      </c>
      <c r="K359" s="152">
        <f t="shared" si="355"/>
        <v>230565371.9</v>
      </c>
      <c r="L359" s="152">
        <f t="shared" si="355"/>
        <v>24142150388</v>
      </c>
      <c r="M359" s="152">
        <f t="shared" si="355"/>
        <v>6876376381066</v>
      </c>
      <c r="N359" s="152">
        <f t="shared" si="355"/>
        <v>6.45974E+15</v>
      </c>
      <c r="O359" s="152">
        <f t="shared" si="355"/>
        <v>2.64379E+19</v>
      </c>
      <c r="P359" s="152">
        <f t="shared" si="355"/>
        <v>6.86431E+23</v>
      </c>
      <c r="Q359" s="152">
        <f t="shared" si="355"/>
        <v>1.97554E+29</v>
      </c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6">
        <v>356.0</v>
      </c>
      <c r="C360" s="152">
        <f t="shared" ref="C360:Q360" si="356">C359/(1-C$2*C$3^($B360-1))</f>
        <v>5.241157175</v>
      </c>
      <c r="D360" s="152">
        <f t="shared" si="356"/>
        <v>14.98396438</v>
      </c>
      <c r="E360" s="152">
        <f t="shared" si="356"/>
        <v>50.32258457</v>
      </c>
      <c r="F360" s="152">
        <f t="shared" si="356"/>
        <v>229.375627</v>
      </c>
      <c r="G360" s="152">
        <f t="shared" si="356"/>
        <v>1385.331162</v>
      </c>
      <c r="H360" s="152">
        <f t="shared" si="356"/>
        <v>12487.18069</v>
      </c>
      <c r="I360" s="152">
        <f t="shared" si="356"/>
        <v>183967.7446</v>
      </c>
      <c r="J360" s="152">
        <f t="shared" si="356"/>
        <v>4766271.476</v>
      </c>
      <c r="K360" s="152">
        <f t="shared" si="356"/>
        <v>230565519.2</v>
      </c>
      <c r="L360" s="152">
        <f t="shared" si="356"/>
        <v>24142202076</v>
      </c>
      <c r="M360" s="152">
        <f t="shared" si="356"/>
        <v>6876424878963</v>
      </c>
      <c r="N360" s="152">
        <f t="shared" si="356"/>
        <v>6.45989E+15</v>
      </c>
      <c r="O360" s="152">
        <f t="shared" si="356"/>
        <v>2.64399E+19</v>
      </c>
      <c r="P360" s="152">
        <f t="shared" si="356"/>
        <v>6.86588E+23</v>
      </c>
      <c r="Q360" s="152">
        <f t="shared" si="356"/>
        <v>1.97693E+29</v>
      </c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6">
        <v>357.0</v>
      </c>
      <c r="C361" s="152">
        <f t="shared" ref="C361:Q361" si="357">C360/(1-C$2*C$3^($B361-1))</f>
        <v>5.241157175</v>
      </c>
      <c r="D361" s="152">
        <f t="shared" si="357"/>
        <v>14.98396438</v>
      </c>
      <c r="E361" s="152">
        <f t="shared" si="357"/>
        <v>50.32258458</v>
      </c>
      <c r="F361" s="152">
        <f t="shared" si="357"/>
        <v>229.3756272</v>
      </c>
      <c r="G361" s="152">
        <f t="shared" si="357"/>
        <v>1385.331167</v>
      </c>
      <c r="H361" s="152">
        <f t="shared" si="357"/>
        <v>12487.18087</v>
      </c>
      <c r="I361" s="152">
        <f t="shared" si="357"/>
        <v>183967.754</v>
      </c>
      <c r="J361" s="152">
        <f t="shared" si="357"/>
        <v>4766272.331</v>
      </c>
      <c r="K361" s="152">
        <f t="shared" si="357"/>
        <v>230565660.9</v>
      </c>
      <c r="L361" s="152">
        <f t="shared" si="357"/>
        <v>24142251954</v>
      </c>
      <c r="M361" s="152">
        <f t="shared" si="357"/>
        <v>6876471825249</v>
      </c>
      <c r="N361" s="152">
        <f t="shared" si="357"/>
        <v>6.46003E+15</v>
      </c>
      <c r="O361" s="152">
        <f t="shared" si="357"/>
        <v>2.64417E+19</v>
      </c>
      <c r="P361" s="152">
        <f t="shared" si="357"/>
        <v>6.8674E+23</v>
      </c>
      <c r="Q361" s="152">
        <f t="shared" si="357"/>
        <v>1.97829E+29</v>
      </c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6">
        <v>358.0</v>
      </c>
      <c r="C362" s="152">
        <f t="shared" ref="C362:Q362" si="358">C361/(1-C$2*C$3^($B362-1))</f>
        <v>5.241157175</v>
      </c>
      <c r="D362" s="152">
        <f t="shared" si="358"/>
        <v>14.98396438</v>
      </c>
      <c r="E362" s="152">
        <f t="shared" si="358"/>
        <v>50.32258459</v>
      </c>
      <c r="F362" s="152">
        <f t="shared" si="358"/>
        <v>229.3756274</v>
      </c>
      <c r="G362" s="152">
        <f t="shared" si="358"/>
        <v>1385.331172</v>
      </c>
      <c r="H362" s="152">
        <f t="shared" si="358"/>
        <v>12487.18104</v>
      </c>
      <c r="I362" s="152">
        <f t="shared" si="358"/>
        <v>183967.763</v>
      </c>
      <c r="J362" s="152">
        <f t="shared" si="358"/>
        <v>4766273.151</v>
      </c>
      <c r="K362" s="152">
        <f t="shared" si="358"/>
        <v>230565797.3</v>
      </c>
      <c r="L362" s="152">
        <f t="shared" si="358"/>
        <v>24142300086</v>
      </c>
      <c r="M362" s="152">
        <f t="shared" si="358"/>
        <v>6876517269553</v>
      </c>
      <c r="N362" s="152">
        <f t="shared" si="358"/>
        <v>6.46017E+15</v>
      </c>
      <c r="O362" s="152">
        <f t="shared" si="358"/>
        <v>2.64436E+19</v>
      </c>
      <c r="P362" s="152">
        <f t="shared" si="358"/>
        <v>6.8689E+23</v>
      </c>
      <c r="Q362" s="152">
        <f t="shared" si="358"/>
        <v>1.97963E+29</v>
      </c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6">
        <v>359.0</v>
      </c>
      <c r="C363" s="152">
        <f t="shared" ref="C363:Q363" si="359">C362/(1-C$2*C$3^($B363-1))</f>
        <v>5.241157175</v>
      </c>
      <c r="D363" s="152">
        <f t="shared" si="359"/>
        <v>14.98396438</v>
      </c>
      <c r="E363" s="152">
        <f t="shared" si="359"/>
        <v>50.3225846</v>
      </c>
      <c r="F363" s="152">
        <f t="shared" si="359"/>
        <v>229.3756276</v>
      </c>
      <c r="G363" s="152">
        <f t="shared" si="359"/>
        <v>1385.331177</v>
      </c>
      <c r="H363" s="152">
        <f t="shared" si="359"/>
        <v>12487.1812</v>
      </c>
      <c r="I363" s="152">
        <f t="shared" si="359"/>
        <v>183967.7716</v>
      </c>
      <c r="J363" s="152">
        <f t="shared" si="359"/>
        <v>4766273.937</v>
      </c>
      <c r="K363" s="152">
        <f t="shared" si="359"/>
        <v>230565928.5</v>
      </c>
      <c r="L363" s="152">
        <f t="shared" si="359"/>
        <v>24142346534</v>
      </c>
      <c r="M363" s="152">
        <f t="shared" si="359"/>
        <v>6876561259921</v>
      </c>
      <c r="N363" s="152">
        <f t="shared" si="359"/>
        <v>6.46031E+15</v>
      </c>
      <c r="O363" s="152">
        <f t="shared" si="359"/>
        <v>2.64453E+19</v>
      </c>
      <c r="P363" s="152">
        <f t="shared" si="359"/>
        <v>6.87036E+23</v>
      </c>
      <c r="Q363" s="152">
        <f t="shared" si="359"/>
        <v>1.98094E+29</v>
      </c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6">
        <v>360.0</v>
      </c>
      <c r="C364" s="152">
        <f t="shared" ref="C364:Q364" si="360">C363/(1-C$2*C$3^($B364-1))</f>
        <v>5.241157175</v>
      </c>
      <c r="D364" s="152">
        <f t="shared" si="360"/>
        <v>14.98396438</v>
      </c>
      <c r="E364" s="152">
        <f t="shared" si="360"/>
        <v>50.32258461</v>
      </c>
      <c r="F364" s="152">
        <f t="shared" si="360"/>
        <v>229.3756278</v>
      </c>
      <c r="G364" s="152">
        <f t="shared" si="360"/>
        <v>1385.331182</v>
      </c>
      <c r="H364" s="152">
        <f t="shared" si="360"/>
        <v>12487.18136</v>
      </c>
      <c r="I364" s="152">
        <f t="shared" si="360"/>
        <v>183967.7798</v>
      </c>
      <c r="J364" s="152">
        <f t="shared" si="360"/>
        <v>4766274.69</v>
      </c>
      <c r="K364" s="152">
        <f t="shared" si="360"/>
        <v>230566054.7</v>
      </c>
      <c r="L364" s="152">
        <f t="shared" si="360"/>
        <v>24142391357</v>
      </c>
      <c r="M364" s="152">
        <f t="shared" si="360"/>
        <v>6876603842861</v>
      </c>
      <c r="N364" s="152">
        <f t="shared" si="360"/>
        <v>6.46044E+15</v>
      </c>
      <c r="O364" s="152">
        <f t="shared" si="360"/>
        <v>2.64471E+19</v>
      </c>
      <c r="P364" s="152">
        <f t="shared" si="360"/>
        <v>6.87178E+23</v>
      </c>
      <c r="Q364" s="152">
        <f t="shared" si="360"/>
        <v>1.98222E+29</v>
      </c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6">
        <v>361.0</v>
      </c>
      <c r="C365" s="152">
        <f t="shared" ref="C365:Q365" si="361">C364/(1-C$2*C$3^($B365-1))</f>
        <v>5.241157175</v>
      </c>
      <c r="D365" s="152">
        <f t="shared" si="361"/>
        <v>14.98396438</v>
      </c>
      <c r="E365" s="152">
        <f t="shared" si="361"/>
        <v>50.32258462</v>
      </c>
      <c r="F365" s="152">
        <f t="shared" si="361"/>
        <v>229.375628</v>
      </c>
      <c r="G365" s="152">
        <f t="shared" si="361"/>
        <v>1385.331186</v>
      </c>
      <c r="H365" s="152">
        <f t="shared" si="361"/>
        <v>12487.1815</v>
      </c>
      <c r="I365" s="152">
        <f t="shared" si="361"/>
        <v>183967.7876</v>
      </c>
      <c r="J365" s="152">
        <f t="shared" si="361"/>
        <v>4766275.413</v>
      </c>
      <c r="K365" s="152">
        <f t="shared" si="361"/>
        <v>230566176</v>
      </c>
      <c r="L365" s="152">
        <f t="shared" si="361"/>
        <v>24142434610</v>
      </c>
      <c r="M365" s="152">
        <f t="shared" si="361"/>
        <v>6876645063394</v>
      </c>
      <c r="N365" s="152">
        <f t="shared" si="361"/>
        <v>6.46057E+15</v>
      </c>
      <c r="O365" s="152">
        <f t="shared" si="361"/>
        <v>2.64488E+19</v>
      </c>
      <c r="P365" s="152">
        <f t="shared" si="361"/>
        <v>6.87318E+23</v>
      </c>
      <c r="Q365" s="152">
        <f t="shared" si="361"/>
        <v>1.98348E+29</v>
      </c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6">
        <v>362.0</v>
      </c>
      <c r="C366" s="152">
        <f t="shared" ref="C366:Q366" si="362">C365/(1-C$2*C$3^($B366-1))</f>
        <v>5.241157175</v>
      </c>
      <c r="D366" s="152">
        <f t="shared" si="362"/>
        <v>14.98396439</v>
      </c>
      <c r="E366" s="152">
        <f t="shared" si="362"/>
        <v>50.32258463</v>
      </c>
      <c r="F366" s="152">
        <f t="shared" si="362"/>
        <v>229.3756282</v>
      </c>
      <c r="G366" s="152">
        <f t="shared" si="362"/>
        <v>1385.33119</v>
      </c>
      <c r="H366" s="152">
        <f t="shared" si="362"/>
        <v>12487.18164</v>
      </c>
      <c r="I366" s="152">
        <f t="shared" si="362"/>
        <v>183967.7951</v>
      </c>
      <c r="J366" s="152">
        <f t="shared" si="362"/>
        <v>4766276.106</v>
      </c>
      <c r="K366" s="152">
        <f t="shared" si="362"/>
        <v>230566292.8</v>
      </c>
      <c r="L366" s="152">
        <f t="shared" si="362"/>
        <v>24142476350</v>
      </c>
      <c r="M366" s="152">
        <f t="shared" si="362"/>
        <v>6876684965102</v>
      </c>
      <c r="N366" s="152">
        <f t="shared" si="362"/>
        <v>6.46069E+15</v>
      </c>
      <c r="O366" s="152">
        <f t="shared" si="362"/>
        <v>2.64504E+19</v>
      </c>
      <c r="P366" s="152">
        <f t="shared" si="362"/>
        <v>6.87454E+23</v>
      </c>
      <c r="Q366" s="152">
        <f t="shared" si="362"/>
        <v>1.98471E+29</v>
      </c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6">
        <v>363.0</v>
      </c>
      <c r="C367" s="152">
        <f t="shared" ref="C367:Q367" si="363">C366/(1-C$2*C$3^($B367-1))</f>
        <v>5.241157175</v>
      </c>
      <c r="D367" s="152">
        <f t="shared" si="363"/>
        <v>14.98396439</v>
      </c>
      <c r="E367" s="152">
        <f t="shared" si="363"/>
        <v>50.32258464</v>
      </c>
      <c r="F367" s="152">
        <f t="shared" si="363"/>
        <v>229.3756284</v>
      </c>
      <c r="G367" s="152">
        <f t="shared" si="363"/>
        <v>1385.331194</v>
      </c>
      <c r="H367" s="152">
        <f t="shared" si="363"/>
        <v>12487.18178</v>
      </c>
      <c r="I367" s="152">
        <f t="shared" si="363"/>
        <v>183967.8023</v>
      </c>
      <c r="J367" s="152">
        <f t="shared" si="363"/>
        <v>4766276.771</v>
      </c>
      <c r="K367" s="152">
        <f t="shared" si="363"/>
        <v>230566405.2</v>
      </c>
      <c r="L367" s="152">
        <f t="shared" si="363"/>
        <v>24142516629</v>
      </c>
      <c r="M367" s="152">
        <f t="shared" si="363"/>
        <v>6876723590172</v>
      </c>
      <c r="N367" s="152">
        <f t="shared" si="363"/>
        <v>6.46081E+15</v>
      </c>
      <c r="O367" s="152">
        <f t="shared" si="363"/>
        <v>2.6452E+19</v>
      </c>
      <c r="P367" s="152">
        <f t="shared" si="363"/>
        <v>6.87587E+23</v>
      </c>
      <c r="Q367" s="152">
        <f t="shared" si="363"/>
        <v>1.98592E+29</v>
      </c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6">
        <v>364.0</v>
      </c>
      <c r="C368" s="152">
        <f t="shared" ref="C368:Q368" si="364">C367/(1-C$2*C$3^($B368-1))</f>
        <v>5.241157175</v>
      </c>
      <c r="D368" s="152">
        <f t="shared" si="364"/>
        <v>14.98396439</v>
      </c>
      <c r="E368" s="152">
        <f t="shared" si="364"/>
        <v>50.32258465</v>
      </c>
      <c r="F368" s="152">
        <f t="shared" si="364"/>
        <v>229.3756285</v>
      </c>
      <c r="G368" s="152">
        <f t="shared" si="364"/>
        <v>1385.331198</v>
      </c>
      <c r="H368" s="152">
        <f t="shared" si="364"/>
        <v>12487.1819</v>
      </c>
      <c r="I368" s="152">
        <f t="shared" si="364"/>
        <v>183967.8092</v>
      </c>
      <c r="J368" s="152">
        <f t="shared" si="364"/>
        <v>4766277.409</v>
      </c>
      <c r="K368" s="152">
        <f t="shared" si="364"/>
        <v>230566513.2</v>
      </c>
      <c r="L368" s="152">
        <f t="shared" si="364"/>
        <v>24142555498</v>
      </c>
      <c r="M368" s="152">
        <f t="shared" si="364"/>
        <v>6876760979443</v>
      </c>
      <c r="N368" s="152">
        <f t="shared" si="364"/>
        <v>6.46093E+15</v>
      </c>
      <c r="O368" s="152">
        <f t="shared" si="364"/>
        <v>2.64536E+19</v>
      </c>
      <c r="P368" s="152">
        <f t="shared" si="364"/>
        <v>6.87717E+23</v>
      </c>
      <c r="Q368" s="152">
        <f t="shared" si="364"/>
        <v>1.98711E+29</v>
      </c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6">
        <v>365.0</v>
      </c>
      <c r="C369" s="152">
        <f t="shared" ref="C369:Q369" si="365">C368/(1-C$2*C$3^($B369-1))</f>
        <v>5.241157175</v>
      </c>
      <c r="D369" s="152">
        <f t="shared" si="365"/>
        <v>14.98396439</v>
      </c>
      <c r="E369" s="152">
        <f t="shared" si="365"/>
        <v>50.32258466</v>
      </c>
      <c r="F369" s="152">
        <f t="shared" si="365"/>
        <v>229.3756287</v>
      </c>
      <c r="G369" s="152">
        <f t="shared" si="365"/>
        <v>1385.331201</v>
      </c>
      <c r="H369" s="152">
        <f t="shared" si="365"/>
        <v>12487.18202</v>
      </c>
      <c r="I369" s="152">
        <f t="shared" si="365"/>
        <v>183967.8157</v>
      </c>
      <c r="J369" s="152">
        <f t="shared" si="365"/>
        <v>4766278.02</v>
      </c>
      <c r="K369" s="152">
        <f t="shared" si="365"/>
        <v>230566617.2</v>
      </c>
      <c r="L369" s="152">
        <f t="shared" si="365"/>
        <v>24142593007</v>
      </c>
      <c r="M369" s="152">
        <f t="shared" si="365"/>
        <v>6876797172447</v>
      </c>
      <c r="N369" s="152">
        <f t="shared" si="365"/>
        <v>6.46104E+15</v>
      </c>
      <c r="O369" s="152">
        <f t="shared" si="365"/>
        <v>2.64551E+19</v>
      </c>
      <c r="P369" s="152">
        <f t="shared" si="365"/>
        <v>6.87844E+23</v>
      </c>
      <c r="Q369" s="152">
        <f t="shared" si="365"/>
        <v>1.98828E+29</v>
      </c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6">
        <v>366.0</v>
      </c>
      <c r="C370" s="152">
        <f t="shared" ref="C370:Q370" si="366">C369/(1-C$2*C$3^($B370-1))</f>
        <v>5.241157176</v>
      </c>
      <c r="D370" s="152">
        <f t="shared" si="366"/>
        <v>14.98396439</v>
      </c>
      <c r="E370" s="152">
        <f t="shared" si="366"/>
        <v>50.32258467</v>
      </c>
      <c r="F370" s="152">
        <f t="shared" si="366"/>
        <v>229.3756288</v>
      </c>
      <c r="G370" s="152">
        <f t="shared" si="366"/>
        <v>1385.331205</v>
      </c>
      <c r="H370" s="152">
        <f t="shared" si="366"/>
        <v>12487.18214</v>
      </c>
      <c r="I370" s="152">
        <f t="shared" si="366"/>
        <v>183967.822</v>
      </c>
      <c r="J370" s="152">
        <f t="shared" si="366"/>
        <v>4766278.606</v>
      </c>
      <c r="K370" s="152">
        <f t="shared" si="366"/>
        <v>230566717.2</v>
      </c>
      <c r="L370" s="152">
        <f t="shared" si="366"/>
        <v>24142629204</v>
      </c>
      <c r="M370" s="152">
        <f t="shared" si="366"/>
        <v>6876832207454</v>
      </c>
      <c r="N370" s="152">
        <f t="shared" si="366"/>
        <v>6.46115E+15</v>
      </c>
      <c r="O370" s="152">
        <f t="shared" si="366"/>
        <v>2.64566E+19</v>
      </c>
      <c r="P370" s="152">
        <f t="shared" si="366"/>
        <v>6.87968E+23</v>
      </c>
      <c r="Q370" s="152">
        <f t="shared" si="366"/>
        <v>1.98942E+29</v>
      </c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6">
        <v>367.0</v>
      </c>
      <c r="C371" s="152">
        <f t="shared" ref="C371:Q371" si="367">C370/(1-C$2*C$3^($B371-1))</f>
        <v>5.241157176</v>
      </c>
      <c r="D371" s="152">
        <f t="shared" si="367"/>
        <v>14.98396439</v>
      </c>
      <c r="E371" s="152">
        <f t="shared" si="367"/>
        <v>50.32258467</v>
      </c>
      <c r="F371" s="152">
        <f t="shared" si="367"/>
        <v>229.375629</v>
      </c>
      <c r="G371" s="152">
        <f t="shared" si="367"/>
        <v>1385.331208</v>
      </c>
      <c r="H371" s="152">
        <f t="shared" si="367"/>
        <v>12487.18225</v>
      </c>
      <c r="I371" s="152">
        <f t="shared" si="367"/>
        <v>183967.828</v>
      </c>
      <c r="J371" s="152">
        <f t="shared" si="367"/>
        <v>4766279.169</v>
      </c>
      <c r="K371" s="152">
        <f t="shared" si="367"/>
        <v>230566813.4</v>
      </c>
      <c r="L371" s="152">
        <f t="shared" si="367"/>
        <v>24142664133</v>
      </c>
      <c r="M371" s="152">
        <f t="shared" si="367"/>
        <v>6876866121509</v>
      </c>
      <c r="N371" s="152">
        <f t="shared" si="367"/>
        <v>6.46126E+15</v>
      </c>
      <c r="O371" s="152">
        <f t="shared" si="367"/>
        <v>2.6458E+19</v>
      </c>
      <c r="P371" s="152">
        <f t="shared" si="367"/>
        <v>6.8809E+23</v>
      </c>
      <c r="Q371" s="152">
        <f t="shared" si="367"/>
        <v>1.99054E+29</v>
      </c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6">
        <v>368.0</v>
      </c>
      <c r="C372" s="152">
        <f t="shared" ref="C372:Q372" si="368">C371/(1-C$2*C$3^($B372-1))</f>
        <v>5.241157176</v>
      </c>
      <c r="D372" s="152">
        <f t="shared" si="368"/>
        <v>14.98396439</v>
      </c>
      <c r="E372" s="152">
        <f t="shared" si="368"/>
        <v>50.32258468</v>
      </c>
      <c r="F372" s="152">
        <f t="shared" si="368"/>
        <v>229.3756291</v>
      </c>
      <c r="G372" s="152">
        <f t="shared" si="368"/>
        <v>1385.331211</v>
      </c>
      <c r="H372" s="152">
        <f t="shared" si="368"/>
        <v>12487.18235</v>
      </c>
      <c r="I372" s="152">
        <f t="shared" si="368"/>
        <v>183967.8337</v>
      </c>
      <c r="J372" s="152">
        <f t="shared" si="368"/>
        <v>4766279.708</v>
      </c>
      <c r="K372" s="152">
        <f t="shared" si="368"/>
        <v>230566906</v>
      </c>
      <c r="L372" s="152">
        <f t="shared" si="368"/>
        <v>24142697840</v>
      </c>
      <c r="M372" s="152">
        <f t="shared" si="368"/>
        <v>6876898950470</v>
      </c>
      <c r="N372" s="152">
        <f t="shared" si="368"/>
        <v>6.46136E+15</v>
      </c>
      <c r="O372" s="152">
        <f t="shared" si="368"/>
        <v>2.64594E+19</v>
      </c>
      <c r="P372" s="152">
        <f t="shared" si="368"/>
        <v>6.88208E+23</v>
      </c>
      <c r="Q372" s="152">
        <f t="shared" si="368"/>
        <v>1.99163E+29</v>
      </c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6">
        <v>369.0</v>
      </c>
      <c r="C373" s="152">
        <f t="shared" ref="C373:Q373" si="369">C372/(1-C$2*C$3^($B373-1))</f>
        <v>5.241157176</v>
      </c>
      <c r="D373" s="152">
        <f t="shared" si="369"/>
        <v>14.98396439</v>
      </c>
      <c r="E373" s="152">
        <f t="shared" si="369"/>
        <v>50.32258469</v>
      </c>
      <c r="F373" s="152">
        <f t="shared" si="369"/>
        <v>229.3756292</v>
      </c>
      <c r="G373" s="152">
        <f t="shared" si="369"/>
        <v>1385.331214</v>
      </c>
      <c r="H373" s="152">
        <f t="shared" si="369"/>
        <v>12487.18245</v>
      </c>
      <c r="I373" s="152">
        <f t="shared" si="369"/>
        <v>183967.8392</v>
      </c>
      <c r="J373" s="152">
        <f t="shared" si="369"/>
        <v>4766280.225</v>
      </c>
      <c r="K373" s="152">
        <f t="shared" si="369"/>
        <v>230566995</v>
      </c>
      <c r="L373" s="152">
        <f t="shared" si="369"/>
        <v>24142730367</v>
      </c>
      <c r="M373" s="152">
        <f t="shared" si="369"/>
        <v>6876930729051</v>
      </c>
      <c r="N373" s="152">
        <f t="shared" si="369"/>
        <v>6.46146E+15</v>
      </c>
      <c r="O373" s="152">
        <f t="shared" si="369"/>
        <v>2.64608E+19</v>
      </c>
      <c r="P373" s="152">
        <f t="shared" si="369"/>
        <v>6.88324E+23</v>
      </c>
      <c r="Q373" s="152">
        <f t="shared" si="369"/>
        <v>1.99271E+29</v>
      </c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6">
        <v>370.0</v>
      </c>
      <c r="C374" s="152">
        <f t="shared" ref="C374:Q374" si="370">C373/(1-C$2*C$3^($B374-1))</f>
        <v>5.241157176</v>
      </c>
      <c r="D374" s="152">
        <f t="shared" si="370"/>
        <v>14.98396439</v>
      </c>
      <c r="E374" s="152">
        <f t="shared" si="370"/>
        <v>50.32258469</v>
      </c>
      <c r="F374" s="152">
        <f t="shared" si="370"/>
        <v>229.3756293</v>
      </c>
      <c r="G374" s="152">
        <f t="shared" si="370"/>
        <v>1385.331217</v>
      </c>
      <c r="H374" s="152">
        <f t="shared" si="370"/>
        <v>12487.18255</v>
      </c>
      <c r="I374" s="152">
        <f t="shared" si="370"/>
        <v>183967.8444</v>
      </c>
      <c r="J374" s="152">
        <f t="shared" si="370"/>
        <v>4766280.721</v>
      </c>
      <c r="K374" s="152">
        <f t="shared" si="370"/>
        <v>230567080.7</v>
      </c>
      <c r="L374" s="152">
        <f t="shared" si="370"/>
        <v>24142761756</v>
      </c>
      <c r="M374" s="152">
        <f t="shared" si="370"/>
        <v>6876961490855</v>
      </c>
      <c r="N374" s="152">
        <f t="shared" si="370"/>
        <v>6.46156E+15</v>
      </c>
      <c r="O374" s="152">
        <f t="shared" si="370"/>
        <v>2.64621E+19</v>
      </c>
      <c r="P374" s="152">
        <f t="shared" si="370"/>
        <v>6.88437E+23</v>
      </c>
      <c r="Q374" s="152">
        <f t="shared" si="370"/>
        <v>1.99377E+29</v>
      </c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6">
        <v>371.0</v>
      </c>
      <c r="C375" s="152">
        <f t="shared" ref="C375:Q375" si="371">C374/(1-C$2*C$3^($B375-1))</f>
        <v>5.241157176</v>
      </c>
      <c r="D375" s="152">
        <f t="shared" si="371"/>
        <v>14.98396439</v>
      </c>
      <c r="E375" s="152">
        <f t="shared" si="371"/>
        <v>50.3225847</v>
      </c>
      <c r="F375" s="152">
        <f t="shared" si="371"/>
        <v>229.3756294</v>
      </c>
      <c r="G375" s="152">
        <f t="shared" si="371"/>
        <v>1385.331219</v>
      </c>
      <c r="H375" s="152">
        <f t="shared" si="371"/>
        <v>12487.18264</v>
      </c>
      <c r="I375" s="152">
        <f t="shared" si="371"/>
        <v>183967.8494</v>
      </c>
      <c r="J375" s="152">
        <f t="shared" si="371"/>
        <v>4766281.196</v>
      </c>
      <c r="K375" s="152">
        <f t="shared" si="371"/>
        <v>230567163.1</v>
      </c>
      <c r="L375" s="152">
        <f t="shared" si="371"/>
        <v>24142792046</v>
      </c>
      <c r="M375" s="152">
        <f t="shared" si="371"/>
        <v>6876991268410</v>
      </c>
      <c r="N375" s="152">
        <f t="shared" si="371"/>
        <v>6.46165E+15</v>
      </c>
      <c r="O375" s="152">
        <f t="shared" si="371"/>
        <v>2.64634E+19</v>
      </c>
      <c r="P375" s="152">
        <f t="shared" si="371"/>
        <v>6.88548E+23</v>
      </c>
      <c r="Q375" s="152">
        <f t="shared" si="371"/>
        <v>1.9948E+29</v>
      </c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6">
        <v>372.0</v>
      </c>
      <c r="C376" s="152">
        <f t="shared" ref="C376:Q376" si="372">C375/(1-C$2*C$3^($B376-1))</f>
        <v>5.241157176</v>
      </c>
      <c r="D376" s="152">
        <f t="shared" si="372"/>
        <v>14.98396439</v>
      </c>
      <c r="E376" s="152">
        <f t="shared" si="372"/>
        <v>50.3225847</v>
      </c>
      <c r="F376" s="152">
        <f t="shared" si="372"/>
        <v>229.3756295</v>
      </c>
      <c r="G376" s="152">
        <f t="shared" si="372"/>
        <v>1385.331222</v>
      </c>
      <c r="H376" s="152">
        <f t="shared" si="372"/>
        <v>12487.18272</v>
      </c>
      <c r="I376" s="152">
        <f t="shared" si="372"/>
        <v>183967.8542</v>
      </c>
      <c r="J376" s="152">
        <f t="shared" si="372"/>
        <v>4766281.652</v>
      </c>
      <c r="K376" s="152">
        <f t="shared" si="372"/>
        <v>230567242.4</v>
      </c>
      <c r="L376" s="152">
        <f t="shared" si="372"/>
        <v>24142821276</v>
      </c>
      <c r="M376" s="152">
        <f t="shared" si="372"/>
        <v>6877020093205</v>
      </c>
      <c r="N376" s="152">
        <f t="shared" si="372"/>
        <v>6.46175E+15</v>
      </c>
      <c r="O376" s="152">
        <f t="shared" si="372"/>
        <v>2.64647E+19</v>
      </c>
      <c r="P376" s="152">
        <f t="shared" si="372"/>
        <v>6.88656E+23</v>
      </c>
      <c r="Q376" s="152">
        <f t="shared" si="372"/>
        <v>1.99581E+29</v>
      </c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6">
        <v>373.0</v>
      </c>
      <c r="C377" s="152">
        <f t="shared" ref="C377:Q377" si="373">C376/(1-C$2*C$3^($B377-1))</f>
        <v>5.241157176</v>
      </c>
      <c r="D377" s="152">
        <f t="shared" si="373"/>
        <v>14.98396439</v>
      </c>
      <c r="E377" s="152">
        <f t="shared" si="373"/>
        <v>50.32258471</v>
      </c>
      <c r="F377" s="152">
        <f t="shared" si="373"/>
        <v>229.3756296</v>
      </c>
      <c r="G377" s="152">
        <f t="shared" si="373"/>
        <v>1385.331224</v>
      </c>
      <c r="H377" s="152">
        <f t="shared" si="373"/>
        <v>12487.18281</v>
      </c>
      <c r="I377" s="152">
        <f t="shared" si="373"/>
        <v>183967.8588</v>
      </c>
      <c r="J377" s="152">
        <f t="shared" si="373"/>
        <v>4766282.09</v>
      </c>
      <c r="K377" s="152">
        <f t="shared" si="373"/>
        <v>230567318.6</v>
      </c>
      <c r="L377" s="152">
        <f t="shared" si="373"/>
        <v>24142849483</v>
      </c>
      <c r="M377" s="152">
        <f t="shared" si="373"/>
        <v>6877047995719</v>
      </c>
      <c r="N377" s="152">
        <f t="shared" si="373"/>
        <v>6.46183E+15</v>
      </c>
      <c r="O377" s="152">
        <f t="shared" si="373"/>
        <v>2.64659E+19</v>
      </c>
      <c r="P377" s="152">
        <f t="shared" si="373"/>
        <v>6.88762E+23</v>
      </c>
      <c r="Q377" s="152">
        <f t="shared" si="373"/>
        <v>1.99681E+29</v>
      </c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6">
        <v>374.0</v>
      </c>
      <c r="C378" s="152">
        <f t="shared" ref="C378:Q378" si="374">C377/(1-C$2*C$3^($B378-1))</f>
        <v>5.241157176</v>
      </c>
      <c r="D378" s="152">
        <f t="shared" si="374"/>
        <v>14.98396439</v>
      </c>
      <c r="E378" s="152">
        <f t="shared" si="374"/>
        <v>50.32258471</v>
      </c>
      <c r="F378" s="152">
        <f t="shared" si="374"/>
        <v>229.3756297</v>
      </c>
      <c r="G378" s="152">
        <f t="shared" si="374"/>
        <v>1385.331226</v>
      </c>
      <c r="H378" s="152">
        <f t="shared" si="374"/>
        <v>12487.18288</v>
      </c>
      <c r="I378" s="152">
        <f t="shared" si="374"/>
        <v>183967.8632</v>
      </c>
      <c r="J378" s="152">
        <f t="shared" si="374"/>
        <v>4766282.509</v>
      </c>
      <c r="K378" s="152">
        <f t="shared" si="374"/>
        <v>230567392</v>
      </c>
      <c r="L378" s="152">
        <f t="shared" si="374"/>
        <v>24142876703</v>
      </c>
      <c r="M378" s="152">
        <f t="shared" si="374"/>
        <v>6877075005459</v>
      </c>
      <c r="N378" s="152">
        <f t="shared" si="374"/>
        <v>6.46192E+15</v>
      </c>
      <c r="O378" s="152">
        <f t="shared" si="374"/>
        <v>2.64671E+19</v>
      </c>
      <c r="P378" s="152">
        <f t="shared" si="374"/>
        <v>6.88865E+23</v>
      </c>
      <c r="Q378" s="152">
        <f t="shared" si="374"/>
        <v>1.99779E+29</v>
      </c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6">
        <v>375.0</v>
      </c>
      <c r="C379" s="152">
        <f t="shared" ref="C379:Q379" si="375">C378/(1-C$2*C$3^($B379-1))</f>
        <v>5.241157176</v>
      </c>
      <c r="D379" s="152">
        <f t="shared" si="375"/>
        <v>14.98396439</v>
      </c>
      <c r="E379" s="152">
        <f t="shared" si="375"/>
        <v>50.32258472</v>
      </c>
      <c r="F379" s="152">
        <f t="shared" si="375"/>
        <v>229.3756298</v>
      </c>
      <c r="G379" s="152">
        <f t="shared" si="375"/>
        <v>1385.331228</v>
      </c>
      <c r="H379" s="152">
        <f t="shared" si="375"/>
        <v>12487.18296</v>
      </c>
      <c r="I379" s="152">
        <f t="shared" si="375"/>
        <v>183967.8674</v>
      </c>
      <c r="J379" s="152">
        <f t="shared" si="375"/>
        <v>4766282.911</v>
      </c>
      <c r="K379" s="152">
        <f t="shared" si="375"/>
        <v>230567462.6</v>
      </c>
      <c r="L379" s="152">
        <f t="shared" si="375"/>
        <v>24142902970</v>
      </c>
      <c r="M379" s="152">
        <f t="shared" si="375"/>
        <v>6877101150986</v>
      </c>
      <c r="N379" s="152">
        <f t="shared" si="375"/>
        <v>6.46201E+15</v>
      </c>
      <c r="O379" s="152">
        <f t="shared" si="375"/>
        <v>2.64682E+19</v>
      </c>
      <c r="P379" s="152">
        <f t="shared" si="375"/>
        <v>6.88966E+23</v>
      </c>
      <c r="Q379" s="152">
        <f t="shared" si="375"/>
        <v>1.99874E+29</v>
      </c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6">
        <v>376.0</v>
      </c>
      <c r="C380" s="152">
        <f t="shared" ref="C380:Q380" si="376">C379/(1-C$2*C$3^($B380-1))</f>
        <v>5.241157176</v>
      </c>
      <c r="D380" s="152">
        <f t="shared" si="376"/>
        <v>14.98396439</v>
      </c>
      <c r="E380" s="152">
        <f t="shared" si="376"/>
        <v>50.32258472</v>
      </c>
      <c r="F380" s="152">
        <f t="shared" si="376"/>
        <v>229.3756299</v>
      </c>
      <c r="G380" s="152">
        <f t="shared" si="376"/>
        <v>1385.33123</v>
      </c>
      <c r="H380" s="152">
        <f t="shared" si="376"/>
        <v>12487.18303</v>
      </c>
      <c r="I380" s="152">
        <f t="shared" si="376"/>
        <v>183967.8714</v>
      </c>
      <c r="J380" s="152">
        <f t="shared" si="376"/>
        <v>4766283.297</v>
      </c>
      <c r="K380" s="152">
        <f t="shared" si="376"/>
        <v>230567530.5</v>
      </c>
      <c r="L380" s="152">
        <f t="shared" si="376"/>
        <v>24142928318</v>
      </c>
      <c r="M380" s="152">
        <f t="shared" si="376"/>
        <v>6877126459950</v>
      </c>
      <c r="N380" s="152">
        <f t="shared" si="376"/>
        <v>6.46209E+15</v>
      </c>
      <c r="O380" s="152">
        <f t="shared" si="376"/>
        <v>2.64694E+19</v>
      </c>
      <c r="P380" s="152">
        <f t="shared" si="376"/>
        <v>6.89064E+23</v>
      </c>
      <c r="Q380" s="152">
        <f t="shared" si="376"/>
        <v>1.99968E+29</v>
      </c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6">
        <v>377.0</v>
      </c>
      <c r="C381" s="152">
        <f t="shared" ref="C381:Q381" si="377">C380/(1-C$2*C$3^($B381-1))</f>
        <v>5.241157176</v>
      </c>
      <c r="D381" s="152">
        <f t="shared" si="377"/>
        <v>14.98396439</v>
      </c>
      <c r="E381" s="152">
        <f t="shared" si="377"/>
        <v>50.32258473</v>
      </c>
      <c r="F381" s="152">
        <f t="shared" si="377"/>
        <v>229.37563</v>
      </c>
      <c r="G381" s="152">
        <f t="shared" si="377"/>
        <v>1385.331232</v>
      </c>
      <c r="H381" s="152">
        <f t="shared" si="377"/>
        <v>12487.1831</v>
      </c>
      <c r="I381" s="152">
        <f t="shared" si="377"/>
        <v>183967.8752</v>
      </c>
      <c r="J381" s="152">
        <f t="shared" si="377"/>
        <v>4766283.667</v>
      </c>
      <c r="K381" s="152">
        <f t="shared" si="377"/>
        <v>230567595.8</v>
      </c>
      <c r="L381" s="152">
        <f t="shared" si="377"/>
        <v>24142952779</v>
      </c>
      <c r="M381" s="152">
        <f t="shared" si="377"/>
        <v>6877150959114</v>
      </c>
      <c r="N381" s="152">
        <f t="shared" si="377"/>
        <v>6.46217E+15</v>
      </c>
      <c r="O381" s="152">
        <f t="shared" si="377"/>
        <v>2.64705E+19</v>
      </c>
      <c r="P381" s="152">
        <f t="shared" si="377"/>
        <v>6.8916E+23</v>
      </c>
      <c r="Q381" s="152">
        <f t="shared" si="377"/>
        <v>2.0006E+29</v>
      </c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6">
        <v>378.0</v>
      </c>
      <c r="C382" s="152">
        <f t="shared" ref="C382:Q382" si="378">C381/(1-C$2*C$3^($B382-1))</f>
        <v>5.241157176</v>
      </c>
      <c r="D382" s="152">
        <f t="shared" si="378"/>
        <v>14.98396439</v>
      </c>
      <c r="E382" s="152">
        <f t="shared" si="378"/>
        <v>50.32258473</v>
      </c>
      <c r="F382" s="152">
        <f t="shared" si="378"/>
        <v>229.37563</v>
      </c>
      <c r="G382" s="152">
        <f t="shared" si="378"/>
        <v>1385.331234</v>
      </c>
      <c r="H382" s="152">
        <f t="shared" si="378"/>
        <v>12487.18316</v>
      </c>
      <c r="I382" s="152">
        <f t="shared" si="378"/>
        <v>183967.8788</v>
      </c>
      <c r="J382" s="152">
        <f t="shared" si="378"/>
        <v>4766284.022</v>
      </c>
      <c r="K382" s="152">
        <f t="shared" si="378"/>
        <v>230567658.6</v>
      </c>
      <c r="L382" s="152">
        <f t="shared" si="378"/>
        <v>24142976384</v>
      </c>
      <c r="M382" s="152">
        <f t="shared" si="378"/>
        <v>6877174674387</v>
      </c>
      <c r="N382" s="152">
        <f t="shared" si="378"/>
        <v>6.46224E+15</v>
      </c>
      <c r="O382" s="152">
        <f t="shared" si="378"/>
        <v>2.64716E+19</v>
      </c>
      <c r="P382" s="152">
        <f t="shared" si="378"/>
        <v>6.89255E+23</v>
      </c>
      <c r="Q382" s="152">
        <f t="shared" si="378"/>
        <v>2.0015E+29</v>
      </c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6">
        <v>379.0</v>
      </c>
      <c r="C383" s="152">
        <f t="shared" ref="C383:Q383" si="379">C382/(1-C$2*C$3^($B383-1))</f>
        <v>5.241157176</v>
      </c>
      <c r="D383" s="152">
        <f t="shared" si="379"/>
        <v>14.98396439</v>
      </c>
      <c r="E383" s="152">
        <f t="shared" si="379"/>
        <v>50.32258473</v>
      </c>
      <c r="F383" s="152">
        <f t="shared" si="379"/>
        <v>229.3756301</v>
      </c>
      <c r="G383" s="152">
        <f t="shared" si="379"/>
        <v>1385.331236</v>
      </c>
      <c r="H383" s="152">
        <f t="shared" si="379"/>
        <v>12487.18322</v>
      </c>
      <c r="I383" s="152">
        <f t="shared" si="379"/>
        <v>183967.8823</v>
      </c>
      <c r="J383" s="152">
        <f t="shared" si="379"/>
        <v>4766284.362</v>
      </c>
      <c r="K383" s="152">
        <f t="shared" si="379"/>
        <v>230567719</v>
      </c>
      <c r="L383" s="152">
        <f t="shared" si="379"/>
        <v>24142999162</v>
      </c>
      <c r="M383" s="152">
        <f t="shared" si="379"/>
        <v>6877197630848</v>
      </c>
      <c r="N383" s="152">
        <f t="shared" si="379"/>
        <v>6.46232E+15</v>
      </c>
      <c r="O383" s="152">
        <f t="shared" si="379"/>
        <v>2.64726E+19</v>
      </c>
      <c r="P383" s="152">
        <f t="shared" si="379"/>
        <v>6.89346E+23</v>
      </c>
      <c r="Q383" s="152">
        <f t="shared" si="379"/>
        <v>2.00238E+29</v>
      </c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6">
        <v>380.0</v>
      </c>
      <c r="C384" s="152">
        <f t="shared" ref="C384:Q384" si="380">C383/(1-C$2*C$3^($B384-1))</f>
        <v>5.241157176</v>
      </c>
      <c r="D384" s="152">
        <f t="shared" si="380"/>
        <v>14.98396439</v>
      </c>
      <c r="E384" s="152">
        <f t="shared" si="380"/>
        <v>50.32258474</v>
      </c>
      <c r="F384" s="152">
        <f t="shared" si="380"/>
        <v>229.3756302</v>
      </c>
      <c r="G384" s="152">
        <f t="shared" si="380"/>
        <v>1385.331237</v>
      </c>
      <c r="H384" s="152">
        <f t="shared" si="380"/>
        <v>12487.18328</v>
      </c>
      <c r="I384" s="152">
        <f t="shared" si="380"/>
        <v>183967.8857</v>
      </c>
      <c r="J384" s="152">
        <f t="shared" si="380"/>
        <v>4766284.688</v>
      </c>
      <c r="K384" s="152">
        <f t="shared" si="380"/>
        <v>230567777.2</v>
      </c>
      <c r="L384" s="152">
        <f t="shared" si="380"/>
        <v>24143021143</v>
      </c>
      <c r="M384" s="152">
        <f t="shared" si="380"/>
        <v>6877219852774</v>
      </c>
      <c r="N384" s="152">
        <f t="shared" si="380"/>
        <v>6.46239E+15</v>
      </c>
      <c r="O384" s="152">
        <f t="shared" si="380"/>
        <v>2.64736E+19</v>
      </c>
      <c r="P384" s="152">
        <f t="shared" si="380"/>
        <v>6.89436E+23</v>
      </c>
      <c r="Q384" s="152">
        <f t="shared" si="380"/>
        <v>2.00325E+29</v>
      </c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6">
        <v>381.0</v>
      </c>
      <c r="C385" s="152">
        <f t="shared" ref="C385:Q385" si="381">C384/(1-C$2*C$3^($B385-1))</f>
        <v>5.241157176</v>
      </c>
      <c r="D385" s="152">
        <f t="shared" si="381"/>
        <v>14.98396439</v>
      </c>
      <c r="E385" s="152">
        <f t="shared" si="381"/>
        <v>50.32258474</v>
      </c>
      <c r="F385" s="152">
        <f t="shared" si="381"/>
        <v>229.3756302</v>
      </c>
      <c r="G385" s="152">
        <f t="shared" si="381"/>
        <v>1385.331239</v>
      </c>
      <c r="H385" s="152">
        <f t="shared" si="381"/>
        <v>12487.18334</v>
      </c>
      <c r="I385" s="152">
        <f t="shared" si="381"/>
        <v>183967.8889</v>
      </c>
      <c r="J385" s="152">
        <f t="shared" si="381"/>
        <v>4766285.001</v>
      </c>
      <c r="K385" s="152">
        <f t="shared" si="381"/>
        <v>230567833.1</v>
      </c>
      <c r="L385" s="152">
        <f t="shared" si="381"/>
        <v>24143042355</v>
      </c>
      <c r="M385" s="152">
        <f t="shared" si="381"/>
        <v>6877241363665</v>
      </c>
      <c r="N385" s="152">
        <f t="shared" si="381"/>
        <v>6.46246E+15</v>
      </c>
      <c r="O385" s="152">
        <f t="shared" si="381"/>
        <v>2.64746E+19</v>
      </c>
      <c r="P385" s="152">
        <f t="shared" si="381"/>
        <v>6.89524E+23</v>
      </c>
      <c r="Q385" s="152">
        <f t="shared" si="381"/>
        <v>2.0041E+29</v>
      </c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6">
        <v>382.0</v>
      </c>
      <c r="C386" s="152">
        <f t="shared" ref="C386:Q386" si="382">C385/(1-C$2*C$3^($B386-1))</f>
        <v>5.241157176</v>
      </c>
      <c r="D386" s="152">
        <f t="shared" si="382"/>
        <v>14.98396439</v>
      </c>
      <c r="E386" s="152">
        <f t="shared" si="382"/>
        <v>50.32258474</v>
      </c>
      <c r="F386" s="152">
        <f t="shared" si="382"/>
        <v>229.3756303</v>
      </c>
      <c r="G386" s="152">
        <f t="shared" si="382"/>
        <v>1385.33124</v>
      </c>
      <c r="H386" s="152">
        <f t="shared" si="382"/>
        <v>12487.18339</v>
      </c>
      <c r="I386" s="152">
        <f t="shared" si="382"/>
        <v>183967.8919</v>
      </c>
      <c r="J386" s="152">
        <f t="shared" si="382"/>
        <v>4766285.301</v>
      </c>
      <c r="K386" s="152">
        <f t="shared" si="382"/>
        <v>230567886.9</v>
      </c>
      <c r="L386" s="152">
        <f t="shared" si="382"/>
        <v>24143062825</v>
      </c>
      <c r="M386" s="152">
        <f t="shared" si="382"/>
        <v>6877262186271</v>
      </c>
      <c r="N386" s="152">
        <f t="shared" si="382"/>
        <v>6.46253E+15</v>
      </c>
      <c r="O386" s="152">
        <f t="shared" si="382"/>
        <v>2.64756E+19</v>
      </c>
      <c r="P386" s="152">
        <f t="shared" si="382"/>
        <v>6.8961E+23</v>
      </c>
      <c r="Q386" s="152">
        <f t="shared" si="382"/>
        <v>2.00493E+29</v>
      </c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6">
        <v>383.0</v>
      </c>
      <c r="C387" s="152">
        <f t="shared" ref="C387:Q387" si="383">C386/(1-C$2*C$3^($B387-1))</f>
        <v>5.241157176</v>
      </c>
      <c r="D387" s="152">
        <f t="shared" si="383"/>
        <v>14.98396439</v>
      </c>
      <c r="E387" s="152">
        <f t="shared" si="383"/>
        <v>50.32258475</v>
      </c>
      <c r="F387" s="152">
        <f t="shared" si="383"/>
        <v>229.3756304</v>
      </c>
      <c r="G387" s="152">
        <f t="shared" si="383"/>
        <v>1385.331242</v>
      </c>
      <c r="H387" s="152">
        <f t="shared" si="383"/>
        <v>12487.18344</v>
      </c>
      <c r="I387" s="152">
        <f t="shared" si="383"/>
        <v>183967.8948</v>
      </c>
      <c r="J387" s="152">
        <f t="shared" si="383"/>
        <v>4766285.589</v>
      </c>
      <c r="K387" s="152">
        <f t="shared" si="383"/>
        <v>230567938.7</v>
      </c>
      <c r="L387" s="152">
        <f t="shared" si="383"/>
        <v>24143082578</v>
      </c>
      <c r="M387" s="152">
        <f t="shared" si="383"/>
        <v>6877282342613</v>
      </c>
      <c r="N387" s="152">
        <f t="shared" si="383"/>
        <v>6.4626E+15</v>
      </c>
      <c r="O387" s="152">
        <f t="shared" si="383"/>
        <v>2.64766E+19</v>
      </c>
      <c r="P387" s="152">
        <f t="shared" si="383"/>
        <v>6.89694E+23</v>
      </c>
      <c r="Q387" s="152">
        <f t="shared" si="383"/>
        <v>2.00575E+29</v>
      </c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6">
        <v>384.0</v>
      </c>
      <c r="C388" s="152">
        <f t="shared" ref="C388:Q388" si="384">C387/(1-C$2*C$3^($B388-1))</f>
        <v>5.241157176</v>
      </c>
      <c r="D388" s="152">
        <f t="shared" si="384"/>
        <v>14.98396439</v>
      </c>
      <c r="E388" s="152">
        <f t="shared" si="384"/>
        <v>50.32258475</v>
      </c>
      <c r="F388" s="152">
        <f t="shared" si="384"/>
        <v>229.3756304</v>
      </c>
      <c r="G388" s="152">
        <f t="shared" si="384"/>
        <v>1385.331243</v>
      </c>
      <c r="H388" s="152">
        <f t="shared" si="384"/>
        <v>12487.18349</v>
      </c>
      <c r="I388" s="152">
        <f t="shared" si="384"/>
        <v>183967.8976</v>
      </c>
      <c r="J388" s="152">
        <f t="shared" si="384"/>
        <v>4766285.865</v>
      </c>
      <c r="K388" s="152">
        <f t="shared" si="384"/>
        <v>230567988.5</v>
      </c>
      <c r="L388" s="152">
        <f t="shared" si="384"/>
        <v>24143101640</v>
      </c>
      <c r="M388" s="152">
        <f t="shared" si="384"/>
        <v>6877301854007</v>
      </c>
      <c r="N388" s="152">
        <f t="shared" si="384"/>
        <v>6.46266E+15</v>
      </c>
      <c r="O388" s="152">
        <f t="shared" si="384"/>
        <v>2.64775E+19</v>
      </c>
      <c r="P388" s="152">
        <f t="shared" si="384"/>
        <v>6.89776E+23</v>
      </c>
      <c r="Q388" s="152">
        <f t="shared" si="384"/>
        <v>2.00655E+29</v>
      </c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6">
        <v>385.0</v>
      </c>
      <c r="C389" s="152">
        <f t="shared" ref="C389:Q389" si="385">C388/(1-C$2*C$3^($B389-1))</f>
        <v>5.241157176</v>
      </c>
      <c r="D389" s="152">
        <f t="shared" si="385"/>
        <v>14.98396439</v>
      </c>
      <c r="E389" s="152">
        <f t="shared" si="385"/>
        <v>50.32258475</v>
      </c>
      <c r="F389" s="152">
        <f t="shared" si="385"/>
        <v>229.3756305</v>
      </c>
      <c r="G389" s="152">
        <f t="shared" si="385"/>
        <v>1385.331245</v>
      </c>
      <c r="H389" s="152">
        <f t="shared" si="385"/>
        <v>12487.18354</v>
      </c>
      <c r="I389" s="152">
        <f t="shared" si="385"/>
        <v>183967.9003</v>
      </c>
      <c r="J389" s="152">
        <f t="shared" si="385"/>
        <v>4766286.13</v>
      </c>
      <c r="K389" s="152">
        <f t="shared" si="385"/>
        <v>230568036.4</v>
      </c>
      <c r="L389" s="152">
        <f t="shared" si="385"/>
        <v>24143120034</v>
      </c>
      <c r="M389" s="152">
        <f t="shared" si="385"/>
        <v>6877320741088</v>
      </c>
      <c r="N389" s="152">
        <f t="shared" si="385"/>
        <v>6.46273E+15</v>
      </c>
      <c r="O389" s="152">
        <f t="shared" si="385"/>
        <v>2.64784E+19</v>
      </c>
      <c r="P389" s="152">
        <f t="shared" si="385"/>
        <v>6.89856E+23</v>
      </c>
      <c r="Q389" s="152">
        <f t="shared" si="385"/>
        <v>2.00733E+29</v>
      </c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6">
        <v>386.0</v>
      </c>
      <c r="C390" s="152">
        <f t="shared" ref="C390:Q390" si="386">C389/(1-C$2*C$3^($B390-1))</f>
        <v>5.241157176</v>
      </c>
      <c r="D390" s="152">
        <f t="shared" si="386"/>
        <v>14.98396439</v>
      </c>
      <c r="E390" s="152">
        <f t="shared" si="386"/>
        <v>50.32258476</v>
      </c>
      <c r="F390" s="152">
        <f t="shared" si="386"/>
        <v>229.3756305</v>
      </c>
      <c r="G390" s="152">
        <f t="shared" si="386"/>
        <v>1385.331246</v>
      </c>
      <c r="H390" s="152">
        <f t="shared" si="386"/>
        <v>12487.18358</v>
      </c>
      <c r="I390" s="152">
        <f t="shared" si="386"/>
        <v>183967.9028</v>
      </c>
      <c r="J390" s="152">
        <f t="shared" si="386"/>
        <v>4766286.384</v>
      </c>
      <c r="K390" s="152">
        <f t="shared" si="386"/>
        <v>230568082.5</v>
      </c>
      <c r="L390" s="152">
        <f t="shared" si="386"/>
        <v>24143137785</v>
      </c>
      <c r="M390" s="152">
        <f t="shared" si="386"/>
        <v>6877339023831</v>
      </c>
      <c r="N390" s="152">
        <f t="shared" si="386"/>
        <v>6.46279E+15</v>
      </c>
      <c r="O390" s="152">
        <f t="shared" si="386"/>
        <v>2.64792E+19</v>
      </c>
      <c r="P390" s="152">
        <f t="shared" si="386"/>
        <v>6.89934E+23</v>
      </c>
      <c r="Q390" s="152">
        <f t="shared" si="386"/>
        <v>2.0081E+29</v>
      </c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6">
        <v>387.0</v>
      </c>
      <c r="C391" s="152">
        <f t="shared" ref="C391:Q391" si="387">C390/(1-C$2*C$3^($B391-1))</f>
        <v>5.241157176</v>
      </c>
      <c r="D391" s="152">
        <f t="shared" si="387"/>
        <v>14.98396439</v>
      </c>
      <c r="E391" s="152">
        <f t="shared" si="387"/>
        <v>50.32258476</v>
      </c>
      <c r="F391" s="152">
        <f t="shared" si="387"/>
        <v>229.3756306</v>
      </c>
      <c r="G391" s="152">
        <f t="shared" si="387"/>
        <v>1385.331247</v>
      </c>
      <c r="H391" s="152">
        <f t="shared" si="387"/>
        <v>12487.18362</v>
      </c>
      <c r="I391" s="152">
        <f t="shared" si="387"/>
        <v>183967.9053</v>
      </c>
      <c r="J391" s="152">
        <f t="shared" si="387"/>
        <v>4766286.627</v>
      </c>
      <c r="K391" s="152">
        <f t="shared" si="387"/>
        <v>230568126.8</v>
      </c>
      <c r="L391" s="152">
        <f t="shared" si="387"/>
        <v>24143154915</v>
      </c>
      <c r="M391" s="152">
        <f t="shared" si="387"/>
        <v>6877356721572</v>
      </c>
      <c r="N391" s="152">
        <f t="shared" si="387"/>
        <v>6.46285E+15</v>
      </c>
      <c r="O391" s="152">
        <f t="shared" si="387"/>
        <v>2.64801E+19</v>
      </c>
      <c r="P391" s="152">
        <f t="shared" si="387"/>
        <v>6.9001E+23</v>
      </c>
      <c r="Q391" s="152">
        <f t="shared" si="387"/>
        <v>2.00886E+29</v>
      </c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6">
        <v>388.0</v>
      </c>
      <c r="C392" s="152">
        <f t="shared" ref="C392:Q392" si="388">C391/(1-C$2*C$3^($B392-1))</f>
        <v>5.241157176</v>
      </c>
      <c r="D392" s="152">
        <f t="shared" si="388"/>
        <v>14.98396439</v>
      </c>
      <c r="E392" s="152">
        <f t="shared" si="388"/>
        <v>50.32258476</v>
      </c>
      <c r="F392" s="152">
        <f t="shared" si="388"/>
        <v>229.3756306</v>
      </c>
      <c r="G392" s="152">
        <f t="shared" si="388"/>
        <v>1385.331248</v>
      </c>
      <c r="H392" s="152">
        <f t="shared" si="388"/>
        <v>12487.18366</v>
      </c>
      <c r="I392" s="152">
        <f t="shared" si="388"/>
        <v>183967.9076</v>
      </c>
      <c r="J392" s="152">
        <f t="shared" si="388"/>
        <v>4766286.86</v>
      </c>
      <c r="K392" s="152">
        <f t="shared" si="388"/>
        <v>230568169.5</v>
      </c>
      <c r="L392" s="152">
        <f t="shared" si="388"/>
        <v>24143171445</v>
      </c>
      <c r="M392" s="152">
        <f t="shared" si="388"/>
        <v>6877373853028</v>
      </c>
      <c r="N392" s="152">
        <f t="shared" si="388"/>
        <v>6.4629E+15</v>
      </c>
      <c r="O392" s="152">
        <f t="shared" si="388"/>
        <v>2.64809E+19</v>
      </c>
      <c r="P392" s="152">
        <f t="shared" si="388"/>
        <v>6.90085E+23</v>
      </c>
      <c r="Q392" s="152">
        <f t="shared" si="388"/>
        <v>2.0096E+29</v>
      </c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6">
        <v>389.0</v>
      </c>
      <c r="C393" s="152">
        <f t="shared" ref="C393:Q393" si="389">C392/(1-C$2*C$3^($B393-1))</f>
        <v>5.241157176</v>
      </c>
      <c r="D393" s="152">
        <f t="shared" si="389"/>
        <v>14.98396439</v>
      </c>
      <c r="E393" s="152">
        <f t="shared" si="389"/>
        <v>50.32258476</v>
      </c>
      <c r="F393" s="152">
        <f t="shared" si="389"/>
        <v>229.3756306</v>
      </c>
      <c r="G393" s="152">
        <f t="shared" si="389"/>
        <v>1385.331249</v>
      </c>
      <c r="H393" s="152">
        <f t="shared" si="389"/>
        <v>12487.1837</v>
      </c>
      <c r="I393" s="152">
        <f t="shared" si="389"/>
        <v>183967.9098</v>
      </c>
      <c r="J393" s="152">
        <f t="shared" si="389"/>
        <v>4766287.084</v>
      </c>
      <c r="K393" s="152">
        <f t="shared" si="389"/>
        <v>230568210.5</v>
      </c>
      <c r="L393" s="152">
        <f t="shared" si="389"/>
        <v>24143187396</v>
      </c>
      <c r="M393" s="152">
        <f t="shared" si="389"/>
        <v>6877390436318</v>
      </c>
      <c r="N393" s="152">
        <f t="shared" si="389"/>
        <v>6.46296E+15</v>
      </c>
      <c r="O393" s="152">
        <f t="shared" si="389"/>
        <v>2.64817E+19</v>
      </c>
      <c r="P393" s="152">
        <f t="shared" si="389"/>
        <v>6.90158E+23</v>
      </c>
      <c r="Q393" s="152">
        <f t="shared" si="389"/>
        <v>2.01032E+29</v>
      </c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6">
        <v>390.0</v>
      </c>
      <c r="C394" s="152">
        <f t="shared" ref="C394:Q394" si="390">C393/(1-C$2*C$3^($B394-1))</f>
        <v>5.241157176</v>
      </c>
      <c r="D394" s="152">
        <f t="shared" si="390"/>
        <v>14.98396439</v>
      </c>
      <c r="E394" s="152">
        <f t="shared" si="390"/>
        <v>50.32258476</v>
      </c>
      <c r="F394" s="152">
        <f t="shared" si="390"/>
        <v>229.3756307</v>
      </c>
      <c r="G394" s="152">
        <f t="shared" si="390"/>
        <v>1385.33125</v>
      </c>
      <c r="H394" s="152">
        <f t="shared" si="390"/>
        <v>12487.18374</v>
      </c>
      <c r="I394" s="152">
        <f t="shared" si="390"/>
        <v>183967.912</v>
      </c>
      <c r="J394" s="152">
        <f t="shared" si="390"/>
        <v>4766287.299</v>
      </c>
      <c r="K394" s="152">
        <f t="shared" si="390"/>
        <v>230568250</v>
      </c>
      <c r="L394" s="152">
        <f t="shared" si="390"/>
        <v>24143202789</v>
      </c>
      <c r="M394" s="152">
        <f t="shared" si="390"/>
        <v>6877406488979</v>
      </c>
      <c r="N394" s="152">
        <f t="shared" si="390"/>
        <v>6.46301E+15</v>
      </c>
      <c r="O394" s="152">
        <f t="shared" si="390"/>
        <v>2.64825E+19</v>
      </c>
      <c r="P394" s="152">
        <f t="shared" si="390"/>
        <v>6.90229E+23</v>
      </c>
      <c r="Q394" s="152">
        <f t="shared" si="390"/>
        <v>2.01103E+29</v>
      </c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6">
        <v>391.0</v>
      </c>
      <c r="C395" s="152">
        <f t="shared" ref="C395:Q395" si="391">C394/(1-C$2*C$3^($B395-1))</f>
        <v>5.241157176</v>
      </c>
      <c r="D395" s="152">
        <f t="shared" si="391"/>
        <v>14.98396439</v>
      </c>
      <c r="E395" s="152">
        <f t="shared" si="391"/>
        <v>50.32258477</v>
      </c>
      <c r="F395" s="152">
        <f t="shared" si="391"/>
        <v>229.3756307</v>
      </c>
      <c r="G395" s="152">
        <f t="shared" si="391"/>
        <v>1385.331251</v>
      </c>
      <c r="H395" s="152">
        <f t="shared" si="391"/>
        <v>12487.18377</v>
      </c>
      <c r="I395" s="152">
        <f t="shared" si="391"/>
        <v>183967.914</v>
      </c>
      <c r="J395" s="152">
        <f t="shared" si="391"/>
        <v>4766287.505</v>
      </c>
      <c r="K395" s="152">
        <f t="shared" si="391"/>
        <v>230568287.9</v>
      </c>
      <c r="L395" s="152">
        <f t="shared" si="391"/>
        <v>24143217644</v>
      </c>
      <c r="M395" s="152">
        <f t="shared" si="391"/>
        <v>6877422027991</v>
      </c>
      <c r="N395" s="152">
        <f t="shared" si="391"/>
        <v>6.46307E+15</v>
      </c>
      <c r="O395" s="152">
        <f t="shared" si="391"/>
        <v>2.64833E+19</v>
      </c>
      <c r="P395" s="152">
        <f t="shared" si="391"/>
        <v>6.90299E+23</v>
      </c>
      <c r="Q395" s="152">
        <f t="shared" si="391"/>
        <v>2.01173E+29</v>
      </c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6">
        <v>392.0</v>
      </c>
      <c r="C396" s="152">
        <f t="shared" ref="C396:Q396" si="392">C395/(1-C$2*C$3^($B396-1))</f>
        <v>5.241157176</v>
      </c>
      <c r="D396" s="152">
        <f t="shared" si="392"/>
        <v>14.98396439</v>
      </c>
      <c r="E396" s="152">
        <f t="shared" si="392"/>
        <v>50.32258477</v>
      </c>
      <c r="F396" s="152">
        <f t="shared" si="392"/>
        <v>229.3756308</v>
      </c>
      <c r="G396" s="152">
        <f t="shared" si="392"/>
        <v>1385.331252</v>
      </c>
      <c r="H396" s="152">
        <f t="shared" si="392"/>
        <v>12487.1838</v>
      </c>
      <c r="I396" s="152">
        <f t="shared" si="392"/>
        <v>183967.9159</v>
      </c>
      <c r="J396" s="152">
        <f t="shared" si="392"/>
        <v>4766287.702</v>
      </c>
      <c r="K396" s="152">
        <f t="shared" si="392"/>
        <v>230568324.5</v>
      </c>
      <c r="L396" s="152">
        <f t="shared" si="392"/>
        <v>24143231978</v>
      </c>
      <c r="M396" s="152">
        <f t="shared" si="392"/>
        <v>6877437069787</v>
      </c>
      <c r="N396" s="152">
        <f t="shared" si="392"/>
        <v>6.46312E+15</v>
      </c>
      <c r="O396" s="152">
        <f t="shared" si="392"/>
        <v>2.6484E+19</v>
      </c>
      <c r="P396" s="152">
        <f t="shared" si="392"/>
        <v>6.90367E+23</v>
      </c>
      <c r="Q396" s="152">
        <f t="shared" si="392"/>
        <v>2.01241E+29</v>
      </c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6">
        <v>393.0</v>
      </c>
      <c r="C397" s="152">
        <f t="shared" ref="C397:Q397" si="393">C396/(1-C$2*C$3^($B397-1))</f>
        <v>5.241157176</v>
      </c>
      <c r="D397" s="152">
        <f t="shared" si="393"/>
        <v>14.98396439</v>
      </c>
      <c r="E397" s="152">
        <f t="shared" si="393"/>
        <v>50.32258477</v>
      </c>
      <c r="F397" s="152">
        <f t="shared" si="393"/>
        <v>229.3756308</v>
      </c>
      <c r="G397" s="152">
        <f t="shared" si="393"/>
        <v>1385.331253</v>
      </c>
      <c r="H397" s="152">
        <f t="shared" si="393"/>
        <v>12487.18384</v>
      </c>
      <c r="I397" s="152">
        <f t="shared" si="393"/>
        <v>183967.9178</v>
      </c>
      <c r="J397" s="152">
        <f t="shared" si="393"/>
        <v>4766287.892</v>
      </c>
      <c r="K397" s="152">
        <f t="shared" si="393"/>
        <v>230568359.6</v>
      </c>
      <c r="L397" s="152">
        <f t="shared" si="393"/>
        <v>24143245811</v>
      </c>
      <c r="M397" s="152">
        <f t="shared" si="393"/>
        <v>6877451630276</v>
      </c>
      <c r="N397" s="152">
        <f t="shared" si="393"/>
        <v>6.46317E+15</v>
      </c>
      <c r="O397" s="152">
        <f t="shared" si="393"/>
        <v>2.64848E+19</v>
      </c>
      <c r="P397" s="152">
        <f t="shared" si="393"/>
        <v>6.90433E+23</v>
      </c>
      <c r="Q397" s="152">
        <f t="shared" si="393"/>
        <v>2.01308E+29</v>
      </c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6">
        <v>394.0</v>
      </c>
      <c r="C398" s="152">
        <f t="shared" ref="C398:Q398" si="394">C397/(1-C$2*C$3^($B398-1))</f>
        <v>5.241157176</v>
      </c>
      <c r="D398" s="152">
        <f t="shared" si="394"/>
        <v>14.98396439</v>
      </c>
      <c r="E398" s="152">
        <f t="shared" si="394"/>
        <v>50.32258477</v>
      </c>
      <c r="F398" s="152">
        <f t="shared" si="394"/>
        <v>229.3756308</v>
      </c>
      <c r="G398" s="152">
        <f t="shared" si="394"/>
        <v>1385.331253</v>
      </c>
      <c r="H398" s="152">
        <f t="shared" si="394"/>
        <v>12487.18387</v>
      </c>
      <c r="I398" s="152">
        <f t="shared" si="394"/>
        <v>183967.9196</v>
      </c>
      <c r="J398" s="152">
        <f t="shared" si="394"/>
        <v>4766288.073</v>
      </c>
      <c r="K398" s="152">
        <f t="shared" si="394"/>
        <v>230568393.4</v>
      </c>
      <c r="L398" s="152">
        <f t="shared" si="394"/>
        <v>24143259160</v>
      </c>
      <c r="M398" s="152">
        <f t="shared" si="394"/>
        <v>6877465724859</v>
      </c>
      <c r="N398" s="152">
        <f t="shared" si="394"/>
        <v>6.46322E+15</v>
      </c>
      <c r="O398" s="152">
        <f t="shared" si="394"/>
        <v>2.64855E+19</v>
      </c>
      <c r="P398" s="152">
        <f t="shared" si="394"/>
        <v>6.90498E+23</v>
      </c>
      <c r="Q398" s="152">
        <f t="shared" si="394"/>
        <v>2.01374E+29</v>
      </c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6">
        <v>395.0</v>
      </c>
      <c r="C399" s="152">
        <f t="shared" ref="C399:Q399" si="395">C398/(1-C$2*C$3^($B399-1))</f>
        <v>5.241157176</v>
      </c>
      <c r="D399" s="152">
        <f t="shared" si="395"/>
        <v>14.98396439</v>
      </c>
      <c r="E399" s="152">
        <f t="shared" si="395"/>
        <v>50.32258477</v>
      </c>
      <c r="F399" s="152">
        <f t="shared" si="395"/>
        <v>229.3756309</v>
      </c>
      <c r="G399" s="152">
        <f t="shared" si="395"/>
        <v>1385.331254</v>
      </c>
      <c r="H399" s="152">
        <f t="shared" si="395"/>
        <v>12487.18389</v>
      </c>
      <c r="I399" s="152">
        <f t="shared" si="395"/>
        <v>183967.9213</v>
      </c>
      <c r="J399" s="152">
        <f t="shared" si="395"/>
        <v>4766288.247</v>
      </c>
      <c r="K399" s="152">
        <f t="shared" si="395"/>
        <v>230568425.9</v>
      </c>
      <c r="L399" s="152">
        <f t="shared" si="395"/>
        <v>24143272041</v>
      </c>
      <c r="M399" s="152">
        <f t="shared" si="395"/>
        <v>6877479368442</v>
      </c>
      <c r="N399" s="152">
        <f t="shared" si="395"/>
        <v>6.46326E+15</v>
      </c>
      <c r="O399" s="152">
        <f t="shared" si="395"/>
        <v>2.64862E+19</v>
      </c>
      <c r="P399" s="152">
        <f t="shared" si="395"/>
        <v>6.90562E+23</v>
      </c>
      <c r="Q399" s="152">
        <f t="shared" si="395"/>
        <v>2.01438E+29</v>
      </c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6">
        <v>396.0</v>
      </c>
      <c r="C400" s="152">
        <f t="shared" ref="C400:Q400" si="396">C399/(1-C$2*C$3^($B400-1))</f>
        <v>5.241157176</v>
      </c>
      <c r="D400" s="152">
        <f t="shared" si="396"/>
        <v>14.98396439</v>
      </c>
      <c r="E400" s="152">
        <f t="shared" si="396"/>
        <v>50.32258477</v>
      </c>
      <c r="F400" s="152">
        <f t="shared" si="396"/>
        <v>229.3756309</v>
      </c>
      <c r="G400" s="152">
        <f t="shared" si="396"/>
        <v>1385.331255</v>
      </c>
      <c r="H400" s="152">
        <f t="shared" si="396"/>
        <v>12487.18392</v>
      </c>
      <c r="I400" s="152">
        <f t="shared" si="396"/>
        <v>183967.9229</v>
      </c>
      <c r="J400" s="152">
        <f t="shared" si="396"/>
        <v>4766288.414</v>
      </c>
      <c r="K400" s="152">
        <f t="shared" si="396"/>
        <v>230568457.2</v>
      </c>
      <c r="L400" s="152">
        <f t="shared" si="396"/>
        <v>24143284472</v>
      </c>
      <c r="M400" s="152">
        <f t="shared" si="396"/>
        <v>6877492575456</v>
      </c>
      <c r="N400" s="152">
        <f t="shared" si="396"/>
        <v>6.46331E+15</v>
      </c>
      <c r="O400" s="152">
        <f t="shared" si="396"/>
        <v>2.64868E+19</v>
      </c>
      <c r="P400" s="152">
        <f t="shared" si="396"/>
        <v>6.90624E+23</v>
      </c>
      <c r="Q400" s="152">
        <f t="shared" si="396"/>
        <v>2.01501E+29</v>
      </c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6">
        <v>397.0</v>
      </c>
      <c r="C401" s="152">
        <f t="shared" ref="C401:Q401" si="397">C400/(1-C$2*C$3^($B401-1))</f>
        <v>5.241157176</v>
      </c>
      <c r="D401" s="152">
        <f t="shared" si="397"/>
        <v>14.98396439</v>
      </c>
      <c r="E401" s="152">
        <f t="shared" si="397"/>
        <v>50.32258477</v>
      </c>
      <c r="F401" s="152">
        <f t="shared" si="397"/>
        <v>229.3756309</v>
      </c>
      <c r="G401" s="152">
        <f t="shared" si="397"/>
        <v>1385.331256</v>
      </c>
      <c r="H401" s="152">
        <f t="shared" si="397"/>
        <v>12487.18395</v>
      </c>
      <c r="I401" s="152">
        <f t="shared" si="397"/>
        <v>183967.9245</v>
      </c>
      <c r="J401" s="152">
        <f t="shared" si="397"/>
        <v>4766288.574</v>
      </c>
      <c r="K401" s="152">
        <f t="shared" si="397"/>
        <v>230568487.3</v>
      </c>
      <c r="L401" s="152">
        <f t="shared" si="397"/>
        <v>24143296468</v>
      </c>
      <c r="M401" s="152">
        <f t="shared" si="397"/>
        <v>6877505359869</v>
      </c>
      <c r="N401" s="152">
        <f t="shared" si="397"/>
        <v>6.46335E+15</v>
      </c>
      <c r="O401" s="152">
        <f t="shared" si="397"/>
        <v>2.64875E+19</v>
      </c>
      <c r="P401" s="152">
        <f t="shared" si="397"/>
        <v>6.90684E+23</v>
      </c>
      <c r="Q401" s="152">
        <f t="shared" si="397"/>
        <v>2.01563E+29</v>
      </c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6">
        <v>398.0</v>
      </c>
      <c r="C402" s="152">
        <f t="shared" ref="C402:Q402" si="398">C401/(1-C$2*C$3^($B402-1))</f>
        <v>5.241157176</v>
      </c>
      <c r="D402" s="152">
        <f t="shared" si="398"/>
        <v>14.98396439</v>
      </c>
      <c r="E402" s="152">
        <f t="shared" si="398"/>
        <v>50.32258478</v>
      </c>
      <c r="F402" s="152">
        <f t="shared" si="398"/>
        <v>229.3756309</v>
      </c>
      <c r="G402" s="152">
        <f t="shared" si="398"/>
        <v>1385.331256</v>
      </c>
      <c r="H402" s="152">
        <f t="shared" si="398"/>
        <v>12487.18397</v>
      </c>
      <c r="I402" s="152">
        <f t="shared" si="398"/>
        <v>183967.9259</v>
      </c>
      <c r="J402" s="152">
        <f t="shared" si="398"/>
        <v>4766288.728</v>
      </c>
      <c r="K402" s="152">
        <f t="shared" si="398"/>
        <v>230568516.3</v>
      </c>
      <c r="L402" s="152">
        <f t="shared" si="398"/>
        <v>24143308043</v>
      </c>
      <c r="M402" s="152">
        <f t="shared" si="398"/>
        <v>6877517735203</v>
      </c>
      <c r="N402" s="152">
        <f t="shared" si="398"/>
        <v>6.4634E+15</v>
      </c>
      <c r="O402" s="152">
        <f t="shared" si="398"/>
        <v>2.64881E+19</v>
      </c>
      <c r="P402" s="152">
        <f t="shared" si="398"/>
        <v>6.90743E+23</v>
      </c>
      <c r="Q402" s="152">
        <f t="shared" si="398"/>
        <v>2.01624E+29</v>
      </c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6">
        <v>399.0</v>
      </c>
      <c r="C403" s="152">
        <f t="shared" ref="C403:Q403" si="399">C402/(1-C$2*C$3^($B403-1))</f>
        <v>5.241157176</v>
      </c>
      <c r="D403" s="152">
        <f t="shared" si="399"/>
        <v>14.98396439</v>
      </c>
      <c r="E403" s="152">
        <f t="shared" si="399"/>
        <v>50.32258478</v>
      </c>
      <c r="F403" s="152">
        <f t="shared" si="399"/>
        <v>229.375631</v>
      </c>
      <c r="G403" s="152">
        <f t="shared" si="399"/>
        <v>1385.331257</v>
      </c>
      <c r="H403" s="152">
        <f t="shared" si="399"/>
        <v>12487.184</v>
      </c>
      <c r="I403" s="152">
        <f t="shared" si="399"/>
        <v>183967.9274</v>
      </c>
      <c r="J403" s="152">
        <f t="shared" si="399"/>
        <v>4766288.875</v>
      </c>
      <c r="K403" s="152">
        <f t="shared" si="399"/>
        <v>230568544.1</v>
      </c>
      <c r="L403" s="152">
        <f t="shared" si="399"/>
        <v>24143319214</v>
      </c>
      <c r="M403" s="152">
        <f t="shared" si="399"/>
        <v>6877529714547</v>
      </c>
      <c r="N403" s="152">
        <f t="shared" si="399"/>
        <v>6.46344E+15</v>
      </c>
      <c r="O403" s="152">
        <f t="shared" si="399"/>
        <v>2.64887E+19</v>
      </c>
      <c r="P403" s="152">
        <f t="shared" si="399"/>
        <v>6.90801E+23</v>
      </c>
      <c r="Q403" s="152">
        <f t="shared" si="399"/>
        <v>2.01683E+29</v>
      </c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6">
        <v>400.0</v>
      </c>
      <c r="C404" s="152">
        <f t="shared" ref="C404:Q404" si="400">C403/(1-C$2*C$3^($B404-1))</f>
        <v>5.241157176</v>
      </c>
      <c r="D404" s="152">
        <f t="shared" si="400"/>
        <v>14.98396439</v>
      </c>
      <c r="E404" s="152">
        <f t="shared" si="400"/>
        <v>50.32258478</v>
      </c>
      <c r="F404" s="152">
        <f t="shared" si="400"/>
        <v>229.375631</v>
      </c>
      <c r="G404" s="152">
        <f t="shared" si="400"/>
        <v>1385.331257</v>
      </c>
      <c r="H404" s="152">
        <f t="shared" si="400"/>
        <v>12487.18402</v>
      </c>
      <c r="I404" s="152">
        <f t="shared" si="400"/>
        <v>183967.9287</v>
      </c>
      <c r="J404" s="152">
        <f t="shared" si="400"/>
        <v>4766289.017</v>
      </c>
      <c r="K404" s="152">
        <f t="shared" si="400"/>
        <v>230568570.9</v>
      </c>
      <c r="L404" s="152">
        <f t="shared" si="400"/>
        <v>24143329994</v>
      </c>
      <c r="M404" s="152">
        <f t="shared" si="400"/>
        <v>6877541310572</v>
      </c>
      <c r="N404" s="152">
        <f t="shared" si="400"/>
        <v>6.46348E+15</v>
      </c>
      <c r="O404" s="152">
        <f t="shared" si="400"/>
        <v>2.64893E+19</v>
      </c>
      <c r="P404" s="152">
        <f t="shared" si="400"/>
        <v>6.90858E+23</v>
      </c>
      <c r="Q404" s="152">
        <f t="shared" si="400"/>
        <v>2.01741E+29</v>
      </c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6">
        <v>401.0</v>
      </c>
      <c r="C405" s="152">
        <f t="shared" ref="C405:Q405" si="401">C404/(1-C$2*C$3^($B405-1))</f>
        <v>5.241157176</v>
      </c>
      <c r="D405" s="152">
        <f t="shared" si="401"/>
        <v>14.98396439</v>
      </c>
      <c r="E405" s="152">
        <f t="shared" si="401"/>
        <v>50.32258478</v>
      </c>
      <c r="F405" s="152">
        <f t="shared" si="401"/>
        <v>229.375631</v>
      </c>
      <c r="G405" s="152">
        <f t="shared" si="401"/>
        <v>1385.331258</v>
      </c>
      <c r="H405" s="152">
        <f t="shared" si="401"/>
        <v>12487.18404</v>
      </c>
      <c r="I405" s="152">
        <f t="shared" si="401"/>
        <v>183967.93</v>
      </c>
      <c r="J405" s="152">
        <f t="shared" si="401"/>
        <v>4766289.152</v>
      </c>
      <c r="K405" s="152">
        <f t="shared" si="401"/>
        <v>230568596.7</v>
      </c>
      <c r="L405" s="152">
        <f t="shared" si="401"/>
        <v>24143340396</v>
      </c>
      <c r="M405" s="152">
        <f t="shared" si="401"/>
        <v>6877552535543</v>
      </c>
      <c r="N405" s="152">
        <f t="shared" si="401"/>
        <v>6.46352E+15</v>
      </c>
      <c r="O405" s="152">
        <f t="shared" si="401"/>
        <v>2.64899E+19</v>
      </c>
      <c r="P405" s="152">
        <f t="shared" si="401"/>
        <v>6.90913E+23</v>
      </c>
      <c r="Q405" s="152">
        <f t="shared" si="401"/>
        <v>2.01798E+29</v>
      </c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6">
        <v>402.0</v>
      </c>
      <c r="C406" s="152">
        <f t="shared" ref="C406:Q406" si="402">C405/(1-C$2*C$3^($B406-1))</f>
        <v>5.241157176</v>
      </c>
      <c r="D406" s="152">
        <f t="shared" si="402"/>
        <v>14.98396439</v>
      </c>
      <c r="E406" s="152">
        <f t="shared" si="402"/>
        <v>50.32258478</v>
      </c>
      <c r="F406" s="152">
        <f t="shared" si="402"/>
        <v>229.375631</v>
      </c>
      <c r="G406" s="152">
        <f t="shared" si="402"/>
        <v>1385.331259</v>
      </c>
      <c r="H406" s="152">
        <f t="shared" si="402"/>
        <v>12487.18406</v>
      </c>
      <c r="I406" s="152">
        <f t="shared" si="402"/>
        <v>183967.9313</v>
      </c>
      <c r="J406" s="152">
        <f t="shared" si="402"/>
        <v>4766289.282</v>
      </c>
      <c r="K406" s="152">
        <f t="shared" si="402"/>
        <v>230568621.5</v>
      </c>
      <c r="L406" s="152">
        <f t="shared" si="402"/>
        <v>24143350434</v>
      </c>
      <c r="M406" s="152">
        <f t="shared" si="402"/>
        <v>6877563401331</v>
      </c>
      <c r="N406" s="152">
        <f t="shared" si="402"/>
        <v>6.46355E+15</v>
      </c>
      <c r="O406" s="152">
        <f t="shared" si="402"/>
        <v>2.64905E+19</v>
      </c>
      <c r="P406" s="152">
        <f t="shared" si="402"/>
        <v>6.90967E+23</v>
      </c>
      <c r="Q406" s="152">
        <f t="shared" si="402"/>
        <v>2.01854E+29</v>
      </c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6">
        <v>403.0</v>
      </c>
      <c r="C407" s="152">
        <f t="shared" ref="C407:Q407" si="403">C406/(1-C$2*C$3^($B407-1))</f>
        <v>5.241157176</v>
      </c>
      <c r="D407" s="152">
        <f t="shared" si="403"/>
        <v>14.9839644</v>
      </c>
      <c r="E407" s="152">
        <f t="shared" si="403"/>
        <v>50.32258478</v>
      </c>
      <c r="F407" s="152">
        <f t="shared" si="403"/>
        <v>229.375631</v>
      </c>
      <c r="G407" s="152">
        <f t="shared" si="403"/>
        <v>1385.331259</v>
      </c>
      <c r="H407" s="152">
        <f t="shared" si="403"/>
        <v>12487.18408</v>
      </c>
      <c r="I407" s="152">
        <f t="shared" si="403"/>
        <v>183967.9324</v>
      </c>
      <c r="J407" s="152">
        <f t="shared" si="403"/>
        <v>4766289.406</v>
      </c>
      <c r="K407" s="152">
        <f t="shared" si="403"/>
        <v>230568645.3</v>
      </c>
      <c r="L407" s="152">
        <f t="shared" si="403"/>
        <v>24143360121</v>
      </c>
      <c r="M407" s="152">
        <f t="shared" si="403"/>
        <v>6877573919431</v>
      </c>
      <c r="N407" s="152">
        <f t="shared" si="403"/>
        <v>6.46359E+15</v>
      </c>
      <c r="O407" s="152">
        <f t="shared" si="403"/>
        <v>2.64911E+19</v>
      </c>
      <c r="P407" s="152">
        <f t="shared" si="403"/>
        <v>6.9102E+23</v>
      </c>
      <c r="Q407" s="152">
        <f t="shared" si="403"/>
        <v>2.01909E+29</v>
      </c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6">
        <v>404.0</v>
      </c>
      <c r="C408" s="152">
        <f t="shared" ref="C408:Q408" si="404">C407/(1-C$2*C$3^($B408-1))</f>
        <v>5.241157176</v>
      </c>
      <c r="D408" s="152">
        <f t="shared" si="404"/>
        <v>14.9839644</v>
      </c>
      <c r="E408" s="152">
        <f t="shared" si="404"/>
        <v>50.32258478</v>
      </c>
      <c r="F408" s="152">
        <f t="shared" si="404"/>
        <v>229.3756311</v>
      </c>
      <c r="G408" s="152">
        <f t="shared" si="404"/>
        <v>1385.33126</v>
      </c>
      <c r="H408" s="152">
        <f t="shared" si="404"/>
        <v>12487.1841</v>
      </c>
      <c r="I408" s="152">
        <f t="shared" si="404"/>
        <v>183967.9336</v>
      </c>
      <c r="J408" s="152">
        <f t="shared" si="404"/>
        <v>4766289.526</v>
      </c>
      <c r="K408" s="152">
        <f t="shared" si="404"/>
        <v>230568668.3</v>
      </c>
      <c r="L408" s="152">
        <f t="shared" si="404"/>
        <v>24143369469</v>
      </c>
      <c r="M408" s="152">
        <f t="shared" si="404"/>
        <v>6877584100966</v>
      </c>
      <c r="N408" s="152">
        <f t="shared" si="404"/>
        <v>6.46363E+15</v>
      </c>
      <c r="O408" s="152">
        <f t="shared" si="404"/>
        <v>2.64916E+19</v>
      </c>
      <c r="P408" s="152">
        <f t="shared" si="404"/>
        <v>6.91071E+23</v>
      </c>
      <c r="Q408" s="152">
        <f t="shared" si="404"/>
        <v>2.01963E+29</v>
      </c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6">
        <v>405.0</v>
      </c>
      <c r="C409" s="152">
        <f t="shared" ref="C409:Q409" si="405">C408/(1-C$2*C$3^($B409-1))</f>
        <v>5.241157176</v>
      </c>
      <c r="D409" s="152">
        <f t="shared" si="405"/>
        <v>14.9839644</v>
      </c>
      <c r="E409" s="152">
        <f t="shared" si="405"/>
        <v>50.32258478</v>
      </c>
      <c r="F409" s="152">
        <f t="shared" si="405"/>
        <v>229.3756311</v>
      </c>
      <c r="G409" s="152">
        <f t="shared" si="405"/>
        <v>1385.33126</v>
      </c>
      <c r="H409" s="152">
        <f t="shared" si="405"/>
        <v>12487.18412</v>
      </c>
      <c r="I409" s="152">
        <f t="shared" si="405"/>
        <v>183967.9347</v>
      </c>
      <c r="J409" s="152">
        <f t="shared" si="405"/>
        <v>4766289.64</v>
      </c>
      <c r="K409" s="152">
        <f t="shared" si="405"/>
        <v>230568690.4</v>
      </c>
      <c r="L409" s="152">
        <f t="shared" si="405"/>
        <v>24143378490</v>
      </c>
      <c r="M409" s="152">
        <f t="shared" si="405"/>
        <v>6877593956706</v>
      </c>
      <c r="N409" s="152">
        <f t="shared" si="405"/>
        <v>6.46366E+15</v>
      </c>
      <c r="O409" s="152">
        <f t="shared" si="405"/>
        <v>2.64921E+19</v>
      </c>
      <c r="P409" s="152">
        <f t="shared" si="405"/>
        <v>6.91122E+23</v>
      </c>
      <c r="Q409" s="152">
        <f t="shared" si="405"/>
        <v>2.02016E+29</v>
      </c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6">
        <v>406.0</v>
      </c>
      <c r="C410" s="152">
        <f t="shared" ref="C410:Q410" si="406">C409/(1-C$2*C$3^($B410-1))</f>
        <v>5.241157176</v>
      </c>
      <c r="D410" s="152">
        <f t="shared" si="406"/>
        <v>14.9839644</v>
      </c>
      <c r="E410" s="152">
        <f t="shared" si="406"/>
        <v>50.32258478</v>
      </c>
      <c r="F410" s="152">
        <f t="shared" si="406"/>
        <v>229.3756311</v>
      </c>
      <c r="G410" s="152">
        <f t="shared" si="406"/>
        <v>1385.33126</v>
      </c>
      <c r="H410" s="152">
        <f t="shared" si="406"/>
        <v>12487.18413</v>
      </c>
      <c r="I410" s="152">
        <f t="shared" si="406"/>
        <v>183967.9357</v>
      </c>
      <c r="J410" s="152">
        <f t="shared" si="406"/>
        <v>4766289.75</v>
      </c>
      <c r="K410" s="152">
        <f t="shared" si="406"/>
        <v>230568711.6</v>
      </c>
      <c r="L410" s="152">
        <f t="shared" si="406"/>
        <v>24143387195</v>
      </c>
      <c r="M410" s="152">
        <f t="shared" si="406"/>
        <v>6877603497076</v>
      </c>
      <c r="N410" s="152">
        <f t="shared" si="406"/>
        <v>6.4637E+15</v>
      </c>
      <c r="O410" s="152">
        <f t="shared" si="406"/>
        <v>2.64927E+19</v>
      </c>
      <c r="P410" s="152">
        <f t="shared" si="406"/>
        <v>6.91171E+23</v>
      </c>
      <c r="Q410" s="152">
        <f t="shared" si="406"/>
        <v>2.02067E+29</v>
      </c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6">
        <v>407.0</v>
      </c>
      <c r="C411" s="152">
        <f t="shared" ref="C411:Q411" si="407">C410/(1-C$2*C$3^($B411-1))</f>
        <v>5.241157176</v>
      </c>
      <c r="D411" s="152">
        <f t="shared" si="407"/>
        <v>14.9839644</v>
      </c>
      <c r="E411" s="152">
        <f t="shared" si="407"/>
        <v>50.32258478</v>
      </c>
      <c r="F411" s="152">
        <f t="shared" si="407"/>
        <v>229.3756311</v>
      </c>
      <c r="G411" s="152">
        <f t="shared" si="407"/>
        <v>1385.331261</v>
      </c>
      <c r="H411" s="152">
        <f t="shared" si="407"/>
        <v>12487.18415</v>
      </c>
      <c r="I411" s="152">
        <f t="shared" si="407"/>
        <v>183967.9367</v>
      </c>
      <c r="J411" s="152">
        <f t="shared" si="407"/>
        <v>4766289.856</v>
      </c>
      <c r="K411" s="152">
        <f t="shared" si="407"/>
        <v>230568732</v>
      </c>
      <c r="L411" s="152">
        <f t="shared" si="407"/>
        <v>24143395595</v>
      </c>
      <c r="M411" s="152">
        <f t="shared" si="407"/>
        <v>6877612732166</v>
      </c>
      <c r="N411" s="152">
        <f t="shared" si="407"/>
        <v>6.46373E+15</v>
      </c>
      <c r="O411" s="152">
        <f t="shared" si="407"/>
        <v>2.64932E+19</v>
      </c>
      <c r="P411" s="152">
        <f t="shared" si="407"/>
        <v>6.91219E+23</v>
      </c>
      <c r="Q411" s="152">
        <f t="shared" si="407"/>
        <v>2.02118E+29</v>
      </c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6">
        <v>408.0</v>
      </c>
      <c r="C412" s="152">
        <f t="shared" ref="C412:Q412" si="408">C411/(1-C$2*C$3^($B412-1))</f>
        <v>5.241157176</v>
      </c>
      <c r="D412" s="152">
        <f t="shared" si="408"/>
        <v>14.9839644</v>
      </c>
      <c r="E412" s="152">
        <f t="shared" si="408"/>
        <v>50.32258478</v>
      </c>
      <c r="F412" s="152">
        <f t="shared" si="408"/>
        <v>229.3756311</v>
      </c>
      <c r="G412" s="152">
        <f t="shared" si="408"/>
        <v>1385.331261</v>
      </c>
      <c r="H412" s="152">
        <f t="shared" si="408"/>
        <v>12487.18416</v>
      </c>
      <c r="I412" s="152">
        <f t="shared" si="408"/>
        <v>183967.9376</v>
      </c>
      <c r="J412" s="152">
        <f t="shared" si="408"/>
        <v>4766289.957</v>
      </c>
      <c r="K412" s="152">
        <f t="shared" si="408"/>
        <v>230568751.7</v>
      </c>
      <c r="L412" s="152">
        <f t="shared" si="408"/>
        <v>24143403701</v>
      </c>
      <c r="M412" s="152">
        <f t="shared" si="408"/>
        <v>6877621671745</v>
      </c>
      <c r="N412" s="152">
        <f t="shared" si="408"/>
        <v>6.46376E+15</v>
      </c>
      <c r="O412" s="152">
        <f t="shared" si="408"/>
        <v>2.64936E+19</v>
      </c>
      <c r="P412" s="152">
        <f t="shared" si="408"/>
        <v>6.91266E+23</v>
      </c>
      <c r="Q412" s="152">
        <f t="shared" si="408"/>
        <v>2.02168E+29</v>
      </c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6">
        <v>409.0</v>
      </c>
      <c r="C413" s="152">
        <f t="shared" ref="C413:Q413" si="409">C412/(1-C$2*C$3^($B413-1))</f>
        <v>5.241157176</v>
      </c>
      <c r="D413" s="152">
        <f t="shared" si="409"/>
        <v>14.9839644</v>
      </c>
      <c r="E413" s="152">
        <f t="shared" si="409"/>
        <v>50.32258478</v>
      </c>
      <c r="F413" s="152">
        <f t="shared" si="409"/>
        <v>229.3756311</v>
      </c>
      <c r="G413" s="152">
        <f t="shared" si="409"/>
        <v>1385.331262</v>
      </c>
      <c r="H413" s="152">
        <f t="shared" si="409"/>
        <v>12487.18418</v>
      </c>
      <c r="I413" s="152">
        <f t="shared" si="409"/>
        <v>183967.9385</v>
      </c>
      <c r="J413" s="152">
        <f t="shared" si="409"/>
        <v>4766290.054</v>
      </c>
      <c r="K413" s="152">
        <f t="shared" si="409"/>
        <v>230568770.6</v>
      </c>
      <c r="L413" s="152">
        <f t="shared" si="409"/>
        <v>24143411524</v>
      </c>
      <c r="M413" s="152">
        <f t="shared" si="409"/>
        <v>6877630325269</v>
      </c>
      <c r="N413" s="152">
        <f t="shared" si="409"/>
        <v>6.46379E+15</v>
      </c>
      <c r="O413" s="152">
        <f t="shared" si="409"/>
        <v>2.64941E+19</v>
      </c>
      <c r="P413" s="152">
        <f t="shared" si="409"/>
        <v>6.91312E+23</v>
      </c>
      <c r="Q413" s="152">
        <f t="shared" si="409"/>
        <v>2.02216E+29</v>
      </c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6">
        <v>410.0</v>
      </c>
      <c r="C414" s="152">
        <f t="shared" ref="C414:Q414" si="410">C413/(1-C$2*C$3^($B414-1))</f>
        <v>5.241157176</v>
      </c>
      <c r="D414" s="152">
        <f t="shared" si="410"/>
        <v>14.9839644</v>
      </c>
      <c r="E414" s="152">
        <f t="shared" si="410"/>
        <v>50.32258479</v>
      </c>
      <c r="F414" s="152">
        <f t="shared" si="410"/>
        <v>229.3756311</v>
      </c>
      <c r="G414" s="152">
        <f t="shared" si="410"/>
        <v>1385.331262</v>
      </c>
      <c r="H414" s="152">
        <f t="shared" si="410"/>
        <v>12487.18419</v>
      </c>
      <c r="I414" s="152">
        <f t="shared" si="410"/>
        <v>183967.9394</v>
      </c>
      <c r="J414" s="152">
        <f t="shared" si="410"/>
        <v>4766290.147</v>
      </c>
      <c r="K414" s="152">
        <f t="shared" si="410"/>
        <v>230568788.8</v>
      </c>
      <c r="L414" s="152">
        <f t="shared" si="410"/>
        <v>24143419073</v>
      </c>
      <c r="M414" s="152">
        <f t="shared" si="410"/>
        <v>6877638701890</v>
      </c>
      <c r="N414" s="152">
        <f t="shared" si="410"/>
        <v>6.46382E+15</v>
      </c>
      <c r="O414" s="152">
        <f t="shared" si="410"/>
        <v>2.64946E+19</v>
      </c>
      <c r="P414" s="152">
        <f t="shared" si="410"/>
        <v>6.91356E+23</v>
      </c>
      <c r="Q414" s="152">
        <f t="shared" si="410"/>
        <v>2.02264E+29</v>
      </c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6">
        <v>411.0</v>
      </c>
      <c r="C415" s="152">
        <f t="shared" ref="C415:Q415" si="411">C414/(1-C$2*C$3^($B415-1))</f>
        <v>5.241157176</v>
      </c>
      <c r="D415" s="152">
        <f t="shared" si="411"/>
        <v>14.9839644</v>
      </c>
      <c r="E415" s="152">
        <f t="shared" si="411"/>
        <v>50.32258479</v>
      </c>
      <c r="F415" s="152">
        <f t="shared" si="411"/>
        <v>229.3756312</v>
      </c>
      <c r="G415" s="152">
        <f t="shared" si="411"/>
        <v>1385.331262</v>
      </c>
      <c r="H415" s="152">
        <f t="shared" si="411"/>
        <v>12487.1842</v>
      </c>
      <c r="I415" s="152">
        <f t="shared" si="411"/>
        <v>183967.9402</v>
      </c>
      <c r="J415" s="152">
        <f t="shared" si="411"/>
        <v>4766290.236</v>
      </c>
      <c r="K415" s="152">
        <f t="shared" si="411"/>
        <v>230568806.3</v>
      </c>
      <c r="L415" s="152">
        <f t="shared" si="411"/>
        <v>24143426357</v>
      </c>
      <c r="M415" s="152">
        <f t="shared" si="411"/>
        <v>6877646810468</v>
      </c>
      <c r="N415" s="152">
        <f t="shared" si="411"/>
        <v>6.46385E+15</v>
      </c>
      <c r="O415" s="152">
        <f t="shared" si="411"/>
        <v>2.6495E+19</v>
      </c>
      <c r="P415" s="152">
        <f t="shared" si="411"/>
        <v>6.914E+23</v>
      </c>
      <c r="Q415" s="152">
        <f t="shared" si="411"/>
        <v>2.02311E+29</v>
      </c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6">
        <v>412.0</v>
      </c>
      <c r="C416" s="152">
        <f t="shared" ref="C416:Q416" si="412">C415/(1-C$2*C$3^($B416-1))</f>
        <v>5.241157176</v>
      </c>
      <c r="D416" s="152">
        <f t="shared" si="412"/>
        <v>14.9839644</v>
      </c>
      <c r="E416" s="152">
        <f t="shared" si="412"/>
        <v>50.32258479</v>
      </c>
      <c r="F416" s="152">
        <f t="shared" si="412"/>
        <v>229.3756312</v>
      </c>
      <c r="G416" s="152">
        <f t="shared" si="412"/>
        <v>1385.331263</v>
      </c>
      <c r="H416" s="152">
        <f t="shared" si="412"/>
        <v>12487.18422</v>
      </c>
      <c r="I416" s="152">
        <f t="shared" si="412"/>
        <v>183967.941</v>
      </c>
      <c r="J416" s="152">
        <f t="shared" si="412"/>
        <v>4766290.321</v>
      </c>
      <c r="K416" s="152">
        <f t="shared" si="412"/>
        <v>230568823.1</v>
      </c>
      <c r="L416" s="152">
        <f t="shared" si="412"/>
        <v>24143433387</v>
      </c>
      <c r="M416" s="152">
        <f t="shared" si="412"/>
        <v>6877654659581</v>
      </c>
      <c r="N416" s="152">
        <f t="shared" si="412"/>
        <v>6.46388E+15</v>
      </c>
      <c r="O416" s="152">
        <f t="shared" si="412"/>
        <v>2.64955E+19</v>
      </c>
      <c r="P416" s="152">
        <f t="shared" si="412"/>
        <v>6.91443E+23</v>
      </c>
      <c r="Q416" s="152">
        <f t="shared" si="412"/>
        <v>2.02357E+29</v>
      </c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6">
        <v>413.0</v>
      </c>
      <c r="C417" s="152">
        <f t="shared" ref="C417:Q417" si="413">C416/(1-C$2*C$3^($B417-1))</f>
        <v>5.241157176</v>
      </c>
      <c r="D417" s="152">
        <f t="shared" si="413"/>
        <v>14.9839644</v>
      </c>
      <c r="E417" s="152">
        <f t="shared" si="413"/>
        <v>50.32258479</v>
      </c>
      <c r="F417" s="152">
        <f t="shared" si="413"/>
        <v>229.3756312</v>
      </c>
      <c r="G417" s="152">
        <f t="shared" si="413"/>
        <v>1385.331263</v>
      </c>
      <c r="H417" s="152">
        <f t="shared" si="413"/>
        <v>12487.18423</v>
      </c>
      <c r="I417" s="152">
        <f t="shared" si="413"/>
        <v>183967.9418</v>
      </c>
      <c r="J417" s="152">
        <f t="shared" si="413"/>
        <v>4766290.403</v>
      </c>
      <c r="K417" s="152">
        <f t="shared" si="413"/>
        <v>230568839.3</v>
      </c>
      <c r="L417" s="152">
        <f t="shared" si="413"/>
        <v>24143440171</v>
      </c>
      <c r="M417" s="152">
        <f t="shared" si="413"/>
        <v>6877662257531</v>
      </c>
      <c r="N417" s="152">
        <f t="shared" si="413"/>
        <v>6.46391E+15</v>
      </c>
      <c r="O417" s="152">
        <f t="shared" si="413"/>
        <v>2.64959E+19</v>
      </c>
      <c r="P417" s="152">
        <f t="shared" si="413"/>
        <v>6.91485E+23</v>
      </c>
      <c r="Q417" s="152">
        <f t="shared" si="413"/>
        <v>2.02402E+29</v>
      </c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6">
        <v>414.0</v>
      </c>
      <c r="C418" s="152">
        <f t="shared" ref="C418:Q418" si="414">C417/(1-C$2*C$3^($B418-1))</f>
        <v>5.241157176</v>
      </c>
      <c r="D418" s="152">
        <f t="shared" si="414"/>
        <v>14.9839644</v>
      </c>
      <c r="E418" s="152">
        <f t="shared" si="414"/>
        <v>50.32258479</v>
      </c>
      <c r="F418" s="152">
        <f t="shared" si="414"/>
        <v>229.3756312</v>
      </c>
      <c r="G418" s="152">
        <f t="shared" si="414"/>
        <v>1385.331263</v>
      </c>
      <c r="H418" s="152">
        <f t="shared" si="414"/>
        <v>12487.18424</v>
      </c>
      <c r="I418" s="152">
        <f t="shared" si="414"/>
        <v>183967.9425</v>
      </c>
      <c r="J418" s="152">
        <f t="shared" si="414"/>
        <v>4766290.482</v>
      </c>
      <c r="K418" s="152">
        <f t="shared" si="414"/>
        <v>230568854.9</v>
      </c>
      <c r="L418" s="152">
        <f t="shared" si="414"/>
        <v>24143446717</v>
      </c>
      <c r="M418" s="152">
        <f t="shared" si="414"/>
        <v>6877669612354</v>
      </c>
      <c r="N418" s="152">
        <f t="shared" si="414"/>
        <v>6.46393E+15</v>
      </c>
      <c r="O418" s="152">
        <f t="shared" si="414"/>
        <v>2.64963E+19</v>
      </c>
      <c r="P418" s="152">
        <f t="shared" si="414"/>
        <v>6.91526E+23</v>
      </c>
      <c r="Q418" s="152">
        <f t="shared" si="414"/>
        <v>2.02446E+29</v>
      </c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6">
        <v>415.0</v>
      </c>
      <c r="C419" s="152">
        <f t="shared" ref="C419:Q419" si="415">C418/(1-C$2*C$3^($B419-1))</f>
        <v>5.241157176</v>
      </c>
      <c r="D419" s="152">
        <f t="shared" si="415"/>
        <v>14.9839644</v>
      </c>
      <c r="E419" s="152">
        <f t="shared" si="415"/>
        <v>50.32258479</v>
      </c>
      <c r="F419" s="152">
        <f t="shared" si="415"/>
        <v>229.3756312</v>
      </c>
      <c r="G419" s="152">
        <f t="shared" si="415"/>
        <v>1385.331263</v>
      </c>
      <c r="H419" s="152">
        <f t="shared" si="415"/>
        <v>12487.18425</v>
      </c>
      <c r="I419" s="152">
        <f t="shared" si="415"/>
        <v>183967.9432</v>
      </c>
      <c r="J419" s="152">
        <f t="shared" si="415"/>
        <v>4766290.557</v>
      </c>
      <c r="K419" s="152">
        <f t="shared" si="415"/>
        <v>230568869.8</v>
      </c>
      <c r="L419" s="152">
        <f t="shared" si="415"/>
        <v>24143453034</v>
      </c>
      <c r="M419" s="152">
        <f t="shared" si="415"/>
        <v>6877676731831</v>
      </c>
      <c r="N419" s="152">
        <f t="shared" si="415"/>
        <v>6.46396E+15</v>
      </c>
      <c r="O419" s="152">
        <f t="shared" si="415"/>
        <v>2.64967E+19</v>
      </c>
      <c r="P419" s="152">
        <f t="shared" si="415"/>
        <v>6.91566E+23</v>
      </c>
      <c r="Q419" s="152">
        <f t="shared" si="415"/>
        <v>2.02489E+29</v>
      </c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6">
        <v>416.0</v>
      </c>
      <c r="C420" s="152">
        <f t="shared" ref="C420:Q420" si="416">C419/(1-C$2*C$3^($B420-1))</f>
        <v>5.241157176</v>
      </c>
      <c r="D420" s="152">
        <f t="shared" si="416"/>
        <v>14.9839644</v>
      </c>
      <c r="E420" s="152">
        <f t="shared" si="416"/>
        <v>50.32258479</v>
      </c>
      <c r="F420" s="152">
        <f t="shared" si="416"/>
        <v>229.3756312</v>
      </c>
      <c r="G420" s="152">
        <f t="shared" si="416"/>
        <v>1385.331264</v>
      </c>
      <c r="H420" s="152">
        <f t="shared" si="416"/>
        <v>12487.18426</v>
      </c>
      <c r="I420" s="152">
        <f t="shared" si="416"/>
        <v>183967.9439</v>
      </c>
      <c r="J420" s="152">
        <f t="shared" si="416"/>
        <v>4766290.629</v>
      </c>
      <c r="K420" s="152">
        <f t="shared" si="416"/>
        <v>230568884.3</v>
      </c>
      <c r="L420" s="152">
        <f t="shared" si="416"/>
        <v>24143459130</v>
      </c>
      <c r="M420" s="152">
        <f t="shared" si="416"/>
        <v>6877683623491</v>
      </c>
      <c r="N420" s="152">
        <f t="shared" si="416"/>
        <v>6.46399E+15</v>
      </c>
      <c r="O420" s="152">
        <f t="shared" si="416"/>
        <v>2.64971E+19</v>
      </c>
      <c r="P420" s="152">
        <f t="shared" si="416"/>
        <v>6.91605E+23</v>
      </c>
      <c r="Q420" s="152">
        <f t="shared" si="416"/>
        <v>2.02531E+29</v>
      </c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6">
        <v>417.0</v>
      </c>
      <c r="C421" s="152">
        <f t="shared" ref="C421:Q421" si="417">C420/(1-C$2*C$3^($B421-1))</f>
        <v>5.241157176</v>
      </c>
      <c r="D421" s="152">
        <f t="shared" si="417"/>
        <v>14.9839644</v>
      </c>
      <c r="E421" s="152">
        <f t="shared" si="417"/>
        <v>50.32258479</v>
      </c>
      <c r="F421" s="152">
        <f t="shared" si="417"/>
        <v>229.3756312</v>
      </c>
      <c r="G421" s="152">
        <f t="shared" si="417"/>
        <v>1385.331264</v>
      </c>
      <c r="H421" s="152">
        <f t="shared" si="417"/>
        <v>12487.18427</v>
      </c>
      <c r="I421" s="152">
        <f t="shared" si="417"/>
        <v>183967.9445</v>
      </c>
      <c r="J421" s="152">
        <f t="shared" si="417"/>
        <v>4766290.699</v>
      </c>
      <c r="K421" s="152">
        <f t="shared" si="417"/>
        <v>230568898.1</v>
      </c>
      <c r="L421" s="152">
        <f t="shared" si="417"/>
        <v>24143465013</v>
      </c>
      <c r="M421" s="152">
        <f t="shared" si="417"/>
        <v>6877690294624</v>
      </c>
      <c r="N421" s="152">
        <f t="shared" si="417"/>
        <v>6.46401E+15</v>
      </c>
      <c r="O421" s="152">
        <f t="shared" si="417"/>
        <v>2.64975E+19</v>
      </c>
      <c r="P421" s="152">
        <f t="shared" si="417"/>
        <v>6.91643E+23</v>
      </c>
      <c r="Q421" s="152">
        <f t="shared" si="417"/>
        <v>2.02573E+29</v>
      </c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6">
        <v>418.0</v>
      </c>
      <c r="C422" s="152">
        <f t="shared" ref="C422:Q422" si="418">C421/(1-C$2*C$3^($B422-1))</f>
        <v>5.241157176</v>
      </c>
      <c r="D422" s="152">
        <f t="shared" si="418"/>
        <v>14.9839644</v>
      </c>
      <c r="E422" s="152">
        <f t="shared" si="418"/>
        <v>50.32258479</v>
      </c>
      <c r="F422" s="152">
        <f t="shared" si="418"/>
        <v>229.3756312</v>
      </c>
      <c r="G422" s="152">
        <f t="shared" si="418"/>
        <v>1385.331264</v>
      </c>
      <c r="H422" s="152">
        <f t="shared" si="418"/>
        <v>12487.18428</v>
      </c>
      <c r="I422" s="152">
        <f t="shared" si="418"/>
        <v>183967.9451</v>
      </c>
      <c r="J422" s="152">
        <f t="shared" si="418"/>
        <v>4766290.765</v>
      </c>
      <c r="K422" s="152">
        <f t="shared" si="418"/>
        <v>230568911.5</v>
      </c>
      <c r="L422" s="152">
        <f t="shared" si="418"/>
        <v>24143470689</v>
      </c>
      <c r="M422" s="152">
        <f t="shared" si="418"/>
        <v>6877696752287</v>
      </c>
      <c r="N422" s="152">
        <f t="shared" si="418"/>
        <v>6.46403E+15</v>
      </c>
      <c r="O422" s="152">
        <f t="shared" si="418"/>
        <v>2.64979E+19</v>
      </c>
      <c r="P422" s="152">
        <f t="shared" si="418"/>
        <v>6.9168E+23</v>
      </c>
      <c r="Q422" s="152">
        <f t="shared" si="418"/>
        <v>2.02613E+29</v>
      </c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6">
        <v>419.0</v>
      </c>
      <c r="C423" s="152">
        <f t="shared" ref="C423:Q423" si="419">C422/(1-C$2*C$3^($B423-1))</f>
        <v>5.241157176</v>
      </c>
      <c r="D423" s="152">
        <f t="shared" si="419"/>
        <v>14.9839644</v>
      </c>
      <c r="E423" s="152">
        <f t="shared" si="419"/>
        <v>50.32258479</v>
      </c>
      <c r="F423" s="152">
        <f t="shared" si="419"/>
        <v>229.3756312</v>
      </c>
      <c r="G423" s="152">
        <f t="shared" si="419"/>
        <v>1385.331264</v>
      </c>
      <c r="H423" s="152">
        <f t="shared" si="419"/>
        <v>12487.18429</v>
      </c>
      <c r="I423" s="152">
        <f t="shared" si="419"/>
        <v>183967.9457</v>
      </c>
      <c r="J423" s="152">
        <f t="shared" si="419"/>
        <v>4766290.829</v>
      </c>
      <c r="K423" s="152">
        <f t="shared" si="419"/>
        <v>230568924.3</v>
      </c>
      <c r="L423" s="152">
        <f t="shared" si="419"/>
        <v>24143476167</v>
      </c>
      <c r="M423" s="152">
        <f t="shared" si="419"/>
        <v>6877703003311</v>
      </c>
      <c r="N423" s="152">
        <f t="shared" si="419"/>
        <v>6.46406E+15</v>
      </c>
      <c r="O423" s="152">
        <f t="shared" si="419"/>
        <v>2.64983E+19</v>
      </c>
      <c r="P423" s="152">
        <f t="shared" si="419"/>
        <v>6.91716E+23</v>
      </c>
      <c r="Q423" s="152">
        <f t="shared" si="419"/>
        <v>2.02653E+29</v>
      </c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6">
        <v>420.0</v>
      </c>
      <c r="C424" s="152">
        <f t="shared" ref="C424:Q424" si="420">C423/(1-C$2*C$3^($B424-1))</f>
        <v>5.241157176</v>
      </c>
      <c r="D424" s="152">
        <f t="shared" si="420"/>
        <v>14.9839644</v>
      </c>
      <c r="E424" s="152">
        <f t="shared" si="420"/>
        <v>50.32258479</v>
      </c>
      <c r="F424" s="152">
        <f t="shared" si="420"/>
        <v>229.3756312</v>
      </c>
      <c r="G424" s="152">
        <f t="shared" si="420"/>
        <v>1385.331265</v>
      </c>
      <c r="H424" s="152">
        <f t="shared" si="420"/>
        <v>12487.1843</v>
      </c>
      <c r="I424" s="152">
        <f t="shared" si="420"/>
        <v>183967.9462</v>
      </c>
      <c r="J424" s="152">
        <f t="shared" si="420"/>
        <v>4766290.89</v>
      </c>
      <c r="K424" s="152">
        <f t="shared" si="420"/>
        <v>230568936.6</v>
      </c>
      <c r="L424" s="152">
        <f t="shared" si="420"/>
        <v>24143481454</v>
      </c>
      <c r="M424" s="152">
        <f t="shared" si="420"/>
        <v>6877709054307</v>
      </c>
      <c r="N424" s="152">
        <f t="shared" si="420"/>
        <v>6.46408E+15</v>
      </c>
      <c r="O424" s="152">
        <f t="shared" si="420"/>
        <v>2.64986E+19</v>
      </c>
      <c r="P424" s="152">
        <f t="shared" si="420"/>
        <v>6.91752E+23</v>
      </c>
      <c r="Q424" s="152">
        <f t="shared" si="420"/>
        <v>2.02692E+29</v>
      </c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6">
        <v>421.0</v>
      </c>
      <c r="C425" s="152">
        <f t="shared" ref="C425:Q425" si="421">C424/(1-C$2*C$3^($B425-1))</f>
        <v>5.241157176</v>
      </c>
      <c r="D425" s="152">
        <f t="shared" si="421"/>
        <v>14.9839644</v>
      </c>
      <c r="E425" s="152">
        <f t="shared" si="421"/>
        <v>50.32258479</v>
      </c>
      <c r="F425" s="152">
        <f t="shared" si="421"/>
        <v>229.3756312</v>
      </c>
      <c r="G425" s="152">
        <f t="shared" si="421"/>
        <v>1385.331265</v>
      </c>
      <c r="H425" s="152">
        <f t="shared" si="421"/>
        <v>12487.18431</v>
      </c>
      <c r="I425" s="152">
        <f t="shared" si="421"/>
        <v>183967.9467</v>
      </c>
      <c r="J425" s="152">
        <f t="shared" si="421"/>
        <v>4766290.949</v>
      </c>
      <c r="K425" s="152">
        <f t="shared" si="421"/>
        <v>230568948.5</v>
      </c>
      <c r="L425" s="152">
        <f t="shared" si="421"/>
        <v>24143486555</v>
      </c>
      <c r="M425" s="152">
        <f t="shared" si="421"/>
        <v>6877714911676</v>
      </c>
      <c r="N425" s="152">
        <f t="shared" si="421"/>
        <v>6.4641E+15</v>
      </c>
      <c r="O425" s="152">
        <f t="shared" si="421"/>
        <v>2.6499E+19</v>
      </c>
      <c r="P425" s="152">
        <f t="shared" si="421"/>
        <v>6.91787E+23</v>
      </c>
      <c r="Q425" s="152">
        <f t="shared" si="421"/>
        <v>2.02731E+29</v>
      </c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6">
        <v>422.0</v>
      </c>
      <c r="C426" s="152">
        <f t="shared" ref="C426:Q426" si="422">C425/(1-C$2*C$3^($B426-1))</f>
        <v>5.241157176</v>
      </c>
      <c r="D426" s="152">
        <f t="shared" si="422"/>
        <v>14.9839644</v>
      </c>
      <c r="E426" s="152">
        <f t="shared" si="422"/>
        <v>50.32258479</v>
      </c>
      <c r="F426" s="152">
        <f t="shared" si="422"/>
        <v>229.3756313</v>
      </c>
      <c r="G426" s="152">
        <f t="shared" si="422"/>
        <v>1385.331265</v>
      </c>
      <c r="H426" s="152">
        <f t="shared" si="422"/>
        <v>12487.18431</v>
      </c>
      <c r="I426" s="152">
        <f t="shared" si="422"/>
        <v>183967.9472</v>
      </c>
      <c r="J426" s="152">
        <f t="shared" si="422"/>
        <v>4766291.005</v>
      </c>
      <c r="K426" s="152">
        <f t="shared" si="422"/>
        <v>230568960</v>
      </c>
      <c r="L426" s="152">
        <f t="shared" si="422"/>
        <v>24143491478</v>
      </c>
      <c r="M426" s="152">
        <f t="shared" si="422"/>
        <v>6877720581614</v>
      </c>
      <c r="N426" s="152">
        <f t="shared" si="422"/>
        <v>6.46412E+15</v>
      </c>
      <c r="O426" s="152">
        <f t="shared" si="422"/>
        <v>2.64993E+19</v>
      </c>
      <c r="P426" s="152">
        <f t="shared" si="422"/>
        <v>6.91821E+23</v>
      </c>
      <c r="Q426" s="152">
        <f t="shared" si="422"/>
        <v>2.02768E+29</v>
      </c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6">
        <v>423.0</v>
      </c>
      <c r="C427" s="152">
        <f t="shared" ref="C427:Q427" si="423">C426/(1-C$2*C$3^($B427-1))</f>
        <v>5.241157176</v>
      </c>
      <c r="D427" s="152">
        <f t="shared" si="423"/>
        <v>14.9839644</v>
      </c>
      <c r="E427" s="152">
        <f t="shared" si="423"/>
        <v>50.32258479</v>
      </c>
      <c r="F427" s="152">
        <f t="shared" si="423"/>
        <v>229.3756313</v>
      </c>
      <c r="G427" s="152">
        <f t="shared" si="423"/>
        <v>1385.331265</v>
      </c>
      <c r="H427" s="152">
        <f t="shared" si="423"/>
        <v>12487.18432</v>
      </c>
      <c r="I427" s="152">
        <f t="shared" si="423"/>
        <v>183967.9477</v>
      </c>
      <c r="J427" s="152">
        <f t="shared" si="423"/>
        <v>4766291.059</v>
      </c>
      <c r="K427" s="152">
        <f t="shared" si="423"/>
        <v>230568970.9</v>
      </c>
      <c r="L427" s="152">
        <f t="shared" si="423"/>
        <v>24143496228</v>
      </c>
      <c r="M427" s="152">
        <f t="shared" si="423"/>
        <v>6877726070119</v>
      </c>
      <c r="N427" s="152">
        <f t="shared" si="423"/>
        <v>6.46414E+15</v>
      </c>
      <c r="O427" s="152">
        <f t="shared" si="423"/>
        <v>2.64996E+19</v>
      </c>
      <c r="P427" s="152">
        <f t="shared" si="423"/>
        <v>6.91854E+23</v>
      </c>
      <c r="Q427" s="152">
        <f t="shared" si="423"/>
        <v>2.02805E+29</v>
      </c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6">
        <v>424.0</v>
      </c>
      <c r="C428" s="152">
        <f t="shared" ref="C428:Q428" si="424">C427/(1-C$2*C$3^($B428-1))</f>
        <v>5.241157176</v>
      </c>
      <c r="D428" s="152">
        <f t="shared" si="424"/>
        <v>14.9839644</v>
      </c>
      <c r="E428" s="152">
        <f t="shared" si="424"/>
        <v>50.32258479</v>
      </c>
      <c r="F428" s="152">
        <f t="shared" si="424"/>
        <v>229.3756313</v>
      </c>
      <c r="G428" s="152">
        <f t="shared" si="424"/>
        <v>1385.331265</v>
      </c>
      <c r="H428" s="152">
        <f t="shared" si="424"/>
        <v>12487.18433</v>
      </c>
      <c r="I428" s="152">
        <f t="shared" si="424"/>
        <v>183967.9482</v>
      </c>
      <c r="J428" s="152">
        <f t="shared" si="424"/>
        <v>4766291.111</v>
      </c>
      <c r="K428" s="152">
        <f t="shared" si="424"/>
        <v>230568981.5</v>
      </c>
      <c r="L428" s="152">
        <f t="shared" si="424"/>
        <v>24143500812</v>
      </c>
      <c r="M428" s="152">
        <f t="shared" si="424"/>
        <v>6877731382995</v>
      </c>
      <c r="N428" s="152">
        <f t="shared" si="424"/>
        <v>6.46416E+15</v>
      </c>
      <c r="O428" s="152">
        <f t="shared" si="424"/>
        <v>2.65E+19</v>
      </c>
      <c r="P428" s="152">
        <f t="shared" si="424"/>
        <v>6.91886E+23</v>
      </c>
      <c r="Q428" s="152">
        <f t="shared" si="424"/>
        <v>2.02841E+29</v>
      </c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6">
        <v>425.0</v>
      </c>
      <c r="C429" s="152">
        <f t="shared" ref="C429:Q429" si="425">C428/(1-C$2*C$3^($B429-1))</f>
        <v>5.241157176</v>
      </c>
      <c r="D429" s="152">
        <f t="shared" si="425"/>
        <v>14.9839644</v>
      </c>
      <c r="E429" s="152">
        <f t="shared" si="425"/>
        <v>50.32258479</v>
      </c>
      <c r="F429" s="152">
        <f t="shared" si="425"/>
        <v>229.3756313</v>
      </c>
      <c r="G429" s="152">
        <f t="shared" si="425"/>
        <v>1385.331266</v>
      </c>
      <c r="H429" s="152">
        <f t="shared" si="425"/>
        <v>12487.18434</v>
      </c>
      <c r="I429" s="152">
        <f t="shared" si="425"/>
        <v>183967.9486</v>
      </c>
      <c r="J429" s="152">
        <f t="shared" si="425"/>
        <v>4766291.16</v>
      </c>
      <c r="K429" s="152">
        <f t="shared" si="425"/>
        <v>230568991.7</v>
      </c>
      <c r="L429" s="152">
        <f t="shared" si="425"/>
        <v>24143505236</v>
      </c>
      <c r="M429" s="152">
        <f t="shared" si="425"/>
        <v>6877736525863</v>
      </c>
      <c r="N429" s="152">
        <f t="shared" si="425"/>
        <v>6.46418E+15</v>
      </c>
      <c r="O429" s="152">
        <f t="shared" si="425"/>
        <v>2.65003E+19</v>
      </c>
      <c r="P429" s="152">
        <f t="shared" si="425"/>
        <v>6.91918E+23</v>
      </c>
      <c r="Q429" s="152">
        <f t="shared" si="425"/>
        <v>2.02876E+29</v>
      </c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6">
        <v>426.0</v>
      </c>
      <c r="C430" s="152">
        <f t="shared" ref="C430:Q430" si="426">C429/(1-C$2*C$3^($B430-1))</f>
        <v>5.241157176</v>
      </c>
      <c r="D430" s="152">
        <f t="shared" si="426"/>
        <v>14.9839644</v>
      </c>
      <c r="E430" s="152">
        <f t="shared" si="426"/>
        <v>50.32258479</v>
      </c>
      <c r="F430" s="152">
        <f t="shared" si="426"/>
        <v>229.3756313</v>
      </c>
      <c r="G430" s="152">
        <f t="shared" si="426"/>
        <v>1385.331266</v>
      </c>
      <c r="H430" s="152">
        <f t="shared" si="426"/>
        <v>12487.18434</v>
      </c>
      <c r="I430" s="152">
        <f t="shared" si="426"/>
        <v>183967.9491</v>
      </c>
      <c r="J430" s="152">
        <f t="shared" si="426"/>
        <v>4766291.208</v>
      </c>
      <c r="K430" s="152">
        <f t="shared" si="426"/>
        <v>230569001.5</v>
      </c>
      <c r="L430" s="152">
        <f t="shared" si="426"/>
        <v>24143509505</v>
      </c>
      <c r="M430" s="152">
        <f t="shared" si="426"/>
        <v>6877741504163</v>
      </c>
      <c r="N430" s="152">
        <f t="shared" si="426"/>
        <v>6.4642E+15</v>
      </c>
      <c r="O430" s="152">
        <f t="shared" si="426"/>
        <v>2.65006E+19</v>
      </c>
      <c r="P430" s="152">
        <f t="shared" si="426"/>
        <v>6.91949E+23</v>
      </c>
      <c r="Q430" s="152">
        <f t="shared" si="426"/>
        <v>2.02911E+29</v>
      </c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6">
        <v>427.0</v>
      </c>
      <c r="C431" s="152">
        <f t="shared" ref="C431:Q431" si="427">C430/(1-C$2*C$3^($B431-1))</f>
        <v>5.241157176</v>
      </c>
      <c r="D431" s="152">
        <f t="shared" si="427"/>
        <v>14.9839644</v>
      </c>
      <c r="E431" s="152">
        <f t="shared" si="427"/>
        <v>50.32258479</v>
      </c>
      <c r="F431" s="152">
        <f t="shared" si="427"/>
        <v>229.3756313</v>
      </c>
      <c r="G431" s="152">
        <f t="shared" si="427"/>
        <v>1385.331266</v>
      </c>
      <c r="H431" s="152">
        <f t="shared" si="427"/>
        <v>12487.18435</v>
      </c>
      <c r="I431" s="152">
        <f t="shared" si="427"/>
        <v>183967.9495</v>
      </c>
      <c r="J431" s="152">
        <f t="shared" si="427"/>
        <v>4766291.253</v>
      </c>
      <c r="K431" s="152">
        <f t="shared" si="427"/>
        <v>230569010.9</v>
      </c>
      <c r="L431" s="152">
        <f t="shared" si="427"/>
        <v>24143513625</v>
      </c>
      <c r="M431" s="152">
        <f t="shared" si="427"/>
        <v>6877746323161</v>
      </c>
      <c r="N431" s="152">
        <f t="shared" si="427"/>
        <v>6.46422E+15</v>
      </c>
      <c r="O431" s="152">
        <f t="shared" si="427"/>
        <v>2.65009E+19</v>
      </c>
      <c r="P431" s="152">
        <f t="shared" si="427"/>
        <v>6.91979E+23</v>
      </c>
      <c r="Q431" s="152">
        <f t="shared" si="427"/>
        <v>2.02945E+29</v>
      </c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6">
        <v>428.0</v>
      </c>
      <c r="C432" s="152">
        <f t="shared" ref="C432:Q432" si="428">C431/(1-C$2*C$3^($B432-1))</f>
        <v>5.241157176</v>
      </c>
      <c r="D432" s="152">
        <f t="shared" si="428"/>
        <v>14.9839644</v>
      </c>
      <c r="E432" s="152">
        <f t="shared" si="428"/>
        <v>50.32258479</v>
      </c>
      <c r="F432" s="152">
        <f t="shared" si="428"/>
        <v>229.3756313</v>
      </c>
      <c r="G432" s="152">
        <f t="shared" si="428"/>
        <v>1385.331266</v>
      </c>
      <c r="H432" s="152">
        <f t="shared" si="428"/>
        <v>12487.18435</v>
      </c>
      <c r="I432" s="152">
        <f t="shared" si="428"/>
        <v>183967.9498</v>
      </c>
      <c r="J432" s="152">
        <f t="shared" si="428"/>
        <v>4766291.297</v>
      </c>
      <c r="K432" s="152">
        <f t="shared" si="428"/>
        <v>230569019.9</v>
      </c>
      <c r="L432" s="152">
        <f t="shared" si="428"/>
        <v>24143517600</v>
      </c>
      <c r="M432" s="152">
        <f t="shared" si="428"/>
        <v>6877750987954</v>
      </c>
      <c r="N432" s="152">
        <f t="shared" si="428"/>
        <v>6.46424E+15</v>
      </c>
      <c r="O432" s="152">
        <f t="shared" si="428"/>
        <v>2.65012E+19</v>
      </c>
      <c r="P432" s="152">
        <f t="shared" si="428"/>
        <v>6.92008E+23</v>
      </c>
      <c r="Q432" s="152">
        <f t="shared" si="428"/>
        <v>2.02978E+29</v>
      </c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6">
        <v>429.0</v>
      </c>
      <c r="C433" s="152">
        <f t="shared" ref="C433:Q433" si="429">C432/(1-C$2*C$3^($B433-1))</f>
        <v>5.241157176</v>
      </c>
      <c r="D433" s="152">
        <f t="shared" si="429"/>
        <v>14.9839644</v>
      </c>
      <c r="E433" s="152">
        <f t="shared" si="429"/>
        <v>50.32258479</v>
      </c>
      <c r="F433" s="152">
        <f t="shared" si="429"/>
        <v>229.3756313</v>
      </c>
      <c r="G433" s="152">
        <f t="shared" si="429"/>
        <v>1385.331266</v>
      </c>
      <c r="H433" s="152">
        <f t="shared" si="429"/>
        <v>12487.18436</v>
      </c>
      <c r="I433" s="152">
        <f t="shared" si="429"/>
        <v>183967.9502</v>
      </c>
      <c r="J433" s="152">
        <f t="shared" si="429"/>
        <v>4766291.339</v>
      </c>
      <c r="K433" s="152">
        <f t="shared" si="429"/>
        <v>230569028.7</v>
      </c>
      <c r="L433" s="152">
        <f t="shared" si="429"/>
        <v>24143521436</v>
      </c>
      <c r="M433" s="152">
        <f t="shared" si="429"/>
        <v>6877755503477</v>
      </c>
      <c r="N433" s="152">
        <f t="shared" si="429"/>
        <v>6.46425E+15</v>
      </c>
      <c r="O433" s="152">
        <f t="shared" si="429"/>
        <v>2.65014E+19</v>
      </c>
      <c r="P433" s="152">
        <f t="shared" si="429"/>
        <v>6.92037E+23</v>
      </c>
      <c r="Q433" s="152">
        <f t="shared" si="429"/>
        <v>2.03011E+29</v>
      </c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6">
        <v>430.0</v>
      </c>
      <c r="C434" s="152">
        <f t="shared" ref="C434:Q434" si="430">C433/(1-C$2*C$3^($B434-1))</f>
        <v>5.241157176</v>
      </c>
      <c r="D434" s="152">
        <f t="shared" si="430"/>
        <v>14.9839644</v>
      </c>
      <c r="E434" s="152">
        <f t="shared" si="430"/>
        <v>50.32258479</v>
      </c>
      <c r="F434" s="152">
        <f t="shared" si="430"/>
        <v>229.3756313</v>
      </c>
      <c r="G434" s="152">
        <f t="shared" si="430"/>
        <v>1385.331266</v>
      </c>
      <c r="H434" s="152">
        <f t="shared" si="430"/>
        <v>12487.18436</v>
      </c>
      <c r="I434" s="152">
        <f t="shared" si="430"/>
        <v>183967.9506</v>
      </c>
      <c r="J434" s="152">
        <f t="shared" si="430"/>
        <v>4766291.379</v>
      </c>
      <c r="K434" s="152">
        <f t="shared" si="430"/>
        <v>230569037</v>
      </c>
      <c r="L434" s="152">
        <f t="shared" si="430"/>
        <v>24143525138</v>
      </c>
      <c r="M434" s="152">
        <f t="shared" si="430"/>
        <v>6877759874506</v>
      </c>
      <c r="N434" s="152">
        <f t="shared" si="430"/>
        <v>6.46427E+15</v>
      </c>
      <c r="O434" s="152">
        <f t="shared" si="430"/>
        <v>2.65017E+19</v>
      </c>
      <c r="P434" s="152">
        <f t="shared" si="430"/>
        <v>6.92065E+23</v>
      </c>
      <c r="Q434" s="152">
        <f t="shared" si="430"/>
        <v>2.03043E+29</v>
      </c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6">
        <v>431.0</v>
      </c>
      <c r="C435" s="152">
        <f t="shared" ref="C435:Q435" si="431">C434/(1-C$2*C$3^($B435-1))</f>
        <v>5.241157176</v>
      </c>
      <c r="D435" s="152">
        <f t="shared" si="431"/>
        <v>14.9839644</v>
      </c>
      <c r="E435" s="152">
        <f t="shared" si="431"/>
        <v>50.32258479</v>
      </c>
      <c r="F435" s="152">
        <f t="shared" si="431"/>
        <v>229.3756313</v>
      </c>
      <c r="G435" s="152">
        <f t="shared" si="431"/>
        <v>1385.331266</v>
      </c>
      <c r="H435" s="152">
        <f t="shared" si="431"/>
        <v>12487.18437</v>
      </c>
      <c r="I435" s="152">
        <f t="shared" si="431"/>
        <v>183967.9509</v>
      </c>
      <c r="J435" s="152">
        <f t="shared" si="431"/>
        <v>4766291.418</v>
      </c>
      <c r="K435" s="152">
        <f t="shared" si="431"/>
        <v>230569045.1</v>
      </c>
      <c r="L435" s="152">
        <f t="shared" si="431"/>
        <v>24143528710</v>
      </c>
      <c r="M435" s="152">
        <f t="shared" si="431"/>
        <v>6877764105664</v>
      </c>
      <c r="N435" s="152">
        <f t="shared" si="431"/>
        <v>6.46429E+15</v>
      </c>
      <c r="O435" s="152">
        <f t="shared" si="431"/>
        <v>2.6502E+19</v>
      </c>
      <c r="P435" s="152">
        <f t="shared" si="431"/>
        <v>6.92093E+23</v>
      </c>
      <c r="Q435" s="152">
        <f t="shared" si="431"/>
        <v>2.03074E+29</v>
      </c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6">
        <v>432.0</v>
      </c>
      <c r="C436" s="152">
        <f t="shared" ref="C436:Q436" si="432">C435/(1-C$2*C$3^($B436-1))</f>
        <v>5.241157176</v>
      </c>
      <c r="D436" s="152">
        <f t="shared" si="432"/>
        <v>14.9839644</v>
      </c>
      <c r="E436" s="152">
        <f t="shared" si="432"/>
        <v>50.32258479</v>
      </c>
      <c r="F436" s="152">
        <f t="shared" si="432"/>
        <v>229.3756313</v>
      </c>
      <c r="G436" s="152">
        <f t="shared" si="432"/>
        <v>1385.331267</v>
      </c>
      <c r="H436" s="152">
        <f t="shared" si="432"/>
        <v>12487.18437</v>
      </c>
      <c r="I436" s="152">
        <f t="shared" si="432"/>
        <v>183967.9512</v>
      </c>
      <c r="J436" s="152">
        <f t="shared" si="432"/>
        <v>4766291.455</v>
      </c>
      <c r="K436" s="152">
        <f t="shared" si="432"/>
        <v>230569052.9</v>
      </c>
      <c r="L436" s="152">
        <f t="shared" si="432"/>
        <v>24143532158</v>
      </c>
      <c r="M436" s="152">
        <f t="shared" si="432"/>
        <v>6877768201428</v>
      </c>
      <c r="N436" s="152">
        <f t="shared" si="432"/>
        <v>6.4643E+15</v>
      </c>
      <c r="O436" s="152">
        <f t="shared" si="432"/>
        <v>2.65022E+19</v>
      </c>
      <c r="P436" s="152">
        <f t="shared" si="432"/>
        <v>6.9212E+23</v>
      </c>
      <c r="Q436" s="152">
        <f t="shared" si="432"/>
        <v>2.03105E+29</v>
      </c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6">
        <v>433.0</v>
      </c>
      <c r="C437" s="152">
        <f t="shared" ref="C437:Q437" si="433">C436/(1-C$2*C$3^($B437-1))</f>
        <v>5.241157176</v>
      </c>
      <c r="D437" s="152">
        <f t="shared" si="433"/>
        <v>14.9839644</v>
      </c>
      <c r="E437" s="152">
        <f t="shared" si="433"/>
        <v>50.32258479</v>
      </c>
      <c r="F437" s="152">
        <f t="shared" si="433"/>
        <v>229.3756313</v>
      </c>
      <c r="G437" s="152">
        <f t="shared" si="433"/>
        <v>1385.331267</v>
      </c>
      <c r="H437" s="152">
        <f t="shared" si="433"/>
        <v>12487.18438</v>
      </c>
      <c r="I437" s="152">
        <f t="shared" si="433"/>
        <v>183967.9515</v>
      </c>
      <c r="J437" s="152">
        <f t="shared" si="433"/>
        <v>4766291.49</v>
      </c>
      <c r="K437" s="152">
        <f t="shared" si="433"/>
        <v>230569060.3</v>
      </c>
      <c r="L437" s="152">
        <f t="shared" si="433"/>
        <v>24143535484</v>
      </c>
      <c r="M437" s="152">
        <f t="shared" si="433"/>
        <v>6877772166129</v>
      </c>
      <c r="N437" s="152">
        <f t="shared" si="433"/>
        <v>6.46432E+15</v>
      </c>
      <c r="O437" s="152">
        <f t="shared" si="433"/>
        <v>2.65025E+19</v>
      </c>
      <c r="P437" s="152">
        <f t="shared" si="433"/>
        <v>6.92146E+23</v>
      </c>
      <c r="Q437" s="152">
        <f t="shared" si="433"/>
        <v>2.03135E+29</v>
      </c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6">
        <v>434.0</v>
      </c>
      <c r="C438" s="152">
        <f t="shared" ref="C438:Q438" si="434">C437/(1-C$2*C$3^($B438-1))</f>
        <v>5.241157176</v>
      </c>
      <c r="D438" s="152">
        <f t="shared" si="434"/>
        <v>14.9839644</v>
      </c>
      <c r="E438" s="152">
        <f t="shared" si="434"/>
        <v>50.32258479</v>
      </c>
      <c r="F438" s="152">
        <f t="shared" si="434"/>
        <v>229.3756313</v>
      </c>
      <c r="G438" s="152">
        <f t="shared" si="434"/>
        <v>1385.331267</v>
      </c>
      <c r="H438" s="152">
        <f t="shared" si="434"/>
        <v>12487.18438</v>
      </c>
      <c r="I438" s="152">
        <f t="shared" si="434"/>
        <v>183967.9518</v>
      </c>
      <c r="J438" s="152">
        <f t="shared" si="434"/>
        <v>4766291.524</v>
      </c>
      <c r="K438" s="152">
        <f t="shared" si="434"/>
        <v>230569067.5</v>
      </c>
      <c r="L438" s="152">
        <f t="shared" si="434"/>
        <v>24143538695</v>
      </c>
      <c r="M438" s="152">
        <f t="shared" si="434"/>
        <v>6877776003963</v>
      </c>
      <c r="N438" s="152">
        <f t="shared" si="434"/>
        <v>6.46433E+15</v>
      </c>
      <c r="O438" s="152">
        <f t="shared" si="434"/>
        <v>2.65027E+19</v>
      </c>
      <c r="P438" s="152">
        <f t="shared" si="434"/>
        <v>6.92172E+23</v>
      </c>
      <c r="Q438" s="152">
        <f t="shared" si="434"/>
        <v>2.03165E+29</v>
      </c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6">
        <v>435.0</v>
      </c>
      <c r="C439" s="152">
        <f t="shared" ref="C439:Q439" si="435">C438/(1-C$2*C$3^($B439-1))</f>
        <v>5.241157176</v>
      </c>
      <c r="D439" s="152">
        <f t="shared" si="435"/>
        <v>14.9839644</v>
      </c>
      <c r="E439" s="152">
        <f t="shared" si="435"/>
        <v>50.32258479</v>
      </c>
      <c r="F439" s="152">
        <f t="shared" si="435"/>
        <v>229.3756313</v>
      </c>
      <c r="G439" s="152">
        <f t="shared" si="435"/>
        <v>1385.331267</v>
      </c>
      <c r="H439" s="152">
        <f t="shared" si="435"/>
        <v>12487.18439</v>
      </c>
      <c r="I439" s="152">
        <f t="shared" si="435"/>
        <v>183967.9521</v>
      </c>
      <c r="J439" s="152">
        <f t="shared" si="435"/>
        <v>4766291.557</v>
      </c>
      <c r="K439" s="152">
        <f t="shared" si="435"/>
        <v>230569074.4</v>
      </c>
      <c r="L439" s="152">
        <f t="shared" si="435"/>
        <v>24143541792</v>
      </c>
      <c r="M439" s="152">
        <f t="shared" si="435"/>
        <v>6877779718987</v>
      </c>
      <c r="N439" s="152">
        <f t="shared" si="435"/>
        <v>6.46435E+15</v>
      </c>
      <c r="O439" s="152">
        <f t="shared" si="435"/>
        <v>2.6503E+19</v>
      </c>
      <c r="P439" s="152">
        <f t="shared" si="435"/>
        <v>6.92197E+23</v>
      </c>
      <c r="Q439" s="152">
        <f t="shared" si="435"/>
        <v>2.03193E+29</v>
      </c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6">
        <v>436.0</v>
      </c>
      <c r="C440" s="152">
        <f t="shared" ref="C440:Q440" si="436">C439/(1-C$2*C$3^($B440-1))</f>
        <v>5.241157176</v>
      </c>
      <c r="D440" s="152">
        <f t="shared" si="436"/>
        <v>14.9839644</v>
      </c>
      <c r="E440" s="152">
        <f t="shared" si="436"/>
        <v>50.32258479</v>
      </c>
      <c r="F440" s="152">
        <f t="shared" si="436"/>
        <v>229.3756313</v>
      </c>
      <c r="G440" s="152">
        <f t="shared" si="436"/>
        <v>1385.331267</v>
      </c>
      <c r="H440" s="152">
        <f t="shared" si="436"/>
        <v>12487.18439</v>
      </c>
      <c r="I440" s="152">
        <f t="shared" si="436"/>
        <v>183967.9524</v>
      </c>
      <c r="J440" s="152">
        <f t="shared" si="436"/>
        <v>4766291.588</v>
      </c>
      <c r="K440" s="152">
        <f t="shared" si="436"/>
        <v>230569081</v>
      </c>
      <c r="L440" s="152">
        <f t="shared" si="436"/>
        <v>24143544782</v>
      </c>
      <c r="M440" s="152">
        <f t="shared" si="436"/>
        <v>6877783315133</v>
      </c>
      <c r="N440" s="152">
        <f t="shared" si="436"/>
        <v>6.46436E+15</v>
      </c>
      <c r="O440" s="152">
        <f t="shared" si="436"/>
        <v>2.65032E+19</v>
      </c>
      <c r="P440" s="152">
        <f t="shared" si="436"/>
        <v>6.92221E+23</v>
      </c>
      <c r="Q440" s="152">
        <f t="shared" si="436"/>
        <v>2.03222E+29</v>
      </c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6">
        <v>437.0</v>
      </c>
      <c r="C441" s="152">
        <f t="shared" ref="C441:Q441" si="437">C440/(1-C$2*C$3^($B441-1))</f>
        <v>5.241157176</v>
      </c>
      <c r="D441" s="152">
        <f t="shared" si="437"/>
        <v>14.9839644</v>
      </c>
      <c r="E441" s="152">
        <f t="shared" si="437"/>
        <v>50.32258479</v>
      </c>
      <c r="F441" s="152">
        <f t="shared" si="437"/>
        <v>229.3756313</v>
      </c>
      <c r="G441" s="152">
        <f t="shared" si="437"/>
        <v>1385.331267</v>
      </c>
      <c r="H441" s="152">
        <f t="shared" si="437"/>
        <v>12487.1844</v>
      </c>
      <c r="I441" s="152">
        <f t="shared" si="437"/>
        <v>183967.9526</v>
      </c>
      <c r="J441" s="152">
        <f t="shared" si="437"/>
        <v>4766291.618</v>
      </c>
      <c r="K441" s="152">
        <f t="shared" si="437"/>
        <v>230569087.4</v>
      </c>
      <c r="L441" s="152">
        <f t="shared" si="437"/>
        <v>24143547667</v>
      </c>
      <c r="M441" s="152">
        <f t="shared" si="437"/>
        <v>6877786796204</v>
      </c>
      <c r="N441" s="152">
        <f t="shared" si="437"/>
        <v>6.46438E+15</v>
      </c>
      <c r="O441" s="152">
        <f t="shared" si="437"/>
        <v>2.65034E+19</v>
      </c>
      <c r="P441" s="152">
        <f t="shared" si="437"/>
        <v>6.92245E+23</v>
      </c>
      <c r="Q441" s="152">
        <f t="shared" si="437"/>
        <v>2.0325E+29</v>
      </c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6">
        <v>438.0</v>
      </c>
      <c r="C442" s="152">
        <f t="shared" ref="C442:Q442" si="438">C441/(1-C$2*C$3^($B442-1))</f>
        <v>5.241157176</v>
      </c>
      <c r="D442" s="152">
        <f t="shared" si="438"/>
        <v>14.9839644</v>
      </c>
      <c r="E442" s="152">
        <f t="shared" si="438"/>
        <v>50.32258479</v>
      </c>
      <c r="F442" s="152">
        <f t="shared" si="438"/>
        <v>229.3756313</v>
      </c>
      <c r="G442" s="152">
        <f t="shared" si="438"/>
        <v>1385.331267</v>
      </c>
      <c r="H442" s="152">
        <f t="shared" si="438"/>
        <v>12487.1844</v>
      </c>
      <c r="I442" s="152">
        <f t="shared" si="438"/>
        <v>183967.9529</v>
      </c>
      <c r="J442" s="152">
        <f t="shared" si="438"/>
        <v>4766291.647</v>
      </c>
      <c r="K442" s="152">
        <f t="shared" si="438"/>
        <v>230569093.6</v>
      </c>
      <c r="L442" s="152">
        <f t="shared" si="438"/>
        <v>24143550451</v>
      </c>
      <c r="M442" s="152">
        <f t="shared" si="438"/>
        <v>6877790165882</v>
      </c>
      <c r="N442" s="152">
        <f t="shared" si="438"/>
        <v>6.46439E+15</v>
      </c>
      <c r="O442" s="152">
        <f t="shared" si="438"/>
        <v>2.65037E+19</v>
      </c>
      <c r="P442" s="152">
        <f t="shared" si="438"/>
        <v>6.92269E+23</v>
      </c>
      <c r="Q442" s="152">
        <f t="shared" si="438"/>
        <v>2.03277E+29</v>
      </c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6">
        <v>439.0</v>
      </c>
      <c r="C443" s="152">
        <f t="shared" ref="C443:Q443" si="439">C442/(1-C$2*C$3^($B443-1))</f>
        <v>5.241157176</v>
      </c>
      <c r="D443" s="152">
        <f t="shared" si="439"/>
        <v>14.9839644</v>
      </c>
      <c r="E443" s="152">
        <f t="shared" si="439"/>
        <v>50.32258479</v>
      </c>
      <c r="F443" s="152">
        <f t="shared" si="439"/>
        <v>229.3756313</v>
      </c>
      <c r="G443" s="152">
        <f t="shared" si="439"/>
        <v>1385.331267</v>
      </c>
      <c r="H443" s="152">
        <f t="shared" si="439"/>
        <v>12487.1844</v>
      </c>
      <c r="I443" s="152">
        <f t="shared" si="439"/>
        <v>183967.9531</v>
      </c>
      <c r="J443" s="152">
        <f t="shared" si="439"/>
        <v>4766291.675</v>
      </c>
      <c r="K443" s="152">
        <f t="shared" si="439"/>
        <v>230569099.5</v>
      </c>
      <c r="L443" s="152">
        <f t="shared" si="439"/>
        <v>24143553137</v>
      </c>
      <c r="M443" s="152">
        <f t="shared" si="439"/>
        <v>6877793427732</v>
      </c>
      <c r="N443" s="152">
        <f t="shared" si="439"/>
        <v>6.4644E+15</v>
      </c>
      <c r="O443" s="152">
        <f t="shared" si="439"/>
        <v>2.65039E+19</v>
      </c>
      <c r="P443" s="152">
        <f t="shared" si="439"/>
        <v>6.92292E+23</v>
      </c>
      <c r="Q443" s="152">
        <f t="shared" si="439"/>
        <v>2.03304E+29</v>
      </c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6">
        <v>440.0</v>
      </c>
      <c r="C444" s="152">
        <f t="shared" ref="C444:Q444" si="440">C443/(1-C$2*C$3^($B444-1))</f>
        <v>5.241157176</v>
      </c>
      <c r="D444" s="152">
        <f t="shared" si="440"/>
        <v>14.9839644</v>
      </c>
      <c r="E444" s="152">
        <f t="shared" si="440"/>
        <v>50.32258479</v>
      </c>
      <c r="F444" s="152">
        <f t="shared" si="440"/>
        <v>229.3756313</v>
      </c>
      <c r="G444" s="152">
        <f t="shared" si="440"/>
        <v>1385.331267</v>
      </c>
      <c r="H444" s="152">
        <f t="shared" si="440"/>
        <v>12487.18441</v>
      </c>
      <c r="I444" s="152">
        <f t="shared" si="440"/>
        <v>183967.9533</v>
      </c>
      <c r="J444" s="152">
        <f t="shared" si="440"/>
        <v>4766291.701</v>
      </c>
      <c r="K444" s="152">
        <f t="shared" si="440"/>
        <v>230569105.2</v>
      </c>
      <c r="L444" s="152">
        <f t="shared" si="440"/>
        <v>24143555729</v>
      </c>
      <c r="M444" s="152">
        <f t="shared" si="440"/>
        <v>6877796585204</v>
      </c>
      <c r="N444" s="152">
        <f t="shared" si="440"/>
        <v>6.46441E+15</v>
      </c>
      <c r="O444" s="152">
        <f t="shared" si="440"/>
        <v>2.65041E+19</v>
      </c>
      <c r="P444" s="152">
        <f t="shared" si="440"/>
        <v>6.92314E+23</v>
      </c>
      <c r="Q444" s="152">
        <f t="shared" si="440"/>
        <v>2.0333E+29</v>
      </c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6">
        <v>441.0</v>
      </c>
      <c r="C445" s="152">
        <f t="shared" ref="C445:Q445" si="441">C444/(1-C$2*C$3^($B445-1))</f>
        <v>5.241157176</v>
      </c>
      <c r="D445" s="152">
        <f t="shared" si="441"/>
        <v>14.9839644</v>
      </c>
      <c r="E445" s="152">
        <f t="shared" si="441"/>
        <v>50.32258479</v>
      </c>
      <c r="F445" s="152">
        <f t="shared" si="441"/>
        <v>229.3756313</v>
      </c>
      <c r="G445" s="152">
        <f t="shared" si="441"/>
        <v>1385.331267</v>
      </c>
      <c r="H445" s="152">
        <f t="shared" si="441"/>
        <v>12487.18441</v>
      </c>
      <c r="I445" s="152">
        <f t="shared" si="441"/>
        <v>183967.9535</v>
      </c>
      <c r="J445" s="152">
        <f t="shared" si="441"/>
        <v>4766291.727</v>
      </c>
      <c r="K445" s="152">
        <f t="shared" si="441"/>
        <v>230569110.7</v>
      </c>
      <c r="L445" s="152">
        <f t="shared" si="441"/>
        <v>24143558231</v>
      </c>
      <c r="M445" s="152">
        <f t="shared" si="441"/>
        <v>6877799641639</v>
      </c>
      <c r="N445" s="152">
        <f t="shared" si="441"/>
        <v>6.46443E+15</v>
      </c>
      <c r="O445" s="152">
        <f t="shared" si="441"/>
        <v>2.65043E+19</v>
      </c>
      <c r="P445" s="152">
        <f t="shared" si="441"/>
        <v>6.92336E+23</v>
      </c>
      <c r="Q445" s="152">
        <f t="shared" si="441"/>
        <v>2.03355E+29</v>
      </c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6">
        <v>442.0</v>
      </c>
      <c r="C446" s="152">
        <f t="shared" ref="C446:Q446" si="442">C445/(1-C$2*C$3^($B446-1))</f>
        <v>5.241157176</v>
      </c>
      <c r="D446" s="152">
        <f t="shared" si="442"/>
        <v>14.9839644</v>
      </c>
      <c r="E446" s="152">
        <f t="shared" si="442"/>
        <v>50.32258479</v>
      </c>
      <c r="F446" s="152">
        <f t="shared" si="442"/>
        <v>229.3756313</v>
      </c>
      <c r="G446" s="152">
        <f t="shared" si="442"/>
        <v>1385.331267</v>
      </c>
      <c r="H446" s="152">
        <f t="shared" si="442"/>
        <v>12487.18441</v>
      </c>
      <c r="I446" s="152">
        <f t="shared" si="442"/>
        <v>183967.9538</v>
      </c>
      <c r="J446" s="152">
        <f t="shared" si="442"/>
        <v>4766291.751</v>
      </c>
      <c r="K446" s="152">
        <f t="shared" si="442"/>
        <v>230569115.9</v>
      </c>
      <c r="L446" s="152">
        <f t="shared" si="442"/>
        <v>24143560645</v>
      </c>
      <c r="M446" s="152">
        <f t="shared" si="442"/>
        <v>6877802600269</v>
      </c>
      <c r="N446" s="152">
        <f t="shared" si="442"/>
        <v>6.46444E+15</v>
      </c>
      <c r="O446" s="152">
        <f t="shared" si="442"/>
        <v>2.65045E+19</v>
      </c>
      <c r="P446" s="152">
        <f t="shared" si="442"/>
        <v>6.92357E+23</v>
      </c>
      <c r="Q446" s="152">
        <f t="shared" si="442"/>
        <v>2.0338E+29</v>
      </c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6">
        <v>443.0</v>
      </c>
      <c r="C447" s="152">
        <f t="shared" ref="C447:Q447" si="443">C446/(1-C$2*C$3^($B447-1))</f>
        <v>5.241157176</v>
      </c>
      <c r="D447" s="152">
        <f t="shared" si="443"/>
        <v>14.9839644</v>
      </c>
      <c r="E447" s="152">
        <f t="shared" si="443"/>
        <v>50.32258479</v>
      </c>
      <c r="F447" s="152">
        <f t="shared" si="443"/>
        <v>229.3756313</v>
      </c>
      <c r="G447" s="152">
        <f t="shared" si="443"/>
        <v>1385.331267</v>
      </c>
      <c r="H447" s="152">
        <f t="shared" si="443"/>
        <v>12487.18441</v>
      </c>
      <c r="I447" s="152">
        <f t="shared" si="443"/>
        <v>183967.9539</v>
      </c>
      <c r="J447" s="152">
        <f t="shared" si="443"/>
        <v>4766291.774</v>
      </c>
      <c r="K447" s="152">
        <f t="shared" si="443"/>
        <v>230569121</v>
      </c>
      <c r="L447" s="152">
        <f t="shared" si="443"/>
        <v>24143562975</v>
      </c>
      <c r="M447" s="152">
        <f t="shared" si="443"/>
        <v>6877805464224</v>
      </c>
      <c r="N447" s="152">
        <f t="shared" si="443"/>
        <v>6.46445E+15</v>
      </c>
      <c r="O447" s="152">
        <f t="shared" si="443"/>
        <v>2.65047E+19</v>
      </c>
      <c r="P447" s="152">
        <f t="shared" si="443"/>
        <v>6.92378E+23</v>
      </c>
      <c r="Q447" s="152">
        <f t="shared" si="443"/>
        <v>2.03405E+29</v>
      </c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6">
        <v>444.0</v>
      </c>
      <c r="C448" s="152">
        <f t="shared" ref="C448:Q448" si="444">C447/(1-C$2*C$3^($B448-1))</f>
        <v>5.241157176</v>
      </c>
      <c r="D448" s="152">
        <f t="shared" si="444"/>
        <v>14.9839644</v>
      </c>
      <c r="E448" s="152">
        <f t="shared" si="444"/>
        <v>50.32258479</v>
      </c>
      <c r="F448" s="152">
        <f t="shared" si="444"/>
        <v>229.3756313</v>
      </c>
      <c r="G448" s="152">
        <f t="shared" si="444"/>
        <v>1385.331268</v>
      </c>
      <c r="H448" s="152">
        <f t="shared" si="444"/>
        <v>12487.18442</v>
      </c>
      <c r="I448" s="152">
        <f t="shared" si="444"/>
        <v>183967.9541</v>
      </c>
      <c r="J448" s="152">
        <f t="shared" si="444"/>
        <v>4766291.797</v>
      </c>
      <c r="K448" s="152">
        <f t="shared" si="444"/>
        <v>230569125.9</v>
      </c>
      <c r="L448" s="152">
        <f t="shared" si="444"/>
        <v>24143565223</v>
      </c>
      <c r="M448" s="152">
        <f t="shared" si="444"/>
        <v>6877808236533</v>
      </c>
      <c r="N448" s="152">
        <f t="shared" si="444"/>
        <v>6.46446E+15</v>
      </c>
      <c r="O448" s="152">
        <f t="shared" si="444"/>
        <v>2.65049E+19</v>
      </c>
      <c r="P448" s="152">
        <f t="shared" si="444"/>
        <v>6.92398E+23</v>
      </c>
      <c r="Q448" s="152">
        <f t="shared" si="444"/>
        <v>2.03429E+29</v>
      </c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6">
        <v>445.0</v>
      </c>
      <c r="C449" s="152">
        <f t="shared" ref="C449:Q449" si="445">C448/(1-C$2*C$3^($B449-1))</f>
        <v>5.241157176</v>
      </c>
      <c r="D449" s="152">
        <f t="shared" si="445"/>
        <v>14.9839644</v>
      </c>
      <c r="E449" s="152">
        <f t="shared" si="445"/>
        <v>50.32258479</v>
      </c>
      <c r="F449" s="152">
        <f t="shared" si="445"/>
        <v>229.3756313</v>
      </c>
      <c r="G449" s="152">
        <f t="shared" si="445"/>
        <v>1385.331268</v>
      </c>
      <c r="H449" s="152">
        <f t="shared" si="445"/>
        <v>12487.18442</v>
      </c>
      <c r="I449" s="152">
        <f t="shared" si="445"/>
        <v>183967.9543</v>
      </c>
      <c r="J449" s="152">
        <f t="shared" si="445"/>
        <v>4766291.818</v>
      </c>
      <c r="K449" s="152">
        <f t="shared" si="445"/>
        <v>230569130.5</v>
      </c>
      <c r="L449" s="152">
        <f t="shared" si="445"/>
        <v>24143567392</v>
      </c>
      <c r="M449" s="152">
        <f t="shared" si="445"/>
        <v>6877810920130</v>
      </c>
      <c r="N449" s="152">
        <f t="shared" si="445"/>
        <v>6.46447E+15</v>
      </c>
      <c r="O449" s="152">
        <f t="shared" si="445"/>
        <v>2.65051E+19</v>
      </c>
      <c r="P449" s="152">
        <f t="shared" si="445"/>
        <v>6.92418E+23</v>
      </c>
      <c r="Q449" s="152">
        <f t="shared" si="445"/>
        <v>2.03453E+29</v>
      </c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6">
        <v>446.0</v>
      </c>
      <c r="C450" s="152">
        <f t="shared" ref="C450:Q450" si="446">C449/(1-C$2*C$3^($B450-1))</f>
        <v>5.241157176</v>
      </c>
      <c r="D450" s="152">
        <f t="shared" si="446"/>
        <v>14.9839644</v>
      </c>
      <c r="E450" s="152">
        <f t="shared" si="446"/>
        <v>50.32258479</v>
      </c>
      <c r="F450" s="152">
        <f t="shared" si="446"/>
        <v>229.3756313</v>
      </c>
      <c r="G450" s="152">
        <f t="shared" si="446"/>
        <v>1385.331268</v>
      </c>
      <c r="H450" s="152">
        <f t="shared" si="446"/>
        <v>12487.18442</v>
      </c>
      <c r="I450" s="152">
        <f t="shared" si="446"/>
        <v>183967.9545</v>
      </c>
      <c r="J450" s="152">
        <f t="shared" si="446"/>
        <v>4766291.839</v>
      </c>
      <c r="K450" s="152">
        <f t="shared" si="446"/>
        <v>230569135</v>
      </c>
      <c r="L450" s="152">
        <f t="shared" si="446"/>
        <v>24143569486</v>
      </c>
      <c r="M450" s="152">
        <f t="shared" si="446"/>
        <v>6877813517852</v>
      </c>
      <c r="N450" s="152">
        <f t="shared" si="446"/>
        <v>6.46448E+15</v>
      </c>
      <c r="O450" s="152">
        <f t="shared" si="446"/>
        <v>2.65052E+19</v>
      </c>
      <c r="P450" s="152">
        <f t="shared" si="446"/>
        <v>6.92437E+23</v>
      </c>
      <c r="Q450" s="152">
        <f t="shared" si="446"/>
        <v>2.03476E+29</v>
      </c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6">
        <v>447.0</v>
      </c>
      <c r="C451" s="152">
        <f t="shared" ref="C451:Q451" si="447">C450/(1-C$2*C$3^($B451-1))</f>
        <v>5.241157176</v>
      </c>
      <c r="D451" s="152">
        <f t="shared" si="447"/>
        <v>14.9839644</v>
      </c>
      <c r="E451" s="152">
        <f t="shared" si="447"/>
        <v>50.32258479</v>
      </c>
      <c r="F451" s="152">
        <f t="shared" si="447"/>
        <v>229.3756313</v>
      </c>
      <c r="G451" s="152">
        <f t="shared" si="447"/>
        <v>1385.331268</v>
      </c>
      <c r="H451" s="152">
        <f t="shared" si="447"/>
        <v>12487.18442</v>
      </c>
      <c r="I451" s="152">
        <f t="shared" si="447"/>
        <v>183967.9546</v>
      </c>
      <c r="J451" s="152">
        <f t="shared" si="447"/>
        <v>4766291.858</v>
      </c>
      <c r="K451" s="152">
        <f t="shared" si="447"/>
        <v>230569139.4</v>
      </c>
      <c r="L451" s="152">
        <f t="shared" si="447"/>
        <v>24143571506</v>
      </c>
      <c r="M451" s="152">
        <f t="shared" si="447"/>
        <v>6877816032449</v>
      </c>
      <c r="N451" s="152">
        <f t="shared" si="447"/>
        <v>6.46449E+15</v>
      </c>
      <c r="O451" s="152">
        <f t="shared" si="447"/>
        <v>2.65054E+19</v>
      </c>
      <c r="P451" s="152">
        <f t="shared" si="447"/>
        <v>6.92456E+23</v>
      </c>
      <c r="Q451" s="152">
        <f t="shared" si="447"/>
        <v>2.03499E+29</v>
      </c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6">
        <v>448.0</v>
      </c>
      <c r="C452" s="152">
        <f t="shared" ref="C452:Q452" si="448">C451/(1-C$2*C$3^($B452-1))</f>
        <v>5.241157176</v>
      </c>
      <c r="D452" s="152">
        <f t="shared" si="448"/>
        <v>14.9839644</v>
      </c>
      <c r="E452" s="152">
        <f t="shared" si="448"/>
        <v>50.32258479</v>
      </c>
      <c r="F452" s="152">
        <f t="shared" si="448"/>
        <v>229.3756313</v>
      </c>
      <c r="G452" s="152">
        <f t="shared" si="448"/>
        <v>1385.331268</v>
      </c>
      <c r="H452" s="152">
        <f t="shared" si="448"/>
        <v>12487.18443</v>
      </c>
      <c r="I452" s="152">
        <f t="shared" si="448"/>
        <v>183967.9548</v>
      </c>
      <c r="J452" s="152">
        <f t="shared" si="448"/>
        <v>4766291.877</v>
      </c>
      <c r="K452" s="152">
        <f t="shared" si="448"/>
        <v>230569143.6</v>
      </c>
      <c r="L452" s="152">
        <f t="shared" si="448"/>
        <v>24143573455</v>
      </c>
      <c r="M452" s="152">
        <f t="shared" si="448"/>
        <v>6877818466579</v>
      </c>
      <c r="N452" s="152">
        <f t="shared" si="448"/>
        <v>6.4645E+15</v>
      </c>
      <c r="O452" s="152">
        <f t="shared" si="448"/>
        <v>2.65056E+19</v>
      </c>
      <c r="P452" s="152">
        <f t="shared" si="448"/>
        <v>6.92475E+23</v>
      </c>
      <c r="Q452" s="152">
        <f t="shared" si="448"/>
        <v>2.03521E+29</v>
      </c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6">
        <v>449.0</v>
      </c>
      <c r="C453" s="152">
        <f t="shared" ref="C453:Q453" si="449">C452/(1-C$2*C$3^($B453-1))</f>
        <v>5.241157176</v>
      </c>
      <c r="D453" s="152">
        <f t="shared" si="449"/>
        <v>14.9839644</v>
      </c>
      <c r="E453" s="152">
        <f t="shared" si="449"/>
        <v>50.32258479</v>
      </c>
      <c r="F453" s="152">
        <f t="shared" si="449"/>
        <v>229.3756313</v>
      </c>
      <c r="G453" s="152">
        <f t="shared" si="449"/>
        <v>1385.331268</v>
      </c>
      <c r="H453" s="152">
        <f t="shared" si="449"/>
        <v>12487.18443</v>
      </c>
      <c r="I453" s="152">
        <f t="shared" si="449"/>
        <v>183967.955</v>
      </c>
      <c r="J453" s="152">
        <f t="shared" si="449"/>
        <v>4766291.895</v>
      </c>
      <c r="K453" s="152">
        <f t="shared" si="449"/>
        <v>230569147.6</v>
      </c>
      <c r="L453" s="152">
        <f t="shared" si="449"/>
        <v>24143575337</v>
      </c>
      <c r="M453" s="152">
        <f t="shared" si="449"/>
        <v>6877820822818</v>
      </c>
      <c r="N453" s="152">
        <f t="shared" si="449"/>
        <v>6.46451E+15</v>
      </c>
      <c r="O453" s="152">
        <f t="shared" si="449"/>
        <v>2.65058E+19</v>
      </c>
      <c r="P453" s="152">
        <f t="shared" si="449"/>
        <v>6.92493E+23</v>
      </c>
      <c r="Q453" s="152">
        <f t="shared" si="449"/>
        <v>2.03543E+29</v>
      </c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6">
        <v>450.0</v>
      </c>
      <c r="C454" s="152">
        <f t="shared" ref="C454:Q454" si="450">C453/(1-C$2*C$3^($B454-1))</f>
        <v>5.241157176</v>
      </c>
      <c r="D454" s="152">
        <f t="shared" si="450"/>
        <v>14.9839644</v>
      </c>
      <c r="E454" s="152">
        <f t="shared" si="450"/>
        <v>50.32258479</v>
      </c>
      <c r="F454" s="152">
        <f t="shared" si="450"/>
        <v>229.3756314</v>
      </c>
      <c r="G454" s="152">
        <f t="shared" si="450"/>
        <v>1385.331268</v>
      </c>
      <c r="H454" s="152">
        <f t="shared" si="450"/>
        <v>12487.18443</v>
      </c>
      <c r="I454" s="152">
        <f t="shared" si="450"/>
        <v>183967.9551</v>
      </c>
      <c r="J454" s="152">
        <f t="shared" si="450"/>
        <v>4766291.913</v>
      </c>
      <c r="K454" s="152">
        <f t="shared" si="450"/>
        <v>230569151.4</v>
      </c>
      <c r="L454" s="152">
        <f t="shared" si="450"/>
        <v>24143577152</v>
      </c>
      <c r="M454" s="152">
        <f t="shared" si="450"/>
        <v>6877823103658</v>
      </c>
      <c r="N454" s="152">
        <f t="shared" si="450"/>
        <v>6.46452E+15</v>
      </c>
      <c r="O454" s="152">
        <f t="shared" si="450"/>
        <v>2.65059E+19</v>
      </c>
      <c r="P454" s="152">
        <f t="shared" si="450"/>
        <v>6.92511E+23</v>
      </c>
      <c r="Q454" s="152">
        <f t="shared" si="450"/>
        <v>2.03564E+29</v>
      </c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6">
        <v>451.0</v>
      </c>
      <c r="C455" s="152">
        <f t="shared" ref="C455:Q455" si="451">C454/(1-C$2*C$3^($B455-1))</f>
        <v>5.241157176</v>
      </c>
      <c r="D455" s="152">
        <f t="shared" si="451"/>
        <v>14.9839644</v>
      </c>
      <c r="E455" s="152">
        <f t="shared" si="451"/>
        <v>50.32258479</v>
      </c>
      <c r="F455" s="152">
        <f t="shared" si="451"/>
        <v>229.3756314</v>
      </c>
      <c r="G455" s="152">
        <f t="shared" si="451"/>
        <v>1385.331268</v>
      </c>
      <c r="H455" s="152">
        <f t="shared" si="451"/>
        <v>12487.18443</v>
      </c>
      <c r="I455" s="152">
        <f t="shared" si="451"/>
        <v>183967.9552</v>
      </c>
      <c r="J455" s="152">
        <f t="shared" si="451"/>
        <v>4766291.93</v>
      </c>
      <c r="K455" s="152">
        <f t="shared" si="451"/>
        <v>230569155.2</v>
      </c>
      <c r="L455" s="152">
        <f t="shared" si="451"/>
        <v>24143578904</v>
      </c>
      <c r="M455" s="152">
        <f t="shared" si="451"/>
        <v>6877825311511</v>
      </c>
      <c r="N455" s="152">
        <f t="shared" si="451"/>
        <v>6.46453E+15</v>
      </c>
      <c r="O455" s="152">
        <f t="shared" si="451"/>
        <v>2.65061E+19</v>
      </c>
      <c r="P455" s="152">
        <f t="shared" si="451"/>
        <v>6.92528E+23</v>
      </c>
      <c r="Q455" s="152">
        <f t="shared" si="451"/>
        <v>2.03585E+29</v>
      </c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6">
        <v>452.0</v>
      </c>
      <c r="C456" s="152">
        <f t="shared" ref="C456:Q456" si="452">C455/(1-C$2*C$3^($B456-1))</f>
        <v>5.241157176</v>
      </c>
      <c r="D456" s="152">
        <f t="shared" si="452"/>
        <v>14.9839644</v>
      </c>
      <c r="E456" s="152">
        <f t="shared" si="452"/>
        <v>50.32258479</v>
      </c>
      <c r="F456" s="152">
        <f t="shared" si="452"/>
        <v>229.3756314</v>
      </c>
      <c r="G456" s="152">
        <f t="shared" si="452"/>
        <v>1385.331268</v>
      </c>
      <c r="H456" s="152">
        <f t="shared" si="452"/>
        <v>12487.18443</v>
      </c>
      <c r="I456" s="152">
        <f t="shared" si="452"/>
        <v>183967.9554</v>
      </c>
      <c r="J456" s="152">
        <f t="shared" si="452"/>
        <v>4766291.946</v>
      </c>
      <c r="K456" s="152">
        <f t="shared" si="452"/>
        <v>230569158.7</v>
      </c>
      <c r="L456" s="152">
        <f t="shared" si="452"/>
        <v>24143580594</v>
      </c>
      <c r="M456" s="152">
        <f t="shared" si="452"/>
        <v>6877827448714</v>
      </c>
      <c r="N456" s="152">
        <f t="shared" si="452"/>
        <v>6.46454E+15</v>
      </c>
      <c r="O456" s="152">
        <f t="shared" si="452"/>
        <v>2.65062E+19</v>
      </c>
      <c r="P456" s="152">
        <f t="shared" si="452"/>
        <v>6.92545E+23</v>
      </c>
      <c r="Q456" s="152">
        <f t="shared" si="452"/>
        <v>2.03606E+29</v>
      </c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6">
        <v>453.0</v>
      </c>
      <c r="C457" s="152">
        <f t="shared" ref="C457:Q457" si="453">C456/(1-C$2*C$3^($B457-1))</f>
        <v>5.241157176</v>
      </c>
      <c r="D457" s="152">
        <f t="shared" si="453"/>
        <v>14.9839644</v>
      </c>
      <c r="E457" s="152">
        <f t="shared" si="453"/>
        <v>50.32258479</v>
      </c>
      <c r="F457" s="152">
        <f t="shared" si="453"/>
        <v>229.3756314</v>
      </c>
      <c r="G457" s="152">
        <f t="shared" si="453"/>
        <v>1385.331268</v>
      </c>
      <c r="H457" s="152">
        <f t="shared" si="453"/>
        <v>12487.18444</v>
      </c>
      <c r="I457" s="152">
        <f t="shared" si="453"/>
        <v>183967.9555</v>
      </c>
      <c r="J457" s="152">
        <f t="shared" si="453"/>
        <v>4766291.961</v>
      </c>
      <c r="K457" s="152">
        <f t="shared" si="453"/>
        <v>230569162.2</v>
      </c>
      <c r="L457" s="152">
        <f t="shared" si="453"/>
        <v>24143582226</v>
      </c>
      <c r="M457" s="152">
        <f t="shared" si="453"/>
        <v>6877829517527</v>
      </c>
      <c r="N457" s="152">
        <f t="shared" si="453"/>
        <v>6.46455E+15</v>
      </c>
      <c r="O457" s="152">
        <f t="shared" si="453"/>
        <v>2.65064E+19</v>
      </c>
      <c r="P457" s="152">
        <f t="shared" si="453"/>
        <v>6.92562E+23</v>
      </c>
      <c r="Q457" s="152">
        <f t="shared" si="453"/>
        <v>2.03626E+29</v>
      </c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6">
        <v>454.0</v>
      </c>
      <c r="C458" s="152">
        <f t="shared" ref="C458:Q458" si="454">C457/(1-C$2*C$3^($B458-1))</f>
        <v>5.241157176</v>
      </c>
      <c r="D458" s="152">
        <f t="shared" si="454"/>
        <v>14.9839644</v>
      </c>
      <c r="E458" s="152">
        <f t="shared" si="454"/>
        <v>50.32258479</v>
      </c>
      <c r="F458" s="152">
        <f t="shared" si="454"/>
        <v>229.3756314</v>
      </c>
      <c r="G458" s="152">
        <f t="shared" si="454"/>
        <v>1385.331268</v>
      </c>
      <c r="H458" s="152">
        <f t="shared" si="454"/>
        <v>12487.18444</v>
      </c>
      <c r="I458" s="152">
        <f t="shared" si="454"/>
        <v>183967.9556</v>
      </c>
      <c r="J458" s="152">
        <f t="shared" si="454"/>
        <v>4766291.976</v>
      </c>
      <c r="K458" s="152">
        <f t="shared" si="454"/>
        <v>230569165.5</v>
      </c>
      <c r="L458" s="152">
        <f t="shared" si="454"/>
        <v>24143583800</v>
      </c>
      <c r="M458" s="152">
        <f t="shared" si="454"/>
        <v>6877831520139</v>
      </c>
      <c r="N458" s="152">
        <f t="shared" si="454"/>
        <v>6.46455E+15</v>
      </c>
      <c r="O458" s="152">
        <f t="shared" si="454"/>
        <v>2.65065E+19</v>
      </c>
      <c r="P458" s="152">
        <f t="shared" si="454"/>
        <v>6.92578E+23</v>
      </c>
      <c r="Q458" s="152">
        <f t="shared" si="454"/>
        <v>2.03646E+29</v>
      </c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6">
        <v>455.0</v>
      </c>
      <c r="C459" s="152">
        <f t="shared" ref="C459:Q459" si="455">C458/(1-C$2*C$3^($B459-1))</f>
        <v>5.241157176</v>
      </c>
      <c r="D459" s="152">
        <f t="shared" si="455"/>
        <v>14.9839644</v>
      </c>
      <c r="E459" s="152">
        <f t="shared" si="455"/>
        <v>50.32258479</v>
      </c>
      <c r="F459" s="152">
        <f t="shared" si="455"/>
        <v>229.3756314</v>
      </c>
      <c r="G459" s="152">
        <f t="shared" si="455"/>
        <v>1385.331268</v>
      </c>
      <c r="H459" s="152">
        <f t="shared" si="455"/>
        <v>12487.18444</v>
      </c>
      <c r="I459" s="152">
        <f t="shared" si="455"/>
        <v>183967.9557</v>
      </c>
      <c r="J459" s="152">
        <f t="shared" si="455"/>
        <v>4766291.99</v>
      </c>
      <c r="K459" s="152">
        <f t="shared" si="455"/>
        <v>230569168.7</v>
      </c>
      <c r="L459" s="152">
        <f t="shared" si="455"/>
        <v>24143585319</v>
      </c>
      <c r="M459" s="152">
        <f t="shared" si="455"/>
        <v>6877833458668</v>
      </c>
      <c r="N459" s="152">
        <f t="shared" si="455"/>
        <v>6.46456E+15</v>
      </c>
      <c r="O459" s="152">
        <f t="shared" si="455"/>
        <v>2.65067E+19</v>
      </c>
      <c r="P459" s="152">
        <f t="shared" si="455"/>
        <v>6.92593E+23</v>
      </c>
      <c r="Q459" s="152">
        <f t="shared" si="455"/>
        <v>2.03665E+29</v>
      </c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6">
        <v>456.0</v>
      </c>
      <c r="C460" s="152">
        <f t="shared" ref="C460:Q460" si="456">C459/(1-C$2*C$3^($B460-1))</f>
        <v>5.241157176</v>
      </c>
      <c r="D460" s="152">
        <f t="shared" si="456"/>
        <v>14.9839644</v>
      </c>
      <c r="E460" s="152">
        <f t="shared" si="456"/>
        <v>50.3225848</v>
      </c>
      <c r="F460" s="152">
        <f t="shared" si="456"/>
        <v>229.3756314</v>
      </c>
      <c r="G460" s="152">
        <f t="shared" si="456"/>
        <v>1385.331268</v>
      </c>
      <c r="H460" s="152">
        <f t="shared" si="456"/>
        <v>12487.18444</v>
      </c>
      <c r="I460" s="152">
        <f t="shared" si="456"/>
        <v>183967.9558</v>
      </c>
      <c r="J460" s="152">
        <f t="shared" si="456"/>
        <v>4766292.003</v>
      </c>
      <c r="K460" s="152">
        <f t="shared" si="456"/>
        <v>230569171.7</v>
      </c>
      <c r="L460" s="152">
        <f t="shared" si="456"/>
        <v>24143586785</v>
      </c>
      <c r="M460" s="152">
        <f t="shared" si="456"/>
        <v>6877835335164</v>
      </c>
      <c r="N460" s="152">
        <f t="shared" si="456"/>
        <v>6.46457E+15</v>
      </c>
      <c r="O460" s="152">
        <f t="shared" si="456"/>
        <v>2.65068E+19</v>
      </c>
      <c r="P460" s="152">
        <f t="shared" si="456"/>
        <v>6.92609E+23</v>
      </c>
      <c r="Q460" s="152">
        <f t="shared" si="456"/>
        <v>2.03684E+29</v>
      </c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6">
        <v>457.0</v>
      </c>
      <c r="C461" s="152">
        <f t="shared" ref="C461:Q461" si="457">C460/(1-C$2*C$3^($B461-1))</f>
        <v>5.241157176</v>
      </c>
      <c r="D461" s="152">
        <f t="shared" si="457"/>
        <v>14.9839644</v>
      </c>
      <c r="E461" s="152">
        <f t="shared" si="457"/>
        <v>50.3225848</v>
      </c>
      <c r="F461" s="152">
        <f t="shared" si="457"/>
        <v>229.3756314</v>
      </c>
      <c r="G461" s="152">
        <f t="shared" si="457"/>
        <v>1385.331268</v>
      </c>
      <c r="H461" s="152">
        <f t="shared" si="457"/>
        <v>12487.18444</v>
      </c>
      <c r="I461" s="152">
        <f t="shared" si="457"/>
        <v>183967.9559</v>
      </c>
      <c r="J461" s="152">
        <f t="shared" si="457"/>
        <v>4766292.016</v>
      </c>
      <c r="K461" s="152">
        <f t="shared" si="457"/>
        <v>230569174.7</v>
      </c>
      <c r="L461" s="152">
        <f t="shared" si="457"/>
        <v>24143588200</v>
      </c>
      <c r="M461" s="152">
        <f t="shared" si="457"/>
        <v>6877837151613</v>
      </c>
      <c r="N461" s="152">
        <f t="shared" si="457"/>
        <v>6.46458E+15</v>
      </c>
      <c r="O461" s="152">
        <f t="shared" si="457"/>
        <v>2.65069E+19</v>
      </c>
      <c r="P461" s="152">
        <f t="shared" si="457"/>
        <v>6.92624E+23</v>
      </c>
      <c r="Q461" s="152">
        <f t="shared" si="457"/>
        <v>2.03703E+29</v>
      </c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6">
        <v>458.0</v>
      </c>
      <c r="C462" s="152">
        <f t="shared" ref="C462:Q462" si="458">C461/(1-C$2*C$3^($B462-1))</f>
        <v>5.241157176</v>
      </c>
      <c r="D462" s="152">
        <f t="shared" si="458"/>
        <v>14.9839644</v>
      </c>
      <c r="E462" s="152">
        <f t="shared" si="458"/>
        <v>50.3225848</v>
      </c>
      <c r="F462" s="152">
        <f t="shared" si="458"/>
        <v>229.3756314</v>
      </c>
      <c r="G462" s="152">
        <f t="shared" si="458"/>
        <v>1385.331268</v>
      </c>
      <c r="H462" s="152">
        <f t="shared" si="458"/>
        <v>12487.18444</v>
      </c>
      <c r="I462" s="152">
        <f t="shared" si="458"/>
        <v>183967.956</v>
      </c>
      <c r="J462" s="152">
        <f t="shared" si="458"/>
        <v>4766292.029</v>
      </c>
      <c r="K462" s="152">
        <f t="shared" si="458"/>
        <v>230569177.5</v>
      </c>
      <c r="L462" s="152">
        <f t="shared" si="458"/>
        <v>24143589565</v>
      </c>
      <c r="M462" s="152">
        <f t="shared" si="458"/>
        <v>6877838909936</v>
      </c>
      <c r="N462" s="152">
        <f t="shared" si="458"/>
        <v>6.46459E+15</v>
      </c>
      <c r="O462" s="152">
        <f t="shared" si="458"/>
        <v>2.65071E+19</v>
      </c>
      <c r="P462" s="152">
        <f t="shared" si="458"/>
        <v>6.92639E+23</v>
      </c>
      <c r="Q462" s="152">
        <f t="shared" si="458"/>
        <v>2.03721E+29</v>
      </c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6">
        <v>459.0</v>
      </c>
      <c r="C463" s="152">
        <f t="shared" ref="C463:Q463" si="459">C462/(1-C$2*C$3^($B463-1))</f>
        <v>5.241157176</v>
      </c>
      <c r="D463" s="152">
        <f t="shared" si="459"/>
        <v>14.9839644</v>
      </c>
      <c r="E463" s="152">
        <f t="shared" si="459"/>
        <v>50.3225848</v>
      </c>
      <c r="F463" s="152">
        <f t="shared" si="459"/>
        <v>229.3756314</v>
      </c>
      <c r="G463" s="152">
        <f t="shared" si="459"/>
        <v>1385.331268</v>
      </c>
      <c r="H463" s="152">
        <f t="shared" si="459"/>
        <v>12487.18445</v>
      </c>
      <c r="I463" s="152">
        <f t="shared" si="459"/>
        <v>183967.9561</v>
      </c>
      <c r="J463" s="152">
        <f t="shared" si="459"/>
        <v>4766292.041</v>
      </c>
      <c r="K463" s="152">
        <f t="shared" si="459"/>
        <v>230569180.2</v>
      </c>
      <c r="L463" s="152">
        <f t="shared" si="459"/>
        <v>24143590883</v>
      </c>
      <c r="M463" s="152">
        <f t="shared" si="459"/>
        <v>6877840611993</v>
      </c>
      <c r="N463" s="152">
        <f t="shared" si="459"/>
        <v>6.46459E+15</v>
      </c>
      <c r="O463" s="152">
        <f t="shared" si="459"/>
        <v>2.65072E+19</v>
      </c>
      <c r="P463" s="152">
        <f t="shared" si="459"/>
        <v>6.92653E+23</v>
      </c>
      <c r="Q463" s="152">
        <f t="shared" si="459"/>
        <v>2.03739E+29</v>
      </c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6">
        <v>460.0</v>
      </c>
      <c r="C464" s="152">
        <f t="shared" ref="C464:Q464" si="460">C463/(1-C$2*C$3^($B464-1))</f>
        <v>5.241157176</v>
      </c>
      <c r="D464" s="152">
        <f t="shared" si="460"/>
        <v>14.9839644</v>
      </c>
      <c r="E464" s="152">
        <f t="shared" si="460"/>
        <v>50.3225848</v>
      </c>
      <c r="F464" s="152">
        <f t="shared" si="460"/>
        <v>229.3756314</v>
      </c>
      <c r="G464" s="152">
        <f t="shared" si="460"/>
        <v>1385.331268</v>
      </c>
      <c r="H464" s="152">
        <f t="shared" si="460"/>
        <v>12487.18445</v>
      </c>
      <c r="I464" s="152">
        <f t="shared" si="460"/>
        <v>183967.9562</v>
      </c>
      <c r="J464" s="152">
        <f t="shared" si="460"/>
        <v>4766292.052</v>
      </c>
      <c r="K464" s="152">
        <f t="shared" si="460"/>
        <v>230569182.8</v>
      </c>
      <c r="L464" s="152">
        <f t="shared" si="460"/>
        <v>24143592154</v>
      </c>
      <c r="M464" s="152">
        <f t="shared" si="460"/>
        <v>6877842259585</v>
      </c>
      <c r="N464" s="152">
        <f t="shared" si="460"/>
        <v>6.4646E+15</v>
      </c>
      <c r="O464" s="152">
        <f t="shared" si="460"/>
        <v>2.65073E+19</v>
      </c>
      <c r="P464" s="152">
        <f t="shared" si="460"/>
        <v>6.92667E+23</v>
      </c>
      <c r="Q464" s="152">
        <f t="shared" si="460"/>
        <v>2.03756E+29</v>
      </c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6">
        <v>461.0</v>
      </c>
      <c r="C465" s="152">
        <f t="shared" ref="C465:Q465" si="461">C464/(1-C$2*C$3^($B465-1))</f>
        <v>5.241157176</v>
      </c>
      <c r="D465" s="152">
        <f t="shared" si="461"/>
        <v>14.9839644</v>
      </c>
      <c r="E465" s="152">
        <f t="shared" si="461"/>
        <v>50.3225848</v>
      </c>
      <c r="F465" s="152">
        <f t="shared" si="461"/>
        <v>229.3756314</v>
      </c>
      <c r="G465" s="152">
        <f t="shared" si="461"/>
        <v>1385.331268</v>
      </c>
      <c r="H465" s="152">
        <f t="shared" si="461"/>
        <v>12487.18445</v>
      </c>
      <c r="I465" s="152">
        <f t="shared" si="461"/>
        <v>183967.9563</v>
      </c>
      <c r="J465" s="152">
        <f t="shared" si="461"/>
        <v>4766292.063</v>
      </c>
      <c r="K465" s="152">
        <f t="shared" si="461"/>
        <v>230569185.4</v>
      </c>
      <c r="L465" s="152">
        <f t="shared" si="461"/>
        <v>24143593381</v>
      </c>
      <c r="M465" s="152">
        <f t="shared" si="461"/>
        <v>6877843854454</v>
      </c>
      <c r="N465" s="152">
        <f t="shared" si="461"/>
        <v>6.46461E+15</v>
      </c>
      <c r="O465" s="152">
        <f t="shared" si="461"/>
        <v>2.65074E+19</v>
      </c>
      <c r="P465" s="152">
        <f t="shared" si="461"/>
        <v>6.92681E+23</v>
      </c>
      <c r="Q465" s="152">
        <f t="shared" si="461"/>
        <v>2.03773E+29</v>
      </c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6">
        <v>462.0</v>
      </c>
      <c r="C466" s="152">
        <f t="shared" ref="C466:Q466" si="462">C465/(1-C$2*C$3^($B466-1))</f>
        <v>5.241157176</v>
      </c>
      <c r="D466" s="152">
        <f t="shared" si="462"/>
        <v>14.9839644</v>
      </c>
      <c r="E466" s="152">
        <f t="shared" si="462"/>
        <v>50.3225848</v>
      </c>
      <c r="F466" s="152">
        <f t="shared" si="462"/>
        <v>229.3756314</v>
      </c>
      <c r="G466" s="152">
        <f t="shared" si="462"/>
        <v>1385.331268</v>
      </c>
      <c r="H466" s="152">
        <f t="shared" si="462"/>
        <v>12487.18445</v>
      </c>
      <c r="I466" s="152">
        <f t="shared" si="462"/>
        <v>183967.9564</v>
      </c>
      <c r="J466" s="152">
        <f t="shared" si="462"/>
        <v>4766292.074</v>
      </c>
      <c r="K466" s="152">
        <f t="shared" si="462"/>
        <v>230569187.8</v>
      </c>
      <c r="L466" s="152">
        <f t="shared" si="462"/>
        <v>24143594565</v>
      </c>
      <c r="M466" s="152">
        <f t="shared" si="462"/>
        <v>6877845398288</v>
      </c>
      <c r="N466" s="152">
        <f t="shared" si="462"/>
        <v>6.46461E+15</v>
      </c>
      <c r="O466" s="152">
        <f t="shared" si="462"/>
        <v>2.65076E+19</v>
      </c>
      <c r="P466" s="152">
        <f t="shared" si="462"/>
        <v>6.92694E+23</v>
      </c>
      <c r="Q466" s="152">
        <f t="shared" si="462"/>
        <v>2.0379E+29</v>
      </c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6">
        <v>463.0</v>
      </c>
      <c r="C467" s="152">
        <f t="shared" ref="C467:Q467" si="463">C466/(1-C$2*C$3^($B467-1))</f>
        <v>5.241157176</v>
      </c>
      <c r="D467" s="152">
        <f t="shared" si="463"/>
        <v>14.9839644</v>
      </c>
      <c r="E467" s="152">
        <f t="shared" si="463"/>
        <v>50.3225848</v>
      </c>
      <c r="F467" s="152">
        <f t="shared" si="463"/>
        <v>229.3756314</v>
      </c>
      <c r="G467" s="152">
        <f t="shared" si="463"/>
        <v>1385.331268</v>
      </c>
      <c r="H467" s="152">
        <f t="shared" si="463"/>
        <v>12487.18445</v>
      </c>
      <c r="I467" s="152">
        <f t="shared" si="463"/>
        <v>183967.9565</v>
      </c>
      <c r="J467" s="152">
        <f t="shared" si="463"/>
        <v>4766292.084</v>
      </c>
      <c r="K467" s="152">
        <f t="shared" si="463"/>
        <v>230569190.1</v>
      </c>
      <c r="L467" s="152">
        <f t="shared" si="463"/>
        <v>24143595707</v>
      </c>
      <c r="M467" s="152">
        <f t="shared" si="463"/>
        <v>6877846892719</v>
      </c>
      <c r="N467" s="152">
        <f t="shared" si="463"/>
        <v>6.46462E+15</v>
      </c>
      <c r="O467" s="152">
        <f t="shared" si="463"/>
        <v>2.65077E+19</v>
      </c>
      <c r="P467" s="152">
        <f t="shared" si="463"/>
        <v>6.92707E+23</v>
      </c>
      <c r="Q467" s="152">
        <f t="shared" si="463"/>
        <v>2.03807E+29</v>
      </c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6">
        <v>464.0</v>
      </c>
      <c r="C468" s="152">
        <f t="shared" ref="C468:Q468" si="464">C467/(1-C$2*C$3^($B468-1))</f>
        <v>5.241157176</v>
      </c>
      <c r="D468" s="152">
        <f t="shared" si="464"/>
        <v>14.9839644</v>
      </c>
      <c r="E468" s="152">
        <f t="shared" si="464"/>
        <v>50.3225848</v>
      </c>
      <c r="F468" s="152">
        <f t="shared" si="464"/>
        <v>229.3756314</v>
      </c>
      <c r="G468" s="152">
        <f t="shared" si="464"/>
        <v>1385.331268</v>
      </c>
      <c r="H468" s="152">
        <f t="shared" si="464"/>
        <v>12487.18445</v>
      </c>
      <c r="I468" s="152">
        <f t="shared" si="464"/>
        <v>183967.9566</v>
      </c>
      <c r="J468" s="152">
        <f t="shared" si="464"/>
        <v>4766292.094</v>
      </c>
      <c r="K468" s="152">
        <f t="shared" si="464"/>
        <v>230569192.4</v>
      </c>
      <c r="L468" s="152">
        <f t="shared" si="464"/>
        <v>24143596809</v>
      </c>
      <c r="M468" s="152">
        <f t="shared" si="464"/>
        <v>6877848339329</v>
      </c>
      <c r="N468" s="152">
        <f t="shared" si="464"/>
        <v>6.46463E+15</v>
      </c>
      <c r="O468" s="152">
        <f t="shared" si="464"/>
        <v>2.65078E+19</v>
      </c>
      <c r="P468" s="152">
        <f t="shared" si="464"/>
        <v>6.9272E+23</v>
      </c>
      <c r="Q468" s="152">
        <f t="shared" si="464"/>
        <v>2.03823E+29</v>
      </c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6">
        <v>465.0</v>
      </c>
      <c r="C469" s="152">
        <f t="shared" ref="C469:Q469" si="465">C468/(1-C$2*C$3^($B469-1))</f>
        <v>5.241157176</v>
      </c>
      <c r="D469" s="152">
        <f t="shared" si="465"/>
        <v>14.9839644</v>
      </c>
      <c r="E469" s="152">
        <f t="shared" si="465"/>
        <v>50.3225848</v>
      </c>
      <c r="F469" s="152">
        <f t="shared" si="465"/>
        <v>229.3756314</v>
      </c>
      <c r="G469" s="152">
        <f t="shared" si="465"/>
        <v>1385.331268</v>
      </c>
      <c r="H469" s="152">
        <f t="shared" si="465"/>
        <v>12487.18445</v>
      </c>
      <c r="I469" s="152">
        <f t="shared" si="465"/>
        <v>183967.9566</v>
      </c>
      <c r="J469" s="152">
        <f t="shared" si="465"/>
        <v>4766292.103</v>
      </c>
      <c r="K469" s="152">
        <f t="shared" si="465"/>
        <v>230569194.5</v>
      </c>
      <c r="L469" s="152">
        <f t="shared" si="465"/>
        <v>24143597873</v>
      </c>
      <c r="M469" s="152">
        <f t="shared" si="465"/>
        <v>6877849739647</v>
      </c>
      <c r="N469" s="152">
        <f t="shared" si="465"/>
        <v>6.46463E+15</v>
      </c>
      <c r="O469" s="152">
        <f t="shared" si="465"/>
        <v>2.65079E+19</v>
      </c>
      <c r="P469" s="152">
        <f t="shared" si="465"/>
        <v>6.92732E+23</v>
      </c>
      <c r="Q469" s="152">
        <f t="shared" si="465"/>
        <v>2.03839E+29</v>
      </c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6">
        <v>466.0</v>
      </c>
      <c r="C470" s="152">
        <f t="shared" ref="C470:Q470" si="466">C469/(1-C$2*C$3^($B470-1))</f>
        <v>5.241157176</v>
      </c>
      <c r="D470" s="152">
        <f t="shared" si="466"/>
        <v>14.9839644</v>
      </c>
      <c r="E470" s="152">
        <f t="shared" si="466"/>
        <v>50.3225848</v>
      </c>
      <c r="F470" s="152">
        <f t="shared" si="466"/>
        <v>229.3756314</v>
      </c>
      <c r="G470" s="152">
        <f t="shared" si="466"/>
        <v>1385.331268</v>
      </c>
      <c r="H470" s="152">
        <f t="shared" si="466"/>
        <v>12487.18445</v>
      </c>
      <c r="I470" s="152">
        <f t="shared" si="466"/>
        <v>183967.9567</v>
      </c>
      <c r="J470" s="152">
        <f t="shared" si="466"/>
        <v>4766292.112</v>
      </c>
      <c r="K470" s="152">
        <f t="shared" si="466"/>
        <v>230569196.6</v>
      </c>
      <c r="L470" s="152">
        <f t="shared" si="466"/>
        <v>24143598900</v>
      </c>
      <c r="M470" s="152">
        <f t="shared" si="466"/>
        <v>6877851095156</v>
      </c>
      <c r="N470" s="152">
        <f t="shared" si="466"/>
        <v>6.46464E+15</v>
      </c>
      <c r="O470" s="152">
        <f t="shared" si="466"/>
        <v>2.6508E+19</v>
      </c>
      <c r="P470" s="152">
        <f t="shared" si="466"/>
        <v>6.92745E+23</v>
      </c>
      <c r="Q470" s="152">
        <f t="shared" si="466"/>
        <v>2.03854E+29</v>
      </c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6">
        <v>467.0</v>
      </c>
      <c r="C471" s="152">
        <f t="shared" ref="C471:Q471" si="467">C470/(1-C$2*C$3^($B471-1))</f>
        <v>5.241157176</v>
      </c>
      <c r="D471" s="152">
        <f t="shared" si="467"/>
        <v>14.9839644</v>
      </c>
      <c r="E471" s="152">
        <f t="shared" si="467"/>
        <v>50.3225848</v>
      </c>
      <c r="F471" s="152">
        <f t="shared" si="467"/>
        <v>229.3756314</v>
      </c>
      <c r="G471" s="152">
        <f t="shared" si="467"/>
        <v>1385.331268</v>
      </c>
      <c r="H471" s="152">
        <f t="shared" si="467"/>
        <v>12487.18445</v>
      </c>
      <c r="I471" s="152">
        <f t="shared" si="467"/>
        <v>183967.9568</v>
      </c>
      <c r="J471" s="152">
        <f t="shared" si="467"/>
        <v>4766292.12</v>
      </c>
      <c r="K471" s="152">
        <f t="shared" si="467"/>
        <v>230569198.6</v>
      </c>
      <c r="L471" s="152">
        <f t="shared" si="467"/>
        <v>24143599891</v>
      </c>
      <c r="M471" s="152">
        <f t="shared" si="467"/>
        <v>6877852407288</v>
      </c>
      <c r="N471" s="152">
        <f t="shared" si="467"/>
        <v>6.46464E+15</v>
      </c>
      <c r="O471" s="152">
        <f t="shared" si="467"/>
        <v>2.65081E+19</v>
      </c>
      <c r="P471" s="152">
        <f t="shared" si="467"/>
        <v>6.92757E+23</v>
      </c>
      <c r="Q471" s="152">
        <f t="shared" si="467"/>
        <v>2.03869E+29</v>
      </c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6">
        <v>468.0</v>
      </c>
      <c r="C472" s="152">
        <f t="shared" ref="C472:Q472" si="468">C471/(1-C$2*C$3^($B472-1))</f>
        <v>5.241157176</v>
      </c>
      <c r="D472" s="152">
        <f t="shared" si="468"/>
        <v>14.9839644</v>
      </c>
      <c r="E472" s="152">
        <f t="shared" si="468"/>
        <v>50.3225848</v>
      </c>
      <c r="F472" s="152">
        <f t="shared" si="468"/>
        <v>229.3756314</v>
      </c>
      <c r="G472" s="152">
        <f t="shared" si="468"/>
        <v>1385.331268</v>
      </c>
      <c r="H472" s="152">
        <f t="shared" si="468"/>
        <v>12487.18445</v>
      </c>
      <c r="I472" s="152">
        <f t="shared" si="468"/>
        <v>183967.9568</v>
      </c>
      <c r="J472" s="152">
        <f t="shared" si="468"/>
        <v>4766292.128</v>
      </c>
      <c r="K472" s="152">
        <f t="shared" si="468"/>
        <v>230569200.5</v>
      </c>
      <c r="L472" s="152">
        <f t="shared" si="468"/>
        <v>24143600847</v>
      </c>
      <c r="M472" s="152">
        <f t="shared" si="468"/>
        <v>6877853677433</v>
      </c>
      <c r="N472" s="152">
        <f t="shared" si="468"/>
        <v>6.46465E+15</v>
      </c>
      <c r="O472" s="152">
        <f t="shared" si="468"/>
        <v>2.65082E+19</v>
      </c>
      <c r="P472" s="152">
        <f t="shared" si="468"/>
        <v>6.92768E+23</v>
      </c>
      <c r="Q472" s="152">
        <f t="shared" si="468"/>
        <v>2.03884E+29</v>
      </c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6">
        <v>469.0</v>
      </c>
      <c r="C473" s="152">
        <f t="shared" ref="C473:Q473" si="469">C472/(1-C$2*C$3^($B473-1))</f>
        <v>5.241157176</v>
      </c>
      <c r="D473" s="152">
        <f t="shared" si="469"/>
        <v>14.9839644</v>
      </c>
      <c r="E473" s="152">
        <f t="shared" si="469"/>
        <v>50.3225848</v>
      </c>
      <c r="F473" s="152">
        <f t="shared" si="469"/>
        <v>229.3756314</v>
      </c>
      <c r="G473" s="152">
        <f t="shared" si="469"/>
        <v>1385.331268</v>
      </c>
      <c r="H473" s="152">
        <f t="shared" si="469"/>
        <v>12487.18446</v>
      </c>
      <c r="I473" s="152">
        <f t="shared" si="469"/>
        <v>183967.9569</v>
      </c>
      <c r="J473" s="152">
        <f t="shared" si="469"/>
        <v>4766292.136</v>
      </c>
      <c r="K473" s="152">
        <f t="shared" si="469"/>
        <v>230569202.4</v>
      </c>
      <c r="L473" s="152">
        <f t="shared" si="469"/>
        <v>24143601769</v>
      </c>
      <c r="M473" s="152">
        <f t="shared" si="469"/>
        <v>6877854906933</v>
      </c>
      <c r="N473" s="152">
        <f t="shared" si="469"/>
        <v>6.46465E+15</v>
      </c>
      <c r="O473" s="152">
        <f t="shared" si="469"/>
        <v>2.65083E+19</v>
      </c>
      <c r="P473" s="152">
        <f t="shared" si="469"/>
        <v>6.9278E+23</v>
      </c>
      <c r="Q473" s="152">
        <f t="shared" si="469"/>
        <v>2.03899E+29</v>
      </c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6">
        <v>470.0</v>
      </c>
      <c r="C474" s="152">
        <f t="shared" ref="C474:Q474" si="470">C473/(1-C$2*C$3^($B474-1))</f>
        <v>5.241157176</v>
      </c>
      <c r="D474" s="152">
        <f t="shared" si="470"/>
        <v>14.9839644</v>
      </c>
      <c r="E474" s="152">
        <f t="shared" si="470"/>
        <v>50.3225848</v>
      </c>
      <c r="F474" s="152">
        <f t="shared" si="470"/>
        <v>229.3756314</v>
      </c>
      <c r="G474" s="152">
        <f t="shared" si="470"/>
        <v>1385.331268</v>
      </c>
      <c r="H474" s="152">
        <f t="shared" si="470"/>
        <v>12487.18446</v>
      </c>
      <c r="I474" s="152">
        <f t="shared" si="470"/>
        <v>183967.9569</v>
      </c>
      <c r="J474" s="152">
        <f t="shared" si="470"/>
        <v>4766292.144</v>
      </c>
      <c r="K474" s="152">
        <f t="shared" si="470"/>
        <v>230569204.1</v>
      </c>
      <c r="L474" s="152">
        <f t="shared" si="470"/>
        <v>24143602659</v>
      </c>
      <c r="M474" s="152">
        <f t="shared" si="470"/>
        <v>6877856097089</v>
      </c>
      <c r="N474" s="152">
        <f t="shared" si="470"/>
        <v>6.46466E+15</v>
      </c>
      <c r="O474" s="152">
        <f t="shared" si="470"/>
        <v>2.65084E+19</v>
      </c>
      <c r="P474" s="152">
        <f t="shared" si="470"/>
        <v>6.92791E+23</v>
      </c>
      <c r="Q474" s="152">
        <f t="shared" si="470"/>
        <v>2.03913E+29</v>
      </c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6">
        <v>471.0</v>
      </c>
      <c r="C475" s="152">
        <f t="shared" ref="C475:Q475" si="471">C474/(1-C$2*C$3^($B475-1))</f>
        <v>5.241157176</v>
      </c>
      <c r="D475" s="152">
        <f t="shared" si="471"/>
        <v>14.9839644</v>
      </c>
      <c r="E475" s="152">
        <f t="shared" si="471"/>
        <v>50.3225848</v>
      </c>
      <c r="F475" s="152">
        <f t="shared" si="471"/>
        <v>229.3756314</v>
      </c>
      <c r="G475" s="152">
        <f t="shared" si="471"/>
        <v>1385.331268</v>
      </c>
      <c r="H475" s="152">
        <f t="shared" si="471"/>
        <v>12487.18446</v>
      </c>
      <c r="I475" s="152">
        <f t="shared" si="471"/>
        <v>183967.957</v>
      </c>
      <c r="J475" s="152">
        <f t="shared" si="471"/>
        <v>4766292.151</v>
      </c>
      <c r="K475" s="152">
        <f t="shared" si="471"/>
        <v>230569205.9</v>
      </c>
      <c r="L475" s="152">
        <f t="shared" si="471"/>
        <v>24143603519</v>
      </c>
      <c r="M475" s="152">
        <f t="shared" si="471"/>
        <v>6877857249161</v>
      </c>
      <c r="N475" s="152">
        <f t="shared" si="471"/>
        <v>6.46466E+15</v>
      </c>
      <c r="O475" s="152">
        <f t="shared" si="471"/>
        <v>2.65085E+19</v>
      </c>
      <c r="P475" s="152">
        <f t="shared" si="471"/>
        <v>6.92802E+23</v>
      </c>
      <c r="Q475" s="152">
        <f t="shared" si="471"/>
        <v>2.03927E+29</v>
      </c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6">
        <v>472.0</v>
      </c>
      <c r="C476" s="152">
        <f t="shared" ref="C476:Q476" si="472">C475/(1-C$2*C$3^($B476-1))</f>
        <v>5.241157176</v>
      </c>
      <c r="D476" s="152">
        <f t="shared" si="472"/>
        <v>14.9839644</v>
      </c>
      <c r="E476" s="152">
        <f t="shared" si="472"/>
        <v>50.3225848</v>
      </c>
      <c r="F476" s="152">
        <f t="shared" si="472"/>
        <v>229.3756314</v>
      </c>
      <c r="G476" s="152">
        <f t="shared" si="472"/>
        <v>1385.331268</v>
      </c>
      <c r="H476" s="152">
        <f t="shared" si="472"/>
        <v>12487.18446</v>
      </c>
      <c r="I476" s="152">
        <f t="shared" si="472"/>
        <v>183967.9571</v>
      </c>
      <c r="J476" s="152">
        <f t="shared" si="472"/>
        <v>4766292.158</v>
      </c>
      <c r="K476" s="152">
        <f t="shared" si="472"/>
        <v>230569207.5</v>
      </c>
      <c r="L476" s="152">
        <f t="shared" si="472"/>
        <v>24143604348</v>
      </c>
      <c r="M476" s="152">
        <f t="shared" si="472"/>
        <v>6877858364366</v>
      </c>
      <c r="N476" s="152">
        <f t="shared" si="472"/>
        <v>6.46467E+15</v>
      </c>
      <c r="O476" s="152">
        <f t="shared" si="472"/>
        <v>2.65086E+19</v>
      </c>
      <c r="P476" s="152">
        <f t="shared" si="472"/>
        <v>6.92812E+23</v>
      </c>
      <c r="Q476" s="152">
        <f t="shared" si="472"/>
        <v>2.03941E+29</v>
      </c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6">
        <v>473.0</v>
      </c>
      <c r="C477" s="152">
        <f t="shared" ref="C477:Q477" si="473">C476/(1-C$2*C$3^($B477-1))</f>
        <v>5.241157176</v>
      </c>
      <c r="D477" s="152">
        <f t="shared" si="473"/>
        <v>14.9839644</v>
      </c>
      <c r="E477" s="152">
        <f t="shared" si="473"/>
        <v>50.3225848</v>
      </c>
      <c r="F477" s="152">
        <f t="shared" si="473"/>
        <v>229.3756314</v>
      </c>
      <c r="G477" s="152">
        <f t="shared" si="473"/>
        <v>1385.331268</v>
      </c>
      <c r="H477" s="152">
        <f t="shared" si="473"/>
        <v>12487.18446</v>
      </c>
      <c r="I477" s="152">
        <f t="shared" si="473"/>
        <v>183967.9571</v>
      </c>
      <c r="J477" s="152">
        <f t="shared" si="473"/>
        <v>4766292.165</v>
      </c>
      <c r="K477" s="152">
        <f t="shared" si="473"/>
        <v>230569209.1</v>
      </c>
      <c r="L477" s="152">
        <f t="shared" si="473"/>
        <v>24143605148</v>
      </c>
      <c r="M477" s="152">
        <f t="shared" si="473"/>
        <v>6877859443885</v>
      </c>
      <c r="N477" s="152">
        <f t="shared" si="473"/>
        <v>6.46467E+15</v>
      </c>
      <c r="O477" s="152">
        <f t="shared" si="473"/>
        <v>2.65087E+19</v>
      </c>
      <c r="P477" s="152">
        <f t="shared" si="473"/>
        <v>6.92823E+23</v>
      </c>
      <c r="Q477" s="152">
        <f t="shared" si="473"/>
        <v>2.03955E+29</v>
      </c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6">
        <v>474.0</v>
      </c>
      <c r="C478" s="152">
        <f t="shared" ref="C478:Q478" si="474">C477/(1-C$2*C$3^($B478-1))</f>
        <v>5.241157176</v>
      </c>
      <c r="D478" s="152">
        <f t="shared" si="474"/>
        <v>14.9839644</v>
      </c>
      <c r="E478" s="152">
        <f t="shared" si="474"/>
        <v>50.3225848</v>
      </c>
      <c r="F478" s="152">
        <f t="shared" si="474"/>
        <v>229.3756314</v>
      </c>
      <c r="G478" s="152">
        <f t="shared" si="474"/>
        <v>1385.331268</v>
      </c>
      <c r="H478" s="152">
        <f t="shared" si="474"/>
        <v>12487.18446</v>
      </c>
      <c r="I478" s="152">
        <f t="shared" si="474"/>
        <v>183967.9572</v>
      </c>
      <c r="J478" s="152">
        <f t="shared" si="474"/>
        <v>4766292.171</v>
      </c>
      <c r="K478" s="152">
        <f t="shared" si="474"/>
        <v>230569210.6</v>
      </c>
      <c r="L478" s="152">
        <f t="shared" si="474"/>
        <v>24143605920</v>
      </c>
      <c r="M478" s="152">
        <f t="shared" si="474"/>
        <v>6877860488860</v>
      </c>
      <c r="N478" s="152">
        <f t="shared" si="474"/>
        <v>6.46468E+15</v>
      </c>
      <c r="O478" s="152">
        <f t="shared" si="474"/>
        <v>2.65088E+19</v>
      </c>
      <c r="P478" s="152">
        <f t="shared" si="474"/>
        <v>6.92833E+23</v>
      </c>
      <c r="Q478" s="152">
        <f t="shared" si="474"/>
        <v>2.03968E+29</v>
      </c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6">
        <v>475.0</v>
      </c>
      <c r="C479" s="152">
        <f t="shared" ref="C479:Q479" si="475">C478/(1-C$2*C$3^($B479-1))</f>
        <v>5.241157176</v>
      </c>
      <c r="D479" s="152">
        <f t="shared" si="475"/>
        <v>14.9839644</v>
      </c>
      <c r="E479" s="152">
        <f t="shared" si="475"/>
        <v>50.3225848</v>
      </c>
      <c r="F479" s="152">
        <f t="shared" si="475"/>
        <v>229.3756314</v>
      </c>
      <c r="G479" s="152">
        <f t="shared" si="475"/>
        <v>1385.331268</v>
      </c>
      <c r="H479" s="152">
        <f t="shared" si="475"/>
        <v>12487.18446</v>
      </c>
      <c r="I479" s="152">
        <f t="shared" si="475"/>
        <v>183967.9572</v>
      </c>
      <c r="J479" s="152">
        <f t="shared" si="475"/>
        <v>4766292.177</v>
      </c>
      <c r="K479" s="152">
        <f t="shared" si="475"/>
        <v>230569212.1</v>
      </c>
      <c r="L479" s="152">
        <f t="shared" si="475"/>
        <v>24143606665</v>
      </c>
      <c r="M479" s="152">
        <f t="shared" si="475"/>
        <v>6877861500396</v>
      </c>
      <c r="N479" s="152">
        <f t="shared" si="475"/>
        <v>6.46468E+15</v>
      </c>
      <c r="O479" s="152">
        <f t="shared" si="475"/>
        <v>2.65089E+19</v>
      </c>
      <c r="P479" s="152">
        <f t="shared" si="475"/>
        <v>6.92843E+23</v>
      </c>
      <c r="Q479" s="152">
        <f t="shared" si="475"/>
        <v>2.03981E+29</v>
      </c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6">
        <v>476.0</v>
      </c>
      <c r="C480" s="152">
        <f t="shared" ref="C480:Q480" si="476">C479/(1-C$2*C$3^($B480-1))</f>
        <v>5.241157176</v>
      </c>
      <c r="D480" s="152">
        <f t="shared" si="476"/>
        <v>14.9839644</v>
      </c>
      <c r="E480" s="152">
        <f t="shared" si="476"/>
        <v>50.3225848</v>
      </c>
      <c r="F480" s="152">
        <f t="shared" si="476"/>
        <v>229.3756314</v>
      </c>
      <c r="G480" s="152">
        <f t="shared" si="476"/>
        <v>1385.331268</v>
      </c>
      <c r="H480" s="152">
        <f t="shared" si="476"/>
        <v>12487.18446</v>
      </c>
      <c r="I480" s="152">
        <f t="shared" si="476"/>
        <v>183967.9572</v>
      </c>
      <c r="J480" s="152">
        <f t="shared" si="476"/>
        <v>4766292.183</v>
      </c>
      <c r="K480" s="152">
        <f t="shared" si="476"/>
        <v>230569213.5</v>
      </c>
      <c r="L480" s="152">
        <f t="shared" si="476"/>
        <v>24143607384</v>
      </c>
      <c r="M480" s="152">
        <f t="shared" si="476"/>
        <v>6877862479562</v>
      </c>
      <c r="N480" s="152">
        <f t="shared" si="476"/>
        <v>6.46469E+15</v>
      </c>
      <c r="O480" s="152">
        <f t="shared" si="476"/>
        <v>2.65089E+19</v>
      </c>
      <c r="P480" s="152">
        <f t="shared" si="476"/>
        <v>6.92852E+23</v>
      </c>
      <c r="Q480" s="152">
        <f t="shared" si="476"/>
        <v>2.03993E+29</v>
      </c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6">
        <v>477.0</v>
      </c>
      <c r="C481" s="152">
        <f t="shared" ref="C481:Q481" si="477">C480/(1-C$2*C$3^($B481-1))</f>
        <v>5.241157176</v>
      </c>
      <c r="D481" s="152">
        <f t="shared" si="477"/>
        <v>14.9839644</v>
      </c>
      <c r="E481" s="152">
        <f t="shared" si="477"/>
        <v>50.3225848</v>
      </c>
      <c r="F481" s="152">
        <f t="shared" si="477"/>
        <v>229.3756314</v>
      </c>
      <c r="G481" s="152">
        <f t="shared" si="477"/>
        <v>1385.331268</v>
      </c>
      <c r="H481" s="152">
        <f t="shared" si="477"/>
        <v>12487.18446</v>
      </c>
      <c r="I481" s="152">
        <f t="shared" si="477"/>
        <v>183967.9573</v>
      </c>
      <c r="J481" s="152">
        <f t="shared" si="477"/>
        <v>4766292.189</v>
      </c>
      <c r="K481" s="152">
        <f t="shared" si="477"/>
        <v>230569214.8</v>
      </c>
      <c r="L481" s="152">
        <f t="shared" si="477"/>
        <v>24143608077</v>
      </c>
      <c r="M481" s="152">
        <f t="shared" si="477"/>
        <v>6877863427396</v>
      </c>
      <c r="N481" s="152">
        <f t="shared" si="477"/>
        <v>6.46469E+15</v>
      </c>
      <c r="O481" s="152">
        <f t="shared" si="477"/>
        <v>2.6509E+19</v>
      </c>
      <c r="P481" s="152">
        <f t="shared" si="477"/>
        <v>6.92862E+23</v>
      </c>
      <c r="Q481" s="152">
        <f t="shared" si="477"/>
        <v>2.04006E+29</v>
      </c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6">
        <v>478.0</v>
      </c>
      <c r="C482" s="152">
        <f t="shared" ref="C482:Q482" si="478">C481/(1-C$2*C$3^($B482-1))</f>
        <v>5.241157176</v>
      </c>
      <c r="D482" s="152">
        <f t="shared" si="478"/>
        <v>14.9839644</v>
      </c>
      <c r="E482" s="152">
        <f t="shared" si="478"/>
        <v>50.3225848</v>
      </c>
      <c r="F482" s="152">
        <f t="shared" si="478"/>
        <v>229.3756314</v>
      </c>
      <c r="G482" s="152">
        <f t="shared" si="478"/>
        <v>1385.331268</v>
      </c>
      <c r="H482" s="152">
        <f t="shared" si="478"/>
        <v>12487.18446</v>
      </c>
      <c r="I482" s="152">
        <f t="shared" si="478"/>
        <v>183967.9573</v>
      </c>
      <c r="J482" s="152">
        <f t="shared" si="478"/>
        <v>4766292.194</v>
      </c>
      <c r="K482" s="152">
        <f t="shared" si="478"/>
        <v>230569216.2</v>
      </c>
      <c r="L482" s="152">
        <f t="shared" si="478"/>
        <v>24143608747</v>
      </c>
      <c r="M482" s="152">
        <f t="shared" si="478"/>
        <v>6877864344898</v>
      </c>
      <c r="N482" s="152">
        <f t="shared" si="478"/>
        <v>6.46469E+15</v>
      </c>
      <c r="O482" s="152">
        <f t="shared" si="478"/>
        <v>2.65091E+19</v>
      </c>
      <c r="P482" s="152">
        <f t="shared" si="478"/>
        <v>6.92871E+23</v>
      </c>
      <c r="Q482" s="152">
        <f t="shared" si="478"/>
        <v>2.04018E+29</v>
      </c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6">
        <v>479.0</v>
      </c>
      <c r="C483" s="152">
        <f t="shared" ref="C483:Q483" si="479">C482/(1-C$2*C$3^($B483-1))</f>
        <v>5.241157176</v>
      </c>
      <c r="D483" s="152">
        <f t="shared" si="479"/>
        <v>14.9839644</v>
      </c>
      <c r="E483" s="152">
        <f t="shared" si="479"/>
        <v>50.3225848</v>
      </c>
      <c r="F483" s="152">
        <f t="shared" si="479"/>
        <v>229.3756314</v>
      </c>
      <c r="G483" s="152">
        <f t="shared" si="479"/>
        <v>1385.331268</v>
      </c>
      <c r="H483" s="152">
        <f t="shared" si="479"/>
        <v>12487.18446</v>
      </c>
      <c r="I483" s="152">
        <f t="shared" si="479"/>
        <v>183967.9574</v>
      </c>
      <c r="J483" s="152">
        <f t="shared" si="479"/>
        <v>4766292.199</v>
      </c>
      <c r="K483" s="152">
        <f t="shared" si="479"/>
        <v>230569217.4</v>
      </c>
      <c r="L483" s="152">
        <f t="shared" si="479"/>
        <v>24143609393</v>
      </c>
      <c r="M483" s="152">
        <f t="shared" si="479"/>
        <v>6877865233041</v>
      </c>
      <c r="N483" s="152">
        <f t="shared" si="479"/>
        <v>6.4647E+15</v>
      </c>
      <c r="O483" s="152">
        <f t="shared" si="479"/>
        <v>2.65092E+19</v>
      </c>
      <c r="P483" s="152">
        <f t="shared" si="479"/>
        <v>6.9288E+23</v>
      </c>
      <c r="Q483" s="152">
        <f t="shared" si="479"/>
        <v>2.0403E+29</v>
      </c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6">
        <v>480.0</v>
      </c>
      <c r="C484" s="152">
        <f t="shared" ref="C484:Q484" si="480">C483/(1-C$2*C$3^($B484-1))</f>
        <v>5.241157176</v>
      </c>
      <c r="D484" s="152">
        <f t="shared" si="480"/>
        <v>14.9839644</v>
      </c>
      <c r="E484" s="152">
        <f t="shared" si="480"/>
        <v>50.3225848</v>
      </c>
      <c r="F484" s="152">
        <f t="shared" si="480"/>
        <v>229.3756314</v>
      </c>
      <c r="G484" s="152">
        <f t="shared" si="480"/>
        <v>1385.331268</v>
      </c>
      <c r="H484" s="152">
        <f t="shared" si="480"/>
        <v>12487.18446</v>
      </c>
      <c r="I484" s="152">
        <f t="shared" si="480"/>
        <v>183967.9574</v>
      </c>
      <c r="J484" s="152">
        <f t="shared" si="480"/>
        <v>4766292.204</v>
      </c>
      <c r="K484" s="152">
        <f t="shared" si="480"/>
        <v>230569218.6</v>
      </c>
      <c r="L484" s="152">
        <f t="shared" si="480"/>
        <v>24143610016</v>
      </c>
      <c r="M484" s="152">
        <f t="shared" si="480"/>
        <v>6877866092764</v>
      </c>
      <c r="N484" s="152">
        <f t="shared" si="480"/>
        <v>6.4647E+15</v>
      </c>
      <c r="O484" s="152">
        <f t="shared" si="480"/>
        <v>2.65092E+19</v>
      </c>
      <c r="P484" s="152">
        <f t="shared" si="480"/>
        <v>6.92889E+23</v>
      </c>
      <c r="Q484" s="152">
        <f t="shared" si="480"/>
        <v>2.04042E+29</v>
      </c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6">
        <v>481.0</v>
      </c>
      <c r="C485" s="152">
        <f t="shared" ref="C485:Q485" si="481">C484/(1-C$2*C$3^($B485-1))</f>
        <v>5.241157176</v>
      </c>
      <c r="D485" s="152">
        <f t="shared" si="481"/>
        <v>14.9839644</v>
      </c>
      <c r="E485" s="152">
        <f t="shared" si="481"/>
        <v>50.3225848</v>
      </c>
      <c r="F485" s="152">
        <f t="shared" si="481"/>
        <v>229.3756314</v>
      </c>
      <c r="G485" s="152">
        <f t="shared" si="481"/>
        <v>1385.331269</v>
      </c>
      <c r="H485" s="152">
        <f t="shared" si="481"/>
        <v>12487.18446</v>
      </c>
      <c r="I485" s="152">
        <f t="shared" si="481"/>
        <v>183967.9574</v>
      </c>
      <c r="J485" s="152">
        <f t="shared" si="481"/>
        <v>4766292.209</v>
      </c>
      <c r="K485" s="152">
        <f t="shared" si="481"/>
        <v>230569219.8</v>
      </c>
      <c r="L485" s="152">
        <f t="shared" si="481"/>
        <v>24143610618</v>
      </c>
      <c r="M485" s="152">
        <f t="shared" si="481"/>
        <v>6877866924975</v>
      </c>
      <c r="N485" s="152">
        <f t="shared" si="481"/>
        <v>6.46471E+15</v>
      </c>
      <c r="O485" s="152">
        <f t="shared" si="481"/>
        <v>2.65093E+19</v>
      </c>
      <c r="P485" s="152">
        <f t="shared" si="481"/>
        <v>6.92897E+23</v>
      </c>
      <c r="Q485" s="152">
        <f t="shared" si="481"/>
        <v>2.04053E+29</v>
      </c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6">
        <v>482.0</v>
      </c>
      <c r="C486" s="152">
        <f t="shared" ref="C486:Q486" si="482">C485/(1-C$2*C$3^($B486-1))</f>
        <v>5.241157176</v>
      </c>
      <c r="D486" s="152">
        <f t="shared" si="482"/>
        <v>14.9839644</v>
      </c>
      <c r="E486" s="152">
        <f t="shared" si="482"/>
        <v>50.3225848</v>
      </c>
      <c r="F486" s="152">
        <f t="shared" si="482"/>
        <v>229.3756314</v>
      </c>
      <c r="G486" s="152">
        <f t="shared" si="482"/>
        <v>1385.331269</v>
      </c>
      <c r="H486" s="152">
        <f t="shared" si="482"/>
        <v>12487.18446</v>
      </c>
      <c r="I486" s="152">
        <f t="shared" si="482"/>
        <v>183967.9575</v>
      </c>
      <c r="J486" s="152">
        <f t="shared" si="482"/>
        <v>4766292.214</v>
      </c>
      <c r="K486" s="152">
        <f t="shared" si="482"/>
        <v>230569220.9</v>
      </c>
      <c r="L486" s="152">
        <f t="shared" si="482"/>
        <v>24143611199</v>
      </c>
      <c r="M486" s="152">
        <f t="shared" si="482"/>
        <v>6877867730556</v>
      </c>
      <c r="N486" s="152">
        <f t="shared" si="482"/>
        <v>6.46471E+15</v>
      </c>
      <c r="O486" s="152">
        <f t="shared" si="482"/>
        <v>2.65094E+19</v>
      </c>
      <c r="P486" s="152">
        <f t="shared" si="482"/>
        <v>6.92906E+23</v>
      </c>
      <c r="Q486" s="152">
        <f t="shared" si="482"/>
        <v>2.04064E+29</v>
      </c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6">
        <v>483.0</v>
      </c>
      <c r="C487" s="152">
        <f t="shared" ref="C487:Q487" si="483">C486/(1-C$2*C$3^($B487-1))</f>
        <v>5.241157176</v>
      </c>
      <c r="D487" s="152">
        <f t="shared" si="483"/>
        <v>14.9839644</v>
      </c>
      <c r="E487" s="152">
        <f t="shared" si="483"/>
        <v>50.3225848</v>
      </c>
      <c r="F487" s="152">
        <f t="shared" si="483"/>
        <v>229.3756314</v>
      </c>
      <c r="G487" s="152">
        <f t="shared" si="483"/>
        <v>1385.331269</v>
      </c>
      <c r="H487" s="152">
        <f t="shared" si="483"/>
        <v>12487.18446</v>
      </c>
      <c r="I487" s="152">
        <f t="shared" si="483"/>
        <v>183967.9575</v>
      </c>
      <c r="J487" s="152">
        <f t="shared" si="483"/>
        <v>4766292.218</v>
      </c>
      <c r="K487" s="152">
        <f t="shared" si="483"/>
        <v>230569222</v>
      </c>
      <c r="L487" s="152">
        <f t="shared" si="483"/>
        <v>24143611759</v>
      </c>
      <c r="M487" s="152">
        <f t="shared" si="483"/>
        <v>6877868510358</v>
      </c>
      <c r="N487" s="152">
        <f t="shared" si="483"/>
        <v>6.46471E+15</v>
      </c>
      <c r="O487" s="152">
        <f t="shared" si="483"/>
        <v>2.65094E+19</v>
      </c>
      <c r="P487" s="152">
        <f t="shared" si="483"/>
        <v>6.92914E+23</v>
      </c>
      <c r="Q487" s="152">
        <f t="shared" si="483"/>
        <v>2.04075E+29</v>
      </c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6">
        <v>484.0</v>
      </c>
      <c r="C488" s="152">
        <f t="shared" ref="C488:Q488" si="484">C487/(1-C$2*C$3^($B488-1))</f>
        <v>5.241157176</v>
      </c>
      <c r="D488" s="152">
        <f t="shared" si="484"/>
        <v>14.9839644</v>
      </c>
      <c r="E488" s="152">
        <f t="shared" si="484"/>
        <v>50.3225848</v>
      </c>
      <c r="F488" s="152">
        <f t="shared" si="484"/>
        <v>229.3756314</v>
      </c>
      <c r="G488" s="152">
        <f t="shared" si="484"/>
        <v>1385.331269</v>
      </c>
      <c r="H488" s="152">
        <f t="shared" si="484"/>
        <v>12487.18446</v>
      </c>
      <c r="I488" s="152">
        <f t="shared" si="484"/>
        <v>183967.9575</v>
      </c>
      <c r="J488" s="152">
        <f t="shared" si="484"/>
        <v>4766292.222</v>
      </c>
      <c r="K488" s="152">
        <f t="shared" si="484"/>
        <v>230569223</v>
      </c>
      <c r="L488" s="152">
        <f t="shared" si="484"/>
        <v>24143612299</v>
      </c>
      <c r="M488" s="152">
        <f t="shared" si="484"/>
        <v>6877869265206</v>
      </c>
      <c r="N488" s="152">
        <f t="shared" si="484"/>
        <v>6.46472E+15</v>
      </c>
      <c r="O488" s="152">
        <f t="shared" si="484"/>
        <v>2.65095E+19</v>
      </c>
      <c r="P488" s="152">
        <f t="shared" si="484"/>
        <v>6.92922E+23</v>
      </c>
      <c r="Q488" s="152">
        <f t="shared" si="484"/>
        <v>2.04086E+29</v>
      </c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6">
        <v>485.0</v>
      </c>
      <c r="C489" s="152">
        <f t="shared" ref="C489:Q489" si="485">C488/(1-C$2*C$3^($B489-1))</f>
        <v>5.241157176</v>
      </c>
      <c r="D489" s="152">
        <f t="shared" si="485"/>
        <v>14.9839644</v>
      </c>
      <c r="E489" s="152">
        <f t="shared" si="485"/>
        <v>50.3225848</v>
      </c>
      <c r="F489" s="152">
        <f t="shared" si="485"/>
        <v>229.3756314</v>
      </c>
      <c r="G489" s="152">
        <f t="shared" si="485"/>
        <v>1385.331269</v>
      </c>
      <c r="H489" s="152">
        <f t="shared" si="485"/>
        <v>12487.18446</v>
      </c>
      <c r="I489" s="152">
        <f t="shared" si="485"/>
        <v>183967.9576</v>
      </c>
      <c r="J489" s="152">
        <f t="shared" si="485"/>
        <v>4766292.226</v>
      </c>
      <c r="K489" s="152">
        <f t="shared" si="485"/>
        <v>230569224</v>
      </c>
      <c r="L489" s="152">
        <f t="shared" si="485"/>
        <v>24143612821</v>
      </c>
      <c r="M489" s="152">
        <f t="shared" si="485"/>
        <v>6877869995900</v>
      </c>
      <c r="N489" s="152">
        <f t="shared" si="485"/>
        <v>6.46472E+15</v>
      </c>
      <c r="O489" s="152">
        <f t="shared" si="485"/>
        <v>2.65096E+19</v>
      </c>
      <c r="P489" s="152">
        <f t="shared" si="485"/>
        <v>6.9293E+23</v>
      </c>
      <c r="Q489" s="152">
        <f t="shared" si="485"/>
        <v>2.04097E+29</v>
      </c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6">
        <v>486.0</v>
      </c>
      <c r="C490" s="152">
        <f t="shared" ref="C490:Q490" si="486">C489/(1-C$2*C$3^($B490-1))</f>
        <v>5.241157176</v>
      </c>
      <c r="D490" s="152">
        <f t="shared" si="486"/>
        <v>14.9839644</v>
      </c>
      <c r="E490" s="152">
        <f t="shared" si="486"/>
        <v>50.3225848</v>
      </c>
      <c r="F490" s="152">
        <f t="shared" si="486"/>
        <v>229.3756314</v>
      </c>
      <c r="G490" s="152">
        <f t="shared" si="486"/>
        <v>1385.331269</v>
      </c>
      <c r="H490" s="152">
        <f t="shared" si="486"/>
        <v>12487.18446</v>
      </c>
      <c r="I490" s="152">
        <f t="shared" si="486"/>
        <v>183967.9576</v>
      </c>
      <c r="J490" s="152">
        <f t="shared" si="486"/>
        <v>4766292.23</v>
      </c>
      <c r="K490" s="152">
        <f t="shared" si="486"/>
        <v>230569225</v>
      </c>
      <c r="L490" s="152">
        <f t="shared" si="486"/>
        <v>24143613325</v>
      </c>
      <c r="M490" s="152">
        <f t="shared" si="486"/>
        <v>6877870703211</v>
      </c>
      <c r="N490" s="152">
        <f t="shared" si="486"/>
        <v>6.46472E+15</v>
      </c>
      <c r="O490" s="152">
        <f t="shared" si="486"/>
        <v>2.65096E+19</v>
      </c>
      <c r="P490" s="152">
        <f t="shared" si="486"/>
        <v>6.92938E+23</v>
      </c>
      <c r="Q490" s="152">
        <f t="shared" si="486"/>
        <v>2.04107E+29</v>
      </c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6">
        <v>487.0</v>
      </c>
      <c r="C491" s="152">
        <f t="shared" ref="C491:Q491" si="487">C490/(1-C$2*C$3^($B491-1))</f>
        <v>5.241157176</v>
      </c>
      <c r="D491" s="152">
        <f t="shared" si="487"/>
        <v>14.9839644</v>
      </c>
      <c r="E491" s="152">
        <f t="shared" si="487"/>
        <v>50.3225848</v>
      </c>
      <c r="F491" s="152">
        <f t="shared" si="487"/>
        <v>229.3756314</v>
      </c>
      <c r="G491" s="152">
        <f t="shared" si="487"/>
        <v>1385.331269</v>
      </c>
      <c r="H491" s="152">
        <f t="shared" si="487"/>
        <v>12487.18447</v>
      </c>
      <c r="I491" s="152">
        <f t="shared" si="487"/>
        <v>183967.9576</v>
      </c>
      <c r="J491" s="152">
        <f t="shared" si="487"/>
        <v>4766292.234</v>
      </c>
      <c r="K491" s="152">
        <f t="shared" si="487"/>
        <v>230569225.9</v>
      </c>
      <c r="L491" s="152">
        <f t="shared" si="487"/>
        <v>24143613810</v>
      </c>
      <c r="M491" s="152">
        <f t="shared" si="487"/>
        <v>6877871387889</v>
      </c>
      <c r="N491" s="152">
        <f t="shared" si="487"/>
        <v>6.46473E+15</v>
      </c>
      <c r="O491" s="152">
        <f t="shared" si="487"/>
        <v>2.65097E+19</v>
      </c>
      <c r="P491" s="152">
        <f t="shared" si="487"/>
        <v>6.92945E+23</v>
      </c>
      <c r="Q491" s="152">
        <f t="shared" si="487"/>
        <v>2.04117E+29</v>
      </c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6">
        <v>488.0</v>
      </c>
      <c r="C492" s="152">
        <f t="shared" ref="C492:Q492" si="488">C491/(1-C$2*C$3^($B492-1))</f>
        <v>5.241157176</v>
      </c>
      <c r="D492" s="152">
        <f t="shared" si="488"/>
        <v>14.9839644</v>
      </c>
      <c r="E492" s="152">
        <f t="shared" si="488"/>
        <v>50.3225848</v>
      </c>
      <c r="F492" s="152">
        <f t="shared" si="488"/>
        <v>229.3756314</v>
      </c>
      <c r="G492" s="152">
        <f t="shared" si="488"/>
        <v>1385.331269</v>
      </c>
      <c r="H492" s="152">
        <f t="shared" si="488"/>
        <v>12487.18447</v>
      </c>
      <c r="I492" s="152">
        <f t="shared" si="488"/>
        <v>183967.9576</v>
      </c>
      <c r="J492" s="152">
        <f t="shared" si="488"/>
        <v>4766292.237</v>
      </c>
      <c r="K492" s="152">
        <f t="shared" si="488"/>
        <v>230569226.8</v>
      </c>
      <c r="L492" s="152">
        <f t="shared" si="488"/>
        <v>24143614279</v>
      </c>
      <c r="M492" s="152">
        <f t="shared" si="488"/>
        <v>6877872050657</v>
      </c>
      <c r="N492" s="152">
        <f t="shared" si="488"/>
        <v>6.46473E+15</v>
      </c>
      <c r="O492" s="152">
        <f t="shared" si="488"/>
        <v>2.65098E+19</v>
      </c>
      <c r="P492" s="152">
        <f t="shared" si="488"/>
        <v>6.92952E+23</v>
      </c>
      <c r="Q492" s="152">
        <f t="shared" si="488"/>
        <v>2.04127E+29</v>
      </c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6">
        <v>489.0</v>
      </c>
      <c r="C493" s="152">
        <f t="shared" ref="C493:Q493" si="489">C492/(1-C$2*C$3^($B493-1))</f>
        <v>5.241157176</v>
      </c>
      <c r="D493" s="152">
        <f t="shared" si="489"/>
        <v>14.9839644</v>
      </c>
      <c r="E493" s="152">
        <f t="shared" si="489"/>
        <v>50.3225848</v>
      </c>
      <c r="F493" s="152">
        <f t="shared" si="489"/>
        <v>229.3756314</v>
      </c>
      <c r="G493" s="152">
        <f t="shared" si="489"/>
        <v>1385.331269</v>
      </c>
      <c r="H493" s="152">
        <f t="shared" si="489"/>
        <v>12487.18447</v>
      </c>
      <c r="I493" s="152">
        <f t="shared" si="489"/>
        <v>183967.9577</v>
      </c>
      <c r="J493" s="152">
        <f t="shared" si="489"/>
        <v>4766292.241</v>
      </c>
      <c r="K493" s="152">
        <f t="shared" si="489"/>
        <v>230569227.6</v>
      </c>
      <c r="L493" s="152">
        <f t="shared" si="489"/>
        <v>24143614732</v>
      </c>
      <c r="M493" s="152">
        <f t="shared" si="489"/>
        <v>6877872692216</v>
      </c>
      <c r="N493" s="152">
        <f t="shared" si="489"/>
        <v>6.46473E+15</v>
      </c>
      <c r="O493" s="152">
        <f t="shared" si="489"/>
        <v>2.65098E+19</v>
      </c>
      <c r="P493" s="152">
        <f t="shared" si="489"/>
        <v>6.92959E+23</v>
      </c>
      <c r="Q493" s="152">
        <f t="shared" si="489"/>
        <v>2.04137E+29</v>
      </c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6">
        <v>490.0</v>
      </c>
      <c r="C494" s="152">
        <f t="shared" ref="C494:Q494" si="490">C493/(1-C$2*C$3^($B494-1))</f>
        <v>5.241157176</v>
      </c>
      <c r="D494" s="152">
        <f t="shared" si="490"/>
        <v>14.9839644</v>
      </c>
      <c r="E494" s="152">
        <f t="shared" si="490"/>
        <v>50.3225848</v>
      </c>
      <c r="F494" s="152">
        <f t="shared" si="490"/>
        <v>229.3756314</v>
      </c>
      <c r="G494" s="152">
        <f t="shared" si="490"/>
        <v>1385.331269</v>
      </c>
      <c r="H494" s="152">
        <f t="shared" si="490"/>
        <v>12487.18447</v>
      </c>
      <c r="I494" s="152">
        <f t="shared" si="490"/>
        <v>183967.9577</v>
      </c>
      <c r="J494" s="152">
        <f t="shared" si="490"/>
        <v>4766292.244</v>
      </c>
      <c r="K494" s="152">
        <f t="shared" si="490"/>
        <v>230569228.4</v>
      </c>
      <c r="L494" s="152">
        <f t="shared" si="490"/>
        <v>24143615168</v>
      </c>
      <c r="M494" s="152">
        <f t="shared" si="490"/>
        <v>6877873313246</v>
      </c>
      <c r="N494" s="152">
        <f t="shared" si="490"/>
        <v>6.46474E+15</v>
      </c>
      <c r="O494" s="152">
        <f t="shared" si="490"/>
        <v>2.65099E+19</v>
      </c>
      <c r="P494" s="152">
        <f t="shared" si="490"/>
        <v>6.92966E+23</v>
      </c>
      <c r="Q494" s="152">
        <f t="shared" si="490"/>
        <v>2.04147E+29</v>
      </c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6">
        <v>491.0</v>
      </c>
      <c r="C495" s="152">
        <f t="shared" ref="C495:Q495" si="491">C494/(1-C$2*C$3^($B495-1))</f>
        <v>5.241157176</v>
      </c>
      <c r="D495" s="152">
        <f t="shared" si="491"/>
        <v>14.9839644</v>
      </c>
      <c r="E495" s="152">
        <f t="shared" si="491"/>
        <v>50.3225848</v>
      </c>
      <c r="F495" s="152">
        <f t="shared" si="491"/>
        <v>229.3756314</v>
      </c>
      <c r="G495" s="152">
        <f t="shared" si="491"/>
        <v>1385.331269</v>
      </c>
      <c r="H495" s="152">
        <f t="shared" si="491"/>
        <v>12487.18447</v>
      </c>
      <c r="I495" s="152">
        <f t="shared" si="491"/>
        <v>183967.9577</v>
      </c>
      <c r="J495" s="152">
        <f t="shared" si="491"/>
        <v>4766292.247</v>
      </c>
      <c r="K495" s="152">
        <f t="shared" si="491"/>
        <v>230569229.2</v>
      </c>
      <c r="L495" s="152">
        <f t="shared" si="491"/>
        <v>24143615590</v>
      </c>
      <c r="M495" s="152">
        <f t="shared" si="491"/>
        <v>6877873914402</v>
      </c>
      <c r="N495" s="152">
        <f t="shared" si="491"/>
        <v>6.46474E+15</v>
      </c>
      <c r="O495" s="152">
        <f t="shared" si="491"/>
        <v>2.65099E+19</v>
      </c>
      <c r="P495" s="152">
        <f t="shared" si="491"/>
        <v>6.92973E+23</v>
      </c>
      <c r="Q495" s="152">
        <f t="shared" si="491"/>
        <v>2.04156E+29</v>
      </c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6">
        <v>492.0</v>
      </c>
      <c r="C496" s="152">
        <f t="shared" ref="C496:Q496" si="492">C495/(1-C$2*C$3^($B496-1))</f>
        <v>5.241157176</v>
      </c>
      <c r="D496" s="152">
        <f t="shared" si="492"/>
        <v>14.9839644</v>
      </c>
      <c r="E496" s="152">
        <f t="shared" si="492"/>
        <v>50.3225848</v>
      </c>
      <c r="F496" s="152">
        <f t="shared" si="492"/>
        <v>229.3756314</v>
      </c>
      <c r="G496" s="152">
        <f t="shared" si="492"/>
        <v>1385.331269</v>
      </c>
      <c r="H496" s="152">
        <f t="shared" si="492"/>
        <v>12487.18447</v>
      </c>
      <c r="I496" s="152">
        <f t="shared" si="492"/>
        <v>183967.9577</v>
      </c>
      <c r="J496" s="152">
        <f t="shared" si="492"/>
        <v>4766292.25</v>
      </c>
      <c r="K496" s="152">
        <f t="shared" si="492"/>
        <v>230569230</v>
      </c>
      <c r="L496" s="152">
        <f t="shared" si="492"/>
        <v>24143615996</v>
      </c>
      <c r="M496" s="152">
        <f t="shared" si="492"/>
        <v>6877874496322</v>
      </c>
      <c r="N496" s="152">
        <f t="shared" si="492"/>
        <v>6.46474E+15</v>
      </c>
      <c r="O496" s="152">
        <f t="shared" si="492"/>
        <v>2.651E+19</v>
      </c>
      <c r="P496" s="152">
        <f t="shared" si="492"/>
        <v>6.9298E+23</v>
      </c>
      <c r="Q496" s="152">
        <f t="shared" si="492"/>
        <v>2.04165E+29</v>
      </c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6">
        <v>493.0</v>
      </c>
      <c r="C497" s="152">
        <f t="shared" ref="C497:Q497" si="493">C496/(1-C$2*C$3^($B497-1))</f>
        <v>5.241157176</v>
      </c>
      <c r="D497" s="152">
        <f t="shared" si="493"/>
        <v>14.9839644</v>
      </c>
      <c r="E497" s="152">
        <f t="shared" si="493"/>
        <v>50.3225848</v>
      </c>
      <c r="F497" s="152">
        <f t="shared" si="493"/>
        <v>229.3756314</v>
      </c>
      <c r="G497" s="152">
        <f t="shared" si="493"/>
        <v>1385.331269</v>
      </c>
      <c r="H497" s="152">
        <f t="shared" si="493"/>
        <v>12487.18447</v>
      </c>
      <c r="I497" s="152">
        <f t="shared" si="493"/>
        <v>183967.9578</v>
      </c>
      <c r="J497" s="152">
        <f t="shared" si="493"/>
        <v>4766292.253</v>
      </c>
      <c r="K497" s="152">
        <f t="shared" si="493"/>
        <v>230569230.7</v>
      </c>
      <c r="L497" s="152">
        <f t="shared" si="493"/>
        <v>24143616388</v>
      </c>
      <c r="M497" s="152">
        <f t="shared" si="493"/>
        <v>6877875059620</v>
      </c>
      <c r="N497" s="152">
        <f t="shared" si="493"/>
        <v>6.46474E+15</v>
      </c>
      <c r="O497" s="152">
        <f t="shared" si="493"/>
        <v>2.651E+19</v>
      </c>
      <c r="P497" s="152">
        <f t="shared" si="493"/>
        <v>6.92986E+23</v>
      </c>
      <c r="Q497" s="152">
        <f t="shared" si="493"/>
        <v>2.04174E+29</v>
      </c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6">
        <v>494.0</v>
      </c>
      <c r="C498" s="152">
        <f t="shared" ref="C498:Q498" si="494">C497/(1-C$2*C$3^($B498-1))</f>
        <v>5.241157176</v>
      </c>
      <c r="D498" s="152">
        <f t="shared" si="494"/>
        <v>14.9839644</v>
      </c>
      <c r="E498" s="152">
        <f t="shared" si="494"/>
        <v>50.3225848</v>
      </c>
      <c r="F498" s="152">
        <f t="shared" si="494"/>
        <v>229.3756314</v>
      </c>
      <c r="G498" s="152">
        <f t="shared" si="494"/>
        <v>1385.331269</v>
      </c>
      <c r="H498" s="152">
        <f t="shared" si="494"/>
        <v>12487.18447</v>
      </c>
      <c r="I498" s="152">
        <f t="shared" si="494"/>
        <v>183967.9578</v>
      </c>
      <c r="J498" s="152">
        <f t="shared" si="494"/>
        <v>4766292.256</v>
      </c>
      <c r="K498" s="152">
        <f t="shared" si="494"/>
        <v>230569231.4</v>
      </c>
      <c r="L498" s="152">
        <f t="shared" si="494"/>
        <v>24143616767</v>
      </c>
      <c r="M498" s="152">
        <f t="shared" si="494"/>
        <v>6877875604893</v>
      </c>
      <c r="N498" s="152">
        <f t="shared" si="494"/>
        <v>6.46475E+15</v>
      </c>
      <c r="O498" s="152">
        <f t="shared" si="494"/>
        <v>2.65101E+19</v>
      </c>
      <c r="P498" s="152">
        <f t="shared" si="494"/>
        <v>6.92993E+23</v>
      </c>
      <c r="Q498" s="152">
        <f t="shared" si="494"/>
        <v>2.04183E+29</v>
      </c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6">
        <v>495.0</v>
      </c>
      <c r="C499" s="152">
        <f t="shared" ref="C499:Q499" si="495">C498/(1-C$2*C$3^($B499-1))</f>
        <v>5.241157176</v>
      </c>
      <c r="D499" s="152">
        <f t="shared" si="495"/>
        <v>14.9839644</v>
      </c>
      <c r="E499" s="152">
        <f t="shared" si="495"/>
        <v>50.3225848</v>
      </c>
      <c r="F499" s="152">
        <f t="shared" si="495"/>
        <v>229.3756314</v>
      </c>
      <c r="G499" s="152">
        <f t="shared" si="495"/>
        <v>1385.331269</v>
      </c>
      <c r="H499" s="152">
        <f t="shared" si="495"/>
        <v>12487.18447</v>
      </c>
      <c r="I499" s="152">
        <f t="shared" si="495"/>
        <v>183967.9578</v>
      </c>
      <c r="J499" s="152">
        <f t="shared" si="495"/>
        <v>4766292.258</v>
      </c>
      <c r="K499" s="152">
        <f t="shared" si="495"/>
        <v>230569232.1</v>
      </c>
      <c r="L499" s="152">
        <f t="shared" si="495"/>
        <v>24143617132</v>
      </c>
      <c r="M499" s="152">
        <f t="shared" si="495"/>
        <v>6877876132717</v>
      </c>
      <c r="N499" s="152">
        <f t="shared" si="495"/>
        <v>6.46475E+15</v>
      </c>
      <c r="O499" s="152">
        <f t="shared" si="495"/>
        <v>2.65101E+19</v>
      </c>
      <c r="P499" s="152">
        <f t="shared" si="495"/>
        <v>6.92999E+23</v>
      </c>
      <c r="Q499" s="152">
        <f t="shared" si="495"/>
        <v>2.04192E+29</v>
      </c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6">
        <v>496.0</v>
      </c>
      <c r="C500" s="152">
        <f t="shared" ref="C500:Q500" si="496">C499/(1-C$2*C$3^($B500-1))</f>
        <v>5.241157176</v>
      </c>
      <c r="D500" s="152">
        <f t="shared" si="496"/>
        <v>14.9839644</v>
      </c>
      <c r="E500" s="152">
        <f t="shared" si="496"/>
        <v>50.3225848</v>
      </c>
      <c r="F500" s="152">
        <f t="shared" si="496"/>
        <v>229.3756314</v>
      </c>
      <c r="G500" s="152">
        <f t="shared" si="496"/>
        <v>1385.331269</v>
      </c>
      <c r="H500" s="152">
        <f t="shared" si="496"/>
        <v>12487.18447</v>
      </c>
      <c r="I500" s="152">
        <f t="shared" si="496"/>
        <v>183967.9578</v>
      </c>
      <c r="J500" s="152">
        <f t="shared" si="496"/>
        <v>4766292.261</v>
      </c>
      <c r="K500" s="152">
        <f t="shared" si="496"/>
        <v>230569232.7</v>
      </c>
      <c r="L500" s="152">
        <f t="shared" si="496"/>
        <v>24143617485</v>
      </c>
      <c r="M500" s="152">
        <f t="shared" si="496"/>
        <v>6877876643651</v>
      </c>
      <c r="N500" s="152">
        <f t="shared" si="496"/>
        <v>6.46475E+15</v>
      </c>
      <c r="O500" s="152">
        <f t="shared" si="496"/>
        <v>2.65102E+19</v>
      </c>
      <c r="P500" s="152">
        <f t="shared" si="496"/>
        <v>6.93005E+23</v>
      </c>
      <c r="Q500" s="152">
        <f t="shared" si="496"/>
        <v>2.042E+29</v>
      </c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6">
        <v>497.0</v>
      </c>
      <c r="C501" s="152">
        <f t="shared" ref="C501:Q501" si="497">C500/(1-C$2*C$3^($B501-1))</f>
        <v>5.241157176</v>
      </c>
      <c r="D501" s="152">
        <f t="shared" si="497"/>
        <v>14.9839644</v>
      </c>
      <c r="E501" s="152">
        <f t="shared" si="497"/>
        <v>50.3225848</v>
      </c>
      <c r="F501" s="152">
        <f t="shared" si="497"/>
        <v>229.3756314</v>
      </c>
      <c r="G501" s="152">
        <f t="shared" si="497"/>
        <v>1385.331269</v>
      </c>
      <c r="H501" s="152">
        <f t="shared" si="497"/>
        <v>12487.18447</v>
      </c>
      <c r="I501" s="152">
        <f t="shared" si="497"/>
        <v>183967.9578</v>
      </c>
      <c r="J501" s="152">
        <f t="shared" si="497"/>
        <v>4766292.263</v>
      </c>
      <c r="K501" s="152">
        <f t="shared" si="497"/>
        <v>230569233.4</v>
      </c>
      <c r="L501" s="152">
        <f t="shared" si="497"/>
        <v>24143617825</v>
      </c>
      <c r="M501" s="152">
        <f t="shared" si="497"/>
        <v>6877877138235</v>
      </c>
      <c r="N501" s="152">
        <f t="shared" si="497"/>
        <v>6.46475E+15</v>
      </c>
      <c r="O501" s="152">
        <f t="shared" si="497"/>
        <v>2.65102E+19</v>
      </c>
      <c r="P501" s="152">
        <f t="shared" si="497"/>
        <v>6.93011E+23</v>
      </c>
      <c r="Q501" s="152">
        <f t="shared" si="497"/>
        <v>2.04208E+29</v>
      </c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6">
        <v>498.0</v>
      </c>
      <c r="C502" s="152">
        <f t="shared" ref="C502:Q502" si="498">C501/(1-C$2*C$3^($B502-1))</f>
        <v>5.241157176</v>
      </c>
      <c r="D502" s="152">
        <f t="shared" si="498"/>
        <v>14.9839644</v>
      </c>
      <c r="E502" s="152">
        <f t="shared" si="498"/>
        <v>50.3225848</v>
      </c>
      <c r="F502" s="152">
        <f t="shared" si="498"/>
        <v>229.3756314</v>
      </c>
      <c r="G502" s="152">
        <f t="shared" si="498"/>
        <v>1385.331269</v>
      </c>
      <c r="H502" s="152">
        <f t="shared" si="498"/>
        <v>12487.18447</v>
      </c>
      <c r="I502" s="152">
        <f t="shared" si="498"/>
        <v>183967.9578</v>
      </c>
      <c r="J502" s="152">
        <f t="shared" si="498"/>
        <v>4766292.266</v>
      </c>
      <c r="K502" s="152">
        <f t="shared" si="498"/>
        <v>230569234</v>
      </c>
      <c r="L502" s="152">
        <f t="shared" si="498"/>
        <v>24143618153</v>
      </c>
      <c r="M502" s="152">
        <f t="shared" si="498"/>
        <v>6877877616992</v>
      </c>
      <c r="N502" s="152">
        <f t="shared" si="498"/>
        <v>6.46476E+15</v>
      </c>
      <c r="O502" s="152">
        <f t="shared" si="498"/>
        <v>2.65103E+19</v>
      </c>
      <c r="P502" s="152">
        <f t="shared" si="498"/>
        <v>6.93017E+23</v>
      </c>
      <c r="Q502" s="152">
        <f t="shared" si="498"/>
        <v>2.04217E+29</v>
      </c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6">
        <v>499.0</v>
      </c>
      <c r="C503" s="152">
        <f t="shared" ref="C503:Q503" si="499">C502/(1-C$2*C$3^($B503-1))</f>
        <v>5.241157176</v>
      </c>
      <c r="D503" s="152">
        <f t="shared" si="499"/>
        <v>14.9839644</v>
      </c>
      <c r="E503" s="152">
        <f t="shared" si="499"/>
        <v>50.3225848</v>
      </c>
      <c r="F503" s="152">
        <f t="shared" si="499"/>
        <v>229.3756314</v>
      </c>
      <c r="G503" s="152">
        <f t="shared" si="499"/>
        <v>1385.331269</v>
      </c>
      <c r="H503" s="152">
        <f t="shared" si="499"/>
        <v>12487.18447</v>
      </c>
      <c r="I503" s="152">
        <f t="shared" si="499"/>
        <v>183967.9579</v>
      </c>
      <c r="J503" s="152">
        <f t="shared" si="499"/>
        <v>4766292.268</v>
      </c>
      <c r="K503" s="152">
        <f t="shared" si="499"/>
        <v>230569234.6</v>
      </c>
      <c r="L503" s="152">
        <f t="shared" si="499"/>
        <v>24143618470</v>
      </c>
      <c r="M503" s="152">
        <f t="shared" si="499"/>
        <v>6877878080429</v>
      </c>
      <c r="N503" s="152">
        <f t="shared" si="499"/>
        <v>6.46476E+15</v>
      </c>
      <c r="O503" s="152">
        <f t="shared" si="499"/>
        <v>2.65103E+19</v>
      </c>
      <c r="P503" s="152">
        <f t="shared" si="499"/>
        <v>6.93023E+23</v>
      </c>
      <c r="Q503" s="152">
        <f t="shared" si="499"/>
        <v>2.04224E+29</v>
      </c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6">
        <v>500.0</v>
      </c>
      <c r="C504" s="152">
        <f t="shared" ref="C504:Q504" si="500">C503/(1-C$2*C$3^($B504-1))</f>
        <v>5.241157176</v>
      </c>
      <c r="D504" s="152">
        <f t="shared" si="500"/>
        <v>14.9839644</v>
      </c>
      <c r="E504" s="152">
        <f t="shared" si="500"/>
        <v>50.3225848</v>
      </c>
      <c r="F504" s="152">
        <f t="shared" si="500"/>
        <v>229.3756314</v>
      </c>
      <c r="G504" s="152">
        <f t="shared" si="500"/>
        <v>1385.331269</v>
      </c>
      <c r="H504" s="152">
        <f t="shared" si="500"/>
        <v>12487.18447</v>
      </c>
      <c r="I504" s="152">
        <f t="shared" si="500"/>
        <v>183967.9579</v>
      </c>
      <c r="J504" s="152">
        <f t="shared" si="500"/>
        <v>4766292.27</v>
      </c>
      <c r="K504" s="152">
        <f t="shared" si="500"/>
        <v>230569235.1</v>
      </c>
      <c r="L504" s="152">
        <f t="shared" si="500"/>
        <v>24143618776</v>
      </c>
      <c r="M504" s="152">
        <f t="shared" si="500"/>
        <v>6877878529036</v>
      </c>
      <c r="N504" s="152">
        <f t="shared" si="500"/>
        <v>6.46476E+15</v>
      </c>
      <c r="O504" s="152">
        <f t="shared" si="500"/>
        <v>2.65104E+19</v>
      </c>
      <c r="P504" s="152">
        <f t="shared" si="500"/>
        <v>6.93028E+23</v>
      </c>
      <c r="Q504" s="152">
        <f t="shared" si="500"/>
        <v>2.04232E+29</v>
      </c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1.22"/>
    <col customWidth="1" min="3" max="3" width="5.11"/>
    <col customWidth="1" min="4" max="4" width="11.22"/>
    <col customWidth="1" min="5" max="5" width="5.11"/>
    <col customWidth="1" min="6" max="6" width="11.22"/>
    <col customWidth="1" min="7" max="7" width="5.11"/>
    <col customWidth="1" min="8" max="10" width="9.56"/>
    <col customWidth="1" min="11" max="26" width="6.78"/>
  </cols>
  <sheetData>
    <row r="1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 ht="16.5" customHeight="1">
      <c r="A2" s="4"/>
      <c r="B2" s="115" t="s">
        <v>153</v>
      </c>
      <c r="C2" s="157">
        <f>'技能模擬器'!J3</f>
        <v>0</v>
      </c>
      <c r="D2" s="158"/>
      <c r="E2" s="158"/>
      <c r="F2" s="159"/>
      <c r="G2" s="159"/>
      <c r="H2" s="160" t="s">
        <v>7</v>
      </c>
      <c r="I2" s="147" t="s">
        <v>28</v>
      </c>
      <c r="J2" s="147" t="s">
        <v>154</v>
      </c>
      <c r="K2" s="4"/>
      <c r="L2" s="1"/>
      <c r="M2" s="1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</row>
    <row r="3" ht="16.5" customHeight="1">
      <c r="A3" s="4"/>
      <c r="B3" s="158"/>
      <c r="C3" s="161"/>
      <c r="D3" s="115" t="s">
        <v>18</v>
      </c>
      <c r="E3" s="75">
        <f>'skill data'!Q122+0</f>
        <v>0</v>
      </c>
      <c r="F3" s="158"/>
      <c r="G3" s="158"/>
      <c r="H3" s="78" t="str">
        <f>HLOOKUP('skill data'!AL12,'skill data'!H79:L80,2,FALSE)</f>
        <v>寵物流</v>
      </c>
      <c r="I3" s="111" t="str">
        <f>'技能模擬器'!C3&amp;"黃金"</f>
        <v>頭目黃金</v>
      </c>
      <c r="J3" s="111" t="s">
        <v>155</v>
      </c>
      <c r="K3" s="4"/>
      <c r="L3" s="1"/>
      <c r="M3" s="1"/>
      <c r="N3" s="4"/>
      <c r="O3" s="4"/>
      <c r="P3" s="4"/>
      <c r="Q3" s="4"/>
      <c r="R3" s="4"/>
      <c r="S3" s="1"/>
      <c r="T3" s="1"/>
      <c r="U3" s="1"/>
      <c r="V3" s="1"/>
      <c r="W3" s="1"/>
      <c r="X3" s="1"/>
      <c r="Y3" s="1"/>
      <c r="Z3" s="1"/>
    </row>
    <row r="4" ht="16.5" customHeight="1">
      <c r="A4" s="4"/>
      <c r="B4" s="115" t="s">
        <v>56</v>
      </c>
      <c r="C4" s="162">
        <f>'skill data'!L128+0</f>
        <v>0</v>
      </c>
      <c r="D4" s="115" t="s">
        <v>58</v>
      </c>
      <c r="E4" s="75">
        <f>'skill data'!Q128+0</f>
        <v>0</v>
      </c>
      <c r="F4" s="115" t="s">
        <v>59</v>
      </c>
      <c r="G4" s="75">
        <f>'skill data'!V128+0</f>
        <v>0</v>
      </c>
      <c r="H4" s="160" t="s">
        <v>15</v>
      </c>
      <c r="I4" s="160" t="s">
        <v>156</v>
      </c>
      <c r="J4" s="160" t="s">
        <v>157</v>
      </c>
      <c r="K4" s="4"/>
      <c r="L4" s="1"/>
      <c r="M4" s="1"/>
      <c r="N4" s="4"/>
      <c r="O4" s="4"/>
      <c r="P4" s="4"/>
      <c r="Q4" s="4"/>
      <c r="R4" s="4"/>
      <c r="S4" s="1"/>
      <c r="T4" s="1"/>
      <c r="U4" s="1"/>
      <c r="V4" s="1"/>
      <c r="W4" s="1"/>
      <c r="X4" s="1"/>
      <c r="Y4" s="1"/>
      <c r="Z4" s="1"/>
    </row>
    <row r="5" ht="16.5" customHeight="1">
      <c r="A5" s="4"/>
      <c r="B5" s="115" t="s">
        <v>81</v>
      </c>
      <c r="C5" s="162">
        <f>'skill data'!L134+0</f>
        <v>0</v>
      </c>
      <c r="D5" s="115" t="s">
        <v>82</v>
      </c>
      <c r="E5" s="75">
        <f>'skill data'!Q134+0</f>
        <v>0</v>
      </c>
      <c r="F5" s="115" t="s">
        <v>83</v>
      </c>
      <c r="G5" s="75">
        <f>'skill data'!V134+0</f>
        <v>0</v>
      </c>
      <c r="H5" s="78">
        <f>'技能模擬器'!K3</f>
        <v>0</v>
      </c>
      <c r="I5" s="78">
        <f>H5-J5</f>
        <v>0</v>
      </c>
      <c r="J5" s="78">
        <f>'技能模擬器'!AA14+'技能模擬器'!AF2+'技能模擬器'!AK14+'技能模擬器'!AA20+'技能模擬器'!AF14+'技能模擬器'!AK33</f>
        <v>0</v>
      </c>
      <c r="K5" s="1"/>
      <c r="L5" s="1"/>
      <c r="M5" s="1"/>
      <c r="N5" s="1"/>
      <c r="O5" s="1"/>
      <c r="P5" s="4"/>
      <c r="Q5" s="4"/>
      <c r="R5" s="4"/>
      <c r="S5" s="1"/>
      <c r="T5" s="1"/>
      <c r="U5" s="1"/>
      <c r="V5" s="1"/>
      <c r="W5" s="1"/>
      <c r="X5" s="1"/>
      <c r="Y5" s="1"/>
      <c r="Z5" s="1"/>
    </row>
    <row r="6" ht="16.5" customHeight="1">
      <c r="A6" s="4"/>
      <c r="B6" s="115" t="s">
        <v>106</v>
      </c>
      <c r="C6" s="162">
        <f>'skill data'!L140+0</f>
        <v>0</v>
      </c>
      <c r="D6" s="159"/>
      <c r="E6" s="159"/>
      <c r="F6" s="115" t="s">
        <v>107</v>
      </c>
      <c r="G6" s="75">
        <f>'skill data'!V140+0</f>
        <v>0</v>
      </c>
      <c r="H6" s="160" t="s">
        <v>147</v>
      </c>
      <c r="I6" s="163" t="s">
        <v>158</v>
      </c>
      <c r="J6" s="163" t="s">
        <v>159</v>
      </c>
      <c r="K6" s="67" t="s">
        <v>34</v>
      </c>
      <c r="L6" s="5"/>
      <c r="M6" s="7"/>
      <c r="N6" s="20"/>
      <c r="O6" s="1"/>
      <c r="P6" s="4"/>
      <c r="Q6" s="4"/>
      <c r="R6" s="4"/>
      <c r="S6" s="1"/>
      <c r="T6" s="1"/>
      <c r="U6" s="1"/>
      <c r="V6" s="1"/>
      <c r="W6" s="1"/>
      <c r="X6" s="1"/>
      <c r="Y6" s="1"/>
      <c r="Z6" s="1"/>
    </row>
    <row r="7" ht="16.5" customHeight="1">
      <c r="A7" s="4"/>
      <c r="B7" s="154" t="s">
        <v>160</v>
      </c>
      <c r="C7" s="157">
        <f>'技能模擬器'!J28</f>
        <v>0</v>
      </c>
      <c r="D7" s="158"/>
      <c r="E7" s="158"/>
      <c r="F7" s="158"/>
      <c r="G7" s="158"/>
      <c r="H7" s="78" t="str">
        <f>'技能模擬器'!Q3</f>
        <v>1e0</v>
      </c>
      <c r="I7" s="78" t="str">
        <f>'skill data'!AC84</f>
        <v>-</v>
      </c>
      <c r="J7" s="78" t="str">
        <f>'skill data'!AF84&amp;"e"&amp;'skill data'!AG84</f>
        <v>1e0</v>
      </c>
      <c r="K7" s="24"/>
      <c r="L7" s="26"/>
      <c r="M7" s="28"/>
      <c r="N7" s="20"/>
      <c r="O7" s="1"/>
      <c r="P7" s="4"/>
      <c r="Q7" s="4"/>
      <c r="R7" s="4"/>
      <c r="S7" s="1"/>
      <c r="T7" s="1"/>
      <c r="U7" s="1"/>
      <c r="V7" s="1"/>
      <c r="W7" s="1"/>
      <c r="X7" s="1"/>
      <c r="Y7" s="1"/>
      <c r="Z7" s="1"/>
    </row>
    <row r="8" ht="16.5" customHeight="1">
      <c r="A8" s="4"/>
      <c r="B8" s="158"/>
      <c r="C8" s="161"/>
      <c r="D8" s="154" t="s">
        <v>127</v>
      </c>
      <c r="E8" s="75">
        <f>'skill data'!Q147+0</f>
        <v>0</v>
      </c>
      <c r="F8" s="158"/>
      <c r="G8" s="158"/>
      <c r="H8" s="10"/>
      <c r="I8" s="4"/>
      <c r="J8" s="4"/>
      <c r="K8" s="1"/>
      <c r="L8" s="1"/>
      <c r="M8" s="1"/>
      <c r="N8" s="1"/>
      <c r="O8" s="1"/>
      <c r="P8" s="4"/>
      <c r="Q8" s="4"/>
      <c r="R8" s="4"/>
      <c r="S8" s="1"/>
      <c r="T8" s="1"/>
      <c r="U8" s="1"/>
      <c r="V8" s="1"/>
      <c r="W8" s="1"/>
      <c r="X8" s="1"/>
      <c r="Y8" s="1"/>
      <c r="Z8" s="1"/>
    </row>
    <row r="9" ht="16.5" customHeight="1">
      <c r="A9" s="4"/>
      <c r="B9" s="154" t="s">
        <v>133</v>
      </c>
      <c r="C9" s="162">
        <f>'skill data'!L153+0</f>
        <v>0</v>
      </c>
      <c r="D9" s="154" t="s">
        <v>134</v>
      </c>
      <c r="E9" s="75">
        <f>'skill data'!Q153+0</f>
        <v>0</v>
      </c>
      <c r="F9" s="154" t="s">
        <v>135</v>
      </c>
      <c r="G9" s="75">
        <f>'skill data'!V153+0</f>
        <v>0</v>
      </c>
      <c r="H9" s="10"/>
      <c r="I9" s="4"/>
      <c r="J9" s="4"/>
      <c r="K9" s="4"/>
      <c r="L9" s="1"/>
      <c r="M9" s="1"/>
      <c r="N9" s="4"/>
      <c r="O9" s="4"/>
      <c r="P9" s="4"/>
      <c r="Q9" s="4"/>
      <c r="R9" s="4"/>
      <c r="S9" s="1"/>
      <c r="T9" s="1"/>
      <c r="U9" s="1"/>
      <c r="V9" s="1"/>
      <c r="W9" s="1"/>
      <c r="X9" s="1"/>
      <c r="Y9" s="1"/>
      <c r="Z9" s="1"/>
    </row>
    <row r="10" ht="16.5" customHeight="1">
      <c r="A10" s="4"/>
      <c r="B10" s="154" t="s">
        <v>144</v>
      </c>
      <c r="C10" s="162">
        <f>'skill data'!L159+0</f>
        <v>0</v>
      </c>
      <c r="D10" s="164" t="s">
        <v>145</v>
      </c>
      <c r="E10" s="75">
        <f>'skill data'!Q159+0</f>
        <v>0</v>
      </c>
      <c r="F10" s="154" t="s">
        <v>146</v>
      </c>
      <c r="G10" s="75">
        <f>'skill data'!V159+0</f>
        <v>0</v>
      </c>
      <c r="H10" s="1"/>
      <c r="I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/>
      <c r="B11" s="154" t="s">
        <v>151</v>
      </c>
      <c r="C11" s="162">
        <f>'skill data'!L165+0</f>
        <v>0</v>
      </c>
      <c r="D11" s="158"/>
      <c r="E11" s="158"/>
      <c r="F11" s="154" t="s">
        <v>152</v>
      </c>
      <c r="G11" s="75">
        <f>'skill data'!V165+0</f>
        <v>0</v>
      </c>
      <c r="H11" s="1"/>
      <c r="I11" s="1"/>
      <c r="J11" s="1"/>
      <c r="K11" s="10"/>
      <c r="L11" s="10"/>
      <c r="M11" s="10"/>
      <c r="N11" s="1"/>
      <c r="O11" s="1"/>
      <c r="P11" s="1"/>
      <c r="Q11" s="1"/>
      <c r="R11" s="1"/>
      <c r="S11" s="1"/>
      <c r="T11" s="10"/>
      <c r="U11" s="1"/>
      <c r="V11" s="1"/>
      <c r="W11" s="1"/>
      <c r="X11" s="1"/>
      <c r="Y11" s="1"/>
      <c r="Z11" s="1"/>
    </row>
    <row r="12" ht="16.5" customHeight="1">
      <c r="A12" s="4"/>
      <c r="B12" s="61" t="s">
        <v>161</v>
      </c>
      <c r="C12" s="157">
        <f>'技能模擬器'!Z3</f>
        <v>0</v>
      </c>
      <c r="D12" s="158"/>
      <c r="E12" s="158"/>
      <c r="F12" s="158"/>
      <c r="G12" s="158"/>
      <c r="H12" s="1"/>
      <c r="I12" s="1"/>
      <c r="J12" s="1"/>
      <c r="K12" s="10"/>
      <c r="L12" s="4"/>
      <c r="M12" s="4"/>
      <c r="N12" s="1"/>
      <c r="O12" s="1"/>
      <c r="P12" s="1"/>
      <c r="Q12" s="1"/>
      <c r="R12" s="1"/>
      <c r="S12" s="1"/>
      <c r="T12" s="10"/>
      <c r="U12" s="1"/>
      <c r="V12" s="1"/>
      <c r="W12" s="1"/>
      <c r="X12" s="1"/>
      <c r="Y12" s="1"/>
      <c r="Z12" s="1"/>
    </row>
    <row r="13" ht="16.5" customHeight="1">
      <c r="A13" s="4"/>
      <c r="B13" s="158"/>
      <c r="C13" s="161"/>
      <c r="D13" s="61" t="s">
        <v>25</v>
      </c>
      <c r="E13" s="75">
        <f>'skill data'!AG122+0</f>
        <v>0</v>
      </c>
      <c r="F13" s="158"/>
      <c r="G13" s="158"/>
      <c r="H13" s="1"/>
      <c r="I13" s="1"/>
      <c r="J13" s="1"/>
      <c r="K13" s="10"/>
      <c r="L13" s="4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/>
      <c r="B14" s="61" t="s">
        <v>62</v>
      </c>
      <c r="C14" s="162">
        <f>'skill data'!AB128+0</f>
        <v>0</v>
      </c>
      <c r="D14" s="61" t="s">
        <v>63</v>
      </c>
      <c r="E14" s="75">
        <f>'skill data'!AG128+0</f>
        <v>0</v>
      </c>
      <c r="F14" s="61" t="s">
        <v>66</v>
      </c>
      <c r="G14" s="75">
        <f>'skill data'!AL128+0</f>
        <v>0</v>
      </c>
      <c r="H14" s="1"/>
      <c r="I14" s="1"/>
      <c r="J14" s="1"/>
      <c r="K14" s="4"/>
      <c r="L14" s="4"/>
      <c r="M14" s="4"/>
      <c r="N14" s="1"/>
      <c r="O14" s="1"/>
      <c r="P14" s="1"/>
      <c r="Q14" s="165"/>
      <c r="V14" s="1"/>
      <c r="W14" s="1"/>
      <c r="X14" s="1"/>
      <c r="Y14" s="1"/>
      <c r="Z14" s="1"/>
    </row>
    <row r="15" ht="16.5" customHeight="1">
      <c r="A15" s="4"/>
      <c r="B15" s="61" t="s">
        <v>84</v>
      </c>
      <c r="C15" s="162">
        <f>'skill data'!AB134+0</f>
        <v>0</v>
      </c>
      <c r="D15" s="61" t="s">
        <v>39</v>
      </c>
      <c r="E15" s="75">
        <f>'skill data'!AG134+0</f>
        <v>0</v>
      </c>
      <c r="F15" s="61" t="s">
        <v>85</v>
      </c>
      <c r="G15" s="75">
        <f>'skill data'!AL134+0</f>
        <v>0</v>
      </c>
      <c r="H15" s="1"/>
      <c r="I15" s="1"/>
      <c r="J15" s="1"/>
      <c r="K15" s="10"/>
      <c r="L15" s="4"/>
      <c r="M15" s="10"/>
      <c r="N15" s="1"/>
      <c r="O15" s="1"/>
      <c r="P15" s="1"/>
      <c r="V15" s="1"/>
      <c r="W15" s="1"/>
      <c r="X15" s="1"/>
      <c r="Y15" s="1"/>
      <c r="Z15" s="1"/>
    </row>
    <row r="16" ht="16.5" customHeight="1">
      <c r="A16" s="4"/>
      <c r="B16" s="61" t="s">
        <v>108</v>
      </c>
      <c r="C16" s="162">
        <f>'skill data'!AB140+0</f>
        <v>0</v>
      </c>
      <c r="D16" s="61" t="s">
        <v>87</v>
      </c>
      <c r="E16" s="75">
        <f>'skill data'!AG140+0</f>
        <v>0</v>
      </c>
      <c r="F16" s="61" t="s">
        <v>109</v>
      </c>
      <c r="G16" s="75">
        <f>'skill data'!AL140+0</f>
        <v>0</v>
      </c>
      <c r="H16" s="10"/>
      <c r="I16" s="1"/>
      <c r="J16" s="4"/>
      <c r="K16" s="4"/>
      <c r="L16" s="4"/>
      <c r="M16" s="4"/>
      <c r="N16" s="1"/>
      <c r="O16" s="1"/>
      <c r="P16" s="1"/>
      <c r="V16" s="1"/>
      <c r="W16" s="1"/>
      <c r="X16" s="1"/>
      <c r="Y16" s="1"/>
      <c r="Z16" s="1"/>
    </row>
    <row r="17" ht="16.5" customHeight="1">
      <c r="A17" s="4"/>
      <c r="B17" s="77" t="s">
        <v>162</v>
      </c>
      <c r="C17" s="157">
        <f>'技能模擬器'!Z28</f>
        <v>0</v>
      </c>
      <c r="D17" s="158"/>
      <c r="E17" s="158"/>
      <c r="F17" s="158"/>
      <c r="G17" s="158"/>
      <c r="H17" s="10"/>
      <c r="I17" s="4"/>
      <c r="J17" s="10"/>
      <c r="K17" s="10"/>
      <c r="L17" s="10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/>
      <c r="B18" s="158"/>
      <c r="C18" s="158"/>
      <c r="D18" s="77" t="s">
        <v>129</v>
      </c>
      <c r="E18" s="75">
        <f>'skill data'!AG147+0</f>
        <v>0</v>
      </c>
      <c r="F18" s="158"/>
      <c r="G18" s="158"/>
      <c r="H18" s="10"/>
      <c r="I18" s="4"/>
      <c r="J18" s="4"/>
      <c r="K18" s="4"/>
      <c r="L18" s="10"/>
      <c r="M18" s="10"/>
      <c r="N18" s="10"/>
      <c r="O18" s="4"/>
      <c r="P18" s="4"/>
      <c r="Q18" s="4"/>
      <c r="R18" s="4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/>
      <c r="B19" s="77" t="s">
        <v>136</v>
      </c>
      <c r="C19" s="75">
        <f>'skill data'!AB153+0</f>
        <v>0</v>
      </c>
      <c r="D19" s="77" t="s">
        <v>137</v>
      </c>
      <c r="E19" s="75">
        <f>'skill data'!AG153+0</f>
        <v>0</v>
      </c>
      <c r="F19" s="77" t="s">
        <v>138</v>
      </c>
      <c r="G19" s="75">
        <f>'skill data'!AL153+0</f>
        <v>0</v>
      </c>
      <c r="H19" s="10"/>
      <c r="I19" s="4"/>
      <c r="J19" s="4"/>
      <c r="K19" s="10"/>
      <c r="L19" s="10"/>
      <c r="M19" s="10"/>
      <c r="N19" s="10"/>
      <c r="O19" s="10"/>
      <c r="P19" s="10"/>
      <c r="Q19" s="10"/>
      <c r="R19" s="4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"/>
      <c r="B20" s="77" t="s">
        <v>148</v>
      </c>
      <c r="C20" s="75">
        <f>'skill data'!AB159+0</f>
        <v>0</v>
      </c>
      <c r="D20" s="77" t="s">
        <v>149</v>
      </c>
      <c r="E20" s="75">
        <f>'skill data'!AG159+0</f>
        <v>0</v>
      </c>
      <c r="F20" s="109" t="s">
        <v>150</v>
      </c>
      <c r="G20" s="75">
        <f>'skill data'!AL159+0</f>
        <v>0</v>
      </c>
      <c r="H20" s="10"/>
      <c r="I20" s="10"/>
      <c r="J20" s="10"/>
      <c r="K20" s="10"/>
      <c r="L20" s="4"/>
      <c r="M20" s="4"/>
      <c r="N20" s="4"/>
      <c r="O20" s="10"/>
      <c r="P20" s="10"/>
      <c r="Q20" s="10"/>
      <c r="R20" s="4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"/>
      <c r="B21" s="4"/>
      <c r="C21" s="4"/>
      <c r="D21" s="4"/>
      <c r="E21" s="4"/>
      <c r="F21" s="4"/>
      <c r="G21" s="4"/>
      <c r="H21" s="4"/>
      <c r="I21" s="10"/>
      <c r="J21" s="10"/>
      <c r="K21" s="10"/>
      <c r="L21" s="4"/>
      <c r="M21" s="10"/>
      <c r="N21" s="10"/>
      <c r="O21" s="10"/>
      <c r="P21" s="10"/>
      <c r="Q21" s="10"/>
      <c r="R21" s="4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"/>
      <c r="T22" s="1"/>
      <c r="U22" s="1"/>
      <c r="V22" s="1"/>
      <c r="W22" s="1"/>
      <c r="X22" s="1"/>
      <c r="Y22" s="1"/>
      <c r="Z22" s="1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10"/>
      <c r="K23" s="10"/>
      <c r="L23" s="10"/>
      <c r="M23" s="10"/>
      <c r="N23" s="10"/>
      <c r="O23" s="4"/>
      <c r="P23" s="10"/>
      <c r="Q23" s="10"/>
      <c r="R23" s="4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10"/>
      <c r="M24" s="10"/>
      <c r="N24" s="10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10"/>
      <c r="K25" s="10"/>
      <c r="L25" s="10"/>
      <c r="M25" s="10"/>
      <c r="N25" s="10"/>
      <c r="O25" s="4"/>
      <c r="P25" s="10"/>
      <c r="Q25" s="10"/>
      <c r="R25" s="4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10"/>
      <c r="M26" s="10"/>
      <c r="N26" s="10"/>
      <c r="O26" s="4"/>
      <c r="P26" s="4"/>
      <c r="Q26" s="4"/>
      <c r="R26" s="4"/>
      <c r="S26" s="1"/>
      <c r="T26" s="1"/>
      <c r="U26" s="1"/>
      <c r="V26" s="1"/>
      <c r="W26" s="1"/>
      <c r="X26" s="1"/>
      <c r="Y26" s="1"/>
      <c r="Z26" s="1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10"/>
      <c r="L27" s="10"/>
      <c r="M27" s="10"/>
      <c r="N27" s="10"/>
      <c r="O27" s="10"/>
      <c r="P27" s="10"/>
      <c r="Q27" s="10"/>
      <c r="R27" s="4"/>
      <c r="S27" s="1"/>
      <c r="T27" s="1"/>
      <c r="U27" s="1"/>
      <c r="V27" s="1"/>
      <c r="W27" s="1"/>
      <c r="X27" s="1"/>
      <c r="Y27" s="1"/>
      <c r="Z27" s="1"/>
    </row>
    <row r="28" ht="16.5" customHeight="1">
      <c r="A28" s="4"/>
      <c r="B28" s="4"/>
      <c r="C28" s="4"/>
      <c r="D28" s="4"/>
      <c r="E28" s="4"/>
      <c r="F28" s="4"/>
      <c r="G28" s="4"/>
      <c r="H28" s="4"/>
      <c r="I28" s="10"/>
      <c r="J28" s="10"/>
      <c r="K28" s="10"/>
      <c r="L28" s="4"/>
      <c r="M28" s="4"/>
      <c r="N28" s="4"/>
      <c r="O28" s="10"/>
      <c r="P28" s="10"/>
      <c r="Q28" s="10"/>
      <c r="R28" s="4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/>
      <c r="B29" s="4"/>
      <c r="C29" s="4"/>
      <c r="D29" s="4"/>
      <c r="E29" s="4"/>
      <c r="F29" s="4"/>
      <c r="G29" s="4"/>
      <c r="H29" s="4"/>
      <c r="I29" s="10"/>
      <c r="J29" s="10"/>
      <c r="K29" s="10"/>
      <c r="L29" s="4"/>
      <c r="M29" s="10"/>
      <c r="N29" s="10"/>
      <c r="O29" s="10"/>
      <c r="P29" s="10"/>
      <c r="Q29" s="10"/>
      <c r="R29" s="4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"/>
      <c r="T30" s="1"/>
      <c r="U30" s="1"/>
      <c r="V30" s="1"/>
      <c r="W30" s="1"/>
      <c r="X30" s="1"/>
      <c r="Y30" s="1"/>
      <c r="Z30" s="1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10"/>
      <c r="K31" s="10"/>
      <c r="L31" s="4"/>
      <c r="M31" s="10"/>
      <c r="N31" s="10"/>
      <c r="O31" s="4"/>
      <c r="P31" s="10"/>
      <c r="Q31" s="10"/>
      <c r="R31" s="4"/>
      <c r="S31" s="1"/>
      <c r="T31" s="1"/>
      <c r="U31" s="1"/>
      <c r="V31" s="1"/>
      <c r="W31" s="1"/>
      <c r="X31" s="1"/>
      <c r="Y31" s="1"/>
      <c r="Z31" s="1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"/>
      <c r="T32" s="1"/>
      <c r="U32" s="1"/>
      <c r="V32" s="1"/>
      <c r="W32" s="1"/>
      <c r="X32" s="1"/>
      <c r="Y32" s="1"/>
      <c r="Z32" s="1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10"/>
      <c r="K33" s="10"/>
      <c r="L33" s="4"/>
      <c r="M33" s="10"/>
      <c r="N33" s="10"/>
      <c r="O33" s="4"/>
      <c r="P33" s="10"/>
      <c r="Q33" s="10"/>
      <c r="R33" s="4"/>
      <c r="S33" s="1"/>
      <c r="T33" s="1"/>
      <c r="U33" s="1"/>
      <c r="V33" s="1"/>
      <c r="W33" s="1"/>
      <c r="X33" s="1"/>
      <c r="Y33" s="1"/>
      <c r="Z33" s="1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"/>
      <c r="T34" s="1"/>
      <c r="U34" s="1"/>
      <c r="V34" s="1"/>
      <c r="W34" s="1"/>
      <c r="X34" s="1"/>
      <c r="Y34" s="1"/>
      <c r="Z34" s="1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  <c r="R35" s="4"/>
      <c r="S35" s="1"/>
      <c r="T35" s="1"/>
      <c r="U35" s="1"/>
      <c r="V35" s="1"/>
      <c r="W35" s="1"/>
      <c r="X35" s="1"/>
      <c r="Y35" s="1"/>
      <c r="Z35" s="1"/>
    </row>
    <row r="36" ht="16.5" customHeight="1">
      <c r="A36" s="4"/>
      <c r="B36" s="4"/>
      <c r="C36" s="4"/>
      <c r="D36" s="4"/>
      <c r="E36" s="4"/>
      <c r="F36" s="4"/>
      <c r="G36" s="4"/>
      <c r="H36" s="4"/>
      <c r="I36" s="10"/>
      <c r="J36" s="10"/>
      <c r="K36" s="10"/>
      <c r="L36" s="4"/>
      <c r="M36" s="4"/>
      <c r="N36" s="4"/>
      <c r="O36" s="10"/>
      <c r="P36" s="10"/>
      <c r="Q36" s="10"/>
      <c r="R36" s="4"/>
      <c r="S36" s="1"/>
      <c r="T36" s="1"/>
      <c r="U36" s="1"/>
      <c r="V36" s="1"/>
      <c r="W36" s="1"/>
      <c r="X36" s="1"/>
      <c r="Y36" s="1"/>
      <c r="Z36" s="1"/>
    </row>
    <row r="37" ht="16.5" customHeight="1">
      <c r="A37" s="4"/>
      <c r="B37" s="4"/>
      <c r="C37" s="4"/>
      <c r="D37" s="4"/>
      <c r="E37" s="4"/>
      <c r="F37" s="4"/>
      <c r="G37" s="4"/>
      <c r="H37" s="4"/>
      <c r="I37" s="10"/>
      <c r="J37" s="10"/>
      <c r="K37" s="10"/>
      <c r="L37" s="4"/>
      <c r="M37" s="10"/>
      <c r="N37" s="10"/>
      <c r="O37" s="10"/>
      <c r="P37" s="10"/>
      <c r="Q37" s="10"/>
      <c r="R37" s="4"/>
      <c r="S37" s="1"/>
      <c r="T37" s="1"/>
      <c r="U37" s="1"/>
      <c r="V37" s="1"/>
      <c r="W37" s="1"/>
      <c r="X37" s="1"/>
      <c r="Y37" s="1"/>
      <c r="Z37" s="1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4"/>
      <c r="I39" s="4"/>
      <c r="J39" s="10"/>
      <c r="K39" s="10"/>
      <c r="L39" s="4"/>
      <c r="M39" s="10"/>
      <c r="N39" s="10"/>
      <c r="O39" s="4"/>
      <c r="P39" s="10"/>
      <c r="Q39" s="10"/>
      <c r="R39" s="4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Q14:U16"/>
    <mergeCell ref="K6:M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.89"/>
    <col customWidth="1" min="2" max="7" width="6.22"/>
    <col customWidth="1" min="8" max="10" width="9.56"/>
  </cols>
  <sheetData>
    <row r="1" ht="16.5" customHeight="1"/>
    <row r="2" ht="16.5" customHeight="1"/>
    <row r="3" ht="16.5" customHeight="1">
      <c r="B3" s="80">
        <f>'截圖用頁面'!C2</f>
        <v>0</v>
      </c>
      <c r="C3" s="166">
        <f>'截圖用頁面'!E3</f>
        <v>0</v>
      </c>
      <c r="D3" s="167"/>
      <c r="E3" s="80">
        <f>'截圖用頁面'!C7</f>
        <v>0</v>
      </c>
      <c r="F3" s="168">
        <f>'截圖用頁面'!E8</f>
        <v>0</v>
      </c>
      <c r="G3" s="169"/>
      <c r="H3" s="80" t="str">
        <f>'截圖用頁面'!H2</f>
        <v>使用流派</v>
      </c>
      <c r="I3" s="80" t="str">
        <f>'截圖用頁面'!I2</f>
        <v>黃金來源</v>
      </c>
      <c r="J3" s="80" t="str">
        <f>'截圖用頁面'!J2</f>
        <v>模擬器版本</v>
      </c>
    </row>
    <row r="4" ht="16.5" customHeight="1">
      <c r="B4" s="166">
        <f>'截圖用頁面'!C4</f>
        <v>0</v>
      </c>
      <c r="C4" s="166">
        <f>'截圖用頁面'!E4</f>
        <v>0</v>
      </c>
      <c r="D4" s="166">
        <f>'截圖用頁面'!G4</f>
        <v>0</v>
      </c>
      <c r="E4" s="168">
        <f>'截圖用頁面'!C9</f>
        <v>0</v>
      </c>
      <c r="F4" s="170">
        <f>'截圖用頁面'!E9</f>
        <v>0</v>
      </c>
      <c r="G4" s="168">
        <f>'截圖用頁面'!G9</f>
        <v>0</v>
      </c>
      <c r="H4" s="78" t="str">
        <f>'截圖用頁面'!H3</f>
        <v>寵物流</v>
      </c>
      <c r="I4" s="78" t="str">
        <f>'截圖用頁面'!I3</f>
        <v>頭目黃金</v>
      </c>
      <c r="J4" s="78" t="str">
        <f>'截圖用頁面'!J3</f>
        <v>v3.1.0</v>
      </c>
    </row>
    <row r="5" ht="16.5" customHeight="1">
      <c r="B5" s="166">
        <f>'截圖用頁面'!C5</f>
        <v>0</v>
      </c>
      <c r="C5" s="166">
        <f>'截圖用頁面'!E5</f>
        <v>0</v>
      </c>
      <c r="D5" s="166">
        <f>'截圖用頁面'!G5</f>
        <v>0</v>
      </c>
      <c r="E5" s="171">
        <f>'截圖用頁面'!C10</f>
        <v>0</v>
      </c>
      <c r="F5" s="170">
        <f>'截圖用頁面'!E10</f>
        <v>0</v>
      </c>
      <c r="G5" s="172">
        <f>'截圖用頁面'!G10</f>
        <v>0</v>
      </c>
      <c r="H5" s="80" t="str">
        <f>'截圖用頁面'!H4</f>
        <v>使用點數</v>
      </c>
      <c r="I5" s="80" t="str">
        <f>'截圖用頁面'!I4</f>
        <v>主要點數</v>
      </c>
      <c r="J5" s="80" t="str">
        <f>'截圖用頁面'!J4</f>
        <v>輔助點數</v>
      </c>
    </row>
    <row r="6" ht="16.5" customHeight="1">
      <c r="B6" s="166">
        <f>'截圖用頁面'!C6</f>
        <v>0</v>
      </c>
      <c r="C6" s="167"/>
      <c r="D6" s="166">
        <f>'截圖用頁面'!G6</f>
        <v>0</v>
      </c>
      <c r="E6" s="171">
        <f>'截圖用頁面'!C11</f>
        <v>0</v>
      </c>
      <c r="F6" s="167"/>
      <c r="G6" s="172">
        <f>'截圖用頁面'!G11</f>
        <v>0</v>
      </c>
      <c r="H6" s="78">
        <f>'截圖用頁面'!H5</f>
        <v>0</v>
      </c>
      <c r="I6" s="78">
        <f>'截圖用頁面'!I5</f>
        <v>0</v>
      </c>
      <c r="J6" s="78">
        <f>'截圖用頁面'!J5</f>
        <v>0</v>
      </c>
    </row>
    <row r="7" ht="16.5" customHeight="1">
      <c r="B7" s="80">
        <f>'截圖用頁面'!C12</f>
        <v>0</v>
      </c>
      <c r="C7" s="173">
        <f>'截圖用頁面'!E13</f>
        <v>0</v>
      </c>
      <c r="D7" s="169"/>
      <c r="E7" s="80">
        <f>'截圖用頁面'!C17</f>
        <v>0</v>
      </c>
      <c r="F7" s="174">
        <f>'截圖用頁面'!E18</f>
        <v>0</v>
      </c>
      <c r="G7" s="169"/>
      <c r="H7" s="80" t="str">
        <f>'截圖用頁面'!H6</f>
        <v>總加成</v>
      </c>
      <c r="I7" s="80" t="str">
        <f>'截圖用頁面'!I6</f>
        <v>雷擊加成</v>
      </c>
      <c r="J7" s="80" t="str">
        <f>'截圖用頁面'!J6</f>
        <v>合計加成</v>
      </c>
    </row>
    <row r="8" ht="16.5" customHeight="1">
      <c r="B8" s="173">
        <f>'截圖用頁面'!C14</f>
        <v>0</v>
      </c>
      <c r="C8" s="173">
        <f>'截圖用頁面'!E14</f>
        <v>0</v>
      </c>
      <c r="D8" s="173">
        <f>'截圖用頁面'!G14</f>
        <v>0</v>
      </c>
      <c r="E8" s="175">
        <f>'截圖用頁面'!C19</f>
        <v>0</v>
      </c>
      <c r="F8" s="175">
        <f>'截圖用頁面'!E19</f>
        <v>0</v>
      </c>
      <c r="G8" s="175">
        <f>'截圖用頁面'!G19</f>
        <v>0</v>
      </c>
      <c r="H8" s="78" t="str">
        <f>'截圖用頁面'!H7</f>
        <v>1e0</v>
      </c>
      <c r="I8" s="78" t="str">
        <f>'截圖用頁面'!I7</f>
        <v>-</v>
      </c>
      <c r="J8" s="78" t="str">
        <f>'截圖用頁面'!J7</f>
        <v>1e0</v>
      </c>
    </row>
    <row r="9" ht="16.5" customHeight="1">
      <c r="B9" s="173">
        <f>'截圖用頁面'!C15</f>
        <v>0</v>
      </c>
      <c r="C9" s="173">
        <f>'截圖用頁面'!E15</f>
        <v>0</v>
      </c>
      <c r="D9" s="173">
        <f>'截圖用頁面'!G15</f>
        <v>0</v>
      </c>
      <c r="E9" s="176">
        <f>'截圖用頁面'!C20</f>
        <v>0</v>
      </c>
      <c r="F9" s="176">
        <f>'截圖用頁面'!E20</f>
        <v>0</v>
      </c>
      <c r="G9" s="176">
        <f>'截圖用頁面'!G20</f>
        <v>0</v>
      </c>
    </row>
    <row r="10" ht="16.5" customHeight="1">
      <c r="B10" s="173">
        <f>'截圖用頁面'!C16</f>
        <v>0</v>
      </c>
      <c r="C10" s="173">
        <f>'截圖用頁面'!E16</f>
        <v>0</v>
      </c>
      <c r="D10" s="177">
        <f>'截圖用頁面'!G16</f>
        <v>0</v>
      </c>
      <c r="E10" s="178"/>
      <c r="F10" s="179"/>
      <c r="G10" s="179"/>
    </row>
    <row r="11">
      <c r="B11" s="180"/>
      <c r="C11" s="180"/>
      <c r="D11" s="180"/>
      <c r="E11" s="180"/>
      <c r="F11" s="180"/>
      <c r="G11" s="180"/>
    </row>
    <row r="12">
      <c r="J12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8.67"/>
    <col customWidth="1" min="3" max="3" width="7.0"/>
    <col customWidth="1" min="4" max="6" width="6.78"/>
    <col customWidth="1" min="7" max="7" width="7.0"/>
    <col customWidth="1" min="8" max="11" width="6.78"/>
    <col customWidth="1" min="12" max="12" width="7.0"/>
    <col customWidth="1" min="13" max="13" width="10.67"/>
    <col customWidth="1" min="14" max="14" width="6.78"/>
    <col customWidth="1" min="15" max="15" width="8.33"/>
    <col customWidth="1" min="16" max="16" width="7.33"/>
    <col customWidth="1" min="17" max="19" width="7.0"/>
    <col customWidth="1" min="20" max="20" width="15.78"/>
    <col customWidth="1" min="21" max="24" width="6.78"/>
    <col customWidth="1" min="25" max="26" width="7.0"/>
    <col customWidth="1" min="27" max="27" width="7.89"/>
    <col customWidth="1" min="28" max="28" width="7.33"/>
    <col customWidth="1" min="29" max="29" width="8.44"/>
    <col customWidth="1" min="30" max="54" width="7.0"/>
  </cols>
  <sheetData>
    <row r="1" ht="16.5" customHeight="1">
      <c r="A1" s="181" t="s">
        <v>163</v>
      </c>
      <c r="B1" s="10"/>
      <c r="C1" s="182" t="s">
        <v>164</v>
      </c>
      <c r="D1" s="10"/>
      <c r="E1" s="10"/>
      <c r="F1" s="10"/>
      <c r="G1" s="182" t="s">
        <v>165</v>
      </c>
      <c r="H1" s="10"/>
      <c r="I1" s="10"/>
      <c r="J1" s="10"/>
      <c r="K1" s="10" t="s">
        <v>166</v>
      </c>
      <c r="L1" s="10" t="s">
        <v>167</v>
      </c>
      <c r="M1" s="10" t="s">
        <v>147</v>
      </c>
      <c r="N1" s="10" t="s">
        <v>168</v>
      </c>
      <c r="O1" s="10" t="s">
        <v>169</v>
      </c>
      <c r="P1" s="10"/>
      <c r="Q1" s="10"/>
      <c r="R1" s="10"/>
      <c r="S1" s="10"/>
      <c r="T1" s="10"/>
      <c r="U1" s="10">
        <v>0.0</v>
      </c>
      <c r="V1" s="183">
        <v>1.0</v>
      </c>
      <c r="W1" s="183">
        <v>2.0</v>
      </c>
      <c r="X1" s="183">
        <v>3.0</v>
      </c>
      <c r="Y1" s="183">
        <v>4.0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</row>
    <row r="2" ht="16.5" customHeight="1">
      <c r="A2" s="4">
        <v>1.0</v>
      </c>
      <c r="B2" s="115" t="s">
        <v>18</v>
      </c>
      <c r="C2" s="182">
        <f>AD2</f>
        <v>1</v>
      </c>
      <c r="D2" s="10">
        <f t="shared" ref="D2:D36" si="1">IF(C2&gt;1,LOG(C2),0)</f>
        <v>0</v>
      </c>
      <c r="E2" s="184">
        <f t="shared" ref="E2:E36" si="2">IF(D2&lt;15,FLOOR(D2/3,1),FLOOR(D2,1))</f>
        <v>0</v>
      </c>
      <c r="F2" s="10" t="str">
        <f t="shared" ref="F2:F36" si="3">IF(D2&lt;15,ROUND(C2/10^(3*E2),2)&amp;VLOOKUP(E2,$C$79:$G$83,2,FALSE),ROUND(C2/10^E2,2)&amp;"e"&amp;E2)</f>
        <v>1</v>
      </c>
      <c r="G2" s="182" t="str">
        <f>AE2</f>
        <v>-</v>
      </c>
      <c r="H2" s="10"/>
      <c r="I2" s="184"/>
      <c r="J2" s="10"/>
      <c r="K2" s="10">
        <f>C2</f>
        <v>1</v>
      </c>
      <c r="L2" s="10">
        <f>HLOOKUP('skill data'!$AL$12,$U$1:$Y$36,A2+1,FALSE)</f>
        <v>1</v>
      </c>
      <c r="M2" s="10">
        <f t="shared" ref="M2:M7" si="4">IF(K2&gt;0,K2^L2,1)</f>
        <v>1</v>
      </c>
      <c r="N2" s="10" t="s">
        <v>52</v>
      </c>
      <c r="O2" s="10">
        <f t="shared" ref="O2:O5" si="5">M2</f>
        <v>1</v>
      </c>
      <c r="P2" s="10">
        <f t="shared" ref="P2:P36" si="6">LOG(O2)</f>
        <v>0</v>
      </c>
      <c r="Q2" s="184">
        <f t="shared" ref="Q2:Q5" si="7">IF(P2&lt;15,FLOOR(P2/3,1),FLOOR(P2,1))</f>
        <v>0</v>
      </c>
      <c r="R2" s="10" t="str">
        <f t="shared" ref="R2:R36" si="8">IF(P2&lt;15,ROUND(O2/10^(3*Q2),2)&amp;VLOOKUP(Q2,$C$79:$G$83,2,FALSE),ROUND(O2/10^Q2,2)&amp;"e"&amp;Q2)</f>
        <v>1</v>
      </c>
      <c r="S2" s="10" t="str">
        <f t="shared" ref="S2:S36" si="9">ROUND(P2/P$37*100,2)&amp;"%"</f>
        <v>#DIV/0!</v>
      </c>
      <c r="T2" s="115" t="str">
        <f t="shared" ref="T2:T5" si="10">B2</f>
        <v>騎士勇氣</v>
      </c>
      <c r="U2" s="10">
        <v>0.0</v>
      </c>
      <c r="V2" s="183">
        <v>1.0</v>
      </c>
      <c r="W2" s="183">
        <v>0.0</v>
      </c>
      <c r="X2" s="120">
        <v>0.6</v>
      </c>
      <c r="Y2" s="183">
        <v>1.0</v>
      </c>
      <c r="Z2" s="126"/>
      <c r="AA2" s="126"/>
      <c r="AB2" s="126"/>
      <c r="AC2" s="185" t="str">
        <f>'skill data'!Q122</f>
        <v/>
      </c>
      <c r="AD2" s="126">
        <f>IF(AC2&gt;0,VLOOKUP(AC2,simulationData!D1:F25,2,FALSE),1)</f>
        <v>1</v>
      </c>
      <c r="AE2" s="126" t="s">
        <v>52</v>
      </c>
      <c r="AF2" s="126"/>
      <c r="AG2" s="126"/>
      <c r="AH2" s="126"/>
      <c r="AI2" s="154"/>
      <c r="AJ2" s="154"/>
      <c r="AK2" s="154"/>
      <c r="AL2" s="185" t="str">
        <f>'skill data'!Q147</f>
        <v/>
      </c>
      <c r="AM2" s="154">
        <f>IF(AL2&gt;0,VLOOKUP(AL2,simulationData!M1:O25,2,FALSE),1)</f>
        <v>1</v>
      </c>
      <c r="AN2" s="154" t="s">
        <v>52</v>
      </c>
      <c r="AO2" s="154"/>
      <c r="AP2" s="154"/>
      <c r="AQ2" s="15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t="16.5" customHeight="1">
      <c r="A3" s="4">
        <v>2.0</v>
      </c>
      <c r="B3" s="115" t="s">
        <v>56</v>
      </c>
      <c r="C3" s="182">
        <f>AA3</f>
        <v>0</v>
      </c>
      <c r="D3" s="10">
        <f t="shared" si="1"/>
        <v>0</v>
      </c>
      <c r="E3" s="184">
        <f t="shared" si="2"/>
        <v>0</v>
      </c>
      <c r="F3" s="10" t="str">
        <f t="shared" si="3"/>
        <v>0</v>
      </c>
      <c r="G3" s="182" t="str">
        <f>AB3</f>
        <v>-</v>
      </c>
      <c r="H3" s="10"/>
      <c r="I3" s="184"/>
      <c r="J3" s="10"/>
      <c r="K3" s="10">
        <f>(C3+R39)/R39</f>
        <v>1</v>
      </c>
      <c r="L3" s="10">
        <f>HLOOKUP('skill data'!$AL$12,$U$1:$Y$36,A3+1,FALSE)</f>
        <v>1</v>
      </c>
      <c r="M3" s="10">
        <f t="shared" si="4"/>
        <v>1</v>
      </c>
      <c r="N3" s="10" t="s">
        <v>52</v>
      </c>
      <c r="O3" s="10">
        <f t="shared" si="5"/>
        <v>1</v>
      </c>
      <c r="P3" s="10">
        <f t="shared" si="6"/>
        <v>0</v>
      </c>
      <c r="Q3" s="184">
        <f t="shared" si="7"/>
        <v>0</v>
      </c>
      <c r="R3" s="10" t="str">
        <f t="shared" si="8"/>
        <v>1</v>
      </c>
      <c r="S3" s="10" t="str">
        <f t="shared" si="9"/>
        <v>#DIV/0!</v>
      </c>
      <c r="T3" s="115" t="str">
        <f t="shared" si="10"/>
        <v>騎士兵團</v>
      </c>
      <c r="U3" s="10">
        <v>0.0</v>
      </c>
      <c r="V3" s="183">
        <v>1.0</v>
      </c>
      <c r="W3" s="183">
        <v>0.0</v>
      </c>
      <c r="X3" s="183">
        <v>1.0</v>
      </c>
      <c r="Y3" s="183">
        <v>1.0</v>
      </c>
      <c r="Z3" s="185">
        <f>'skill data'!L128</f>
        <v>0</v>
      </c>
      <c r="AA3" s="126">
        <f>IF(Z3&gt;0,VLOOKUP(Z3,simulationData!A26:C50,2,FALSE),0)</f>
        <v>0</v>
      </c>
      <c r="AB3" s="126" t="s">
        <v>52</v>
      </c>
      <c r="AC3" s="185">
        <f>'skill data'!Q128</f>
        <v>0</v>
      </c>
      <c r="AD3" s="126">
        <f>IF(AC3&gt;0,VLOOKUP(AC3,simulationData!D26:F50,2,FALSE),1)</f>
        <v>1</v>
      </c>
      <c r="AE3" s="126">
        <f>IF(AC3&gt;0,VLOOKUP(AC3,simulationData!D26:F50,3,FALSE),0)</f>
        <v>0</v>
      </c>
      <c r="AF3" s="185">
        <f>'skill data'!V128</f>
        <v>0</v>
      </c>
      <c r="AG3" s="126">
        <f>IF(AF3&gt;0,VLOOKUP(AF3,simulationData!G26:I50,2,FALSE),0)</f>
        <v>0</v>
      </c>
      <c r="AH3" s="126">
        <f>IF(AF3&gt;0,VLOOKUP(AF3,simulationData!G26:I50,3,FALSE),0)</f>
        <v>0</v>
      </c>
      <c r="AI3" s="185">
        <f>'skill data'!L153</f>
        <v>0</v>
      </c>
      <c r="AJ3" s="154">
        <f>IF(AI3&gt;0,VLOOKUP(AI3,simulationData!J26:L50,2,FALSE),1)</f>
        <v>1</v>
      </c>
      <c r="AK3" s="154">
        <f>IF(AI3&gt;0,VLOOKUP(AI3,simulationData!J26:L50,3,FALSE),0)</f>
        <v>0</v>
      </c>
      <c r="AL3" s="185">
        <f>'skill data'!Q153</f>
        <v>0</v>
      </c>
      <c r="AM3" s="154">
        <f>IF(AL3&gt;0,VLOOKUP(AL3,simulationData!M26:O50,2,FALSE),1)</f>
        <v>1</v>
      </c>
      <c r="AN3" s="154">
        <f>IF(AL3&gt;0,VLOOKUP(AL3,simulationData!M26:O50,3,FALSE),0)</f>
        <v>0</v>
      </c>
      <c r="AO3" s="185">
        <f>'skill data'!V153</f>
        <v>0</v>
      </c>
      <c r="AP3" s="154">
        <f>IF(AO3&gt;0,VLOOKUP(AO3,simulationData!P26:R50,2,FALSE),1)</f>
        <v>1</v>
      </c>
      <c r="AQ3" s="154">
        <f>IF(AO3&gt;0,VLOOKUP(AO3,simulationData!P26:R50,3,FALSE),0)</f>
        <v>0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ht="16.5" customHeight="1">
      <c r="A4" s="4">
        <v>3.0</v>
      </c>
      <c r="B4" s="115" t="s">
        <v>58</v>
      </c>
      <c r="C4" s="182">
        <f>AD3</f>
        <v>1</v>
      </c>
      <c r="D4" s="10">
        <f t="shared" si="1"/>
        <v>0</v>
      </c>
      <c r="E4" s="184">
        <f t="shared" si="2"/>
        <v>0</v>
      </c>
      <c r="F4" s="10" t="str">
        <f t="shared" si="3"/>
        <v>1</v>
      </c>
      <c r="G4" s="182">
        <f>AE3</f>
        <v>0</v>
      </c>
      <c r="H4" s="10">
        <f t="shared" ref="H4:H6" si="11">IF(G4&gt;1,LOG(G4),0)</f>
        <v>0</v>
      </c>
      <c r="I4" s="184">
        <f t="shared" ref="I4:I6" si="12">IF(H4&lt;15,FLOOR(H4/3,1),FLOOR(H4,1))</f>
        <v>0</v>
      </c>
      <c r="J4" s="10" t="str">
        <f t="shared" ref="J4:J6" si="13">IF(H4&lt;15,ROUND(G4/10^(3*I4),2)&amp;VLOOKUP(I4,$C$79:$G$83,2,FALSE),ROUND(G4/10^I4,2)&amp;"e"&amp;I4)</f>
        <v>0</v>
      </c>
      <c r="K4" s="10">
        <f>C4*20/(20-G4)</f>
        <v>1</v>
      </c>
      <c r="L4" s="10">
        <f>HLOOKUP('skill data'!$AL$12,$U$1:$Y$36,A4+1,FALSE)</f>
        <v>1</v>
      </c>
      <c r="M4" s="10">
        <f t="shared" si="4"/>
        <v>1</v>
      </c>
      <c r="N4" s="10" t="s">
        <v>52</v>
      </c>
      <c r="O4" s="10">
        <f t="shared" si="5"/>
        <v>1</v>
      </c>
      <c r="P4" s="10">
        <f t="shared" si="6"/>
        <v>0</v>
      </c>
      <c r="Q4" s="184">
        <f t="shared" si="7"/>
        <v>0</v>
      </c>
      <c r="R4" s="10" t="str">
        <f t="shared" si="8"/>
        <v>1</v>
      </c>
      <c r="S4" s="10" t="str">
        <f t="shared" si="9"/>
        <v>#DIV/0!</v>
      </c>
      <c r="T4" s="115" t="str">
        <f t="shared" si="10"/>
        <v>寵物進化</v>
      </c>
      <c r="U4" s="10">
        <v>0.0</v>
      </c>
      <c r="V4" s="183">
        <v>1.0</v>
      </c>
      <c r="W4" s="183">
        <v>0.0</v>
      </c>
      <c r="X4" s="183">
        <v>0.0</v>
      </c>
      <c r="Y4" s="183">
        <v>0.0</v>
      </c>
      <c r="Z4" s="185">
        <f>'skill data'!L134</f>
        <v>0</v>
      </c>
      <c r="AA4" s="126">
        <f>IF(Z4&gt;0,VLOOKUP(Z4,simulationData!A51:C75,2,FALSE),1)</f>
        <v>1</v>
      </c>
      <c r="AB4" s="126">
        <f>-Z4</f>
        <v>0</v>
      </c>
      <c r="AC4" s="185">
        <f>'skill data'!Q134</f>
        <v>0</v>
      </c>
      <c r="AD4" s="126">
        <f>IF(AC4&gt;0,VLOOKUP(AC4,simulationData!D51:F75,2,FALSE),1)</f>
        <v>1</v>
      </c>
      <c r="AE4" s="126">
        <f>IF(AC4&gt;0,VLOOKUP(AC4,simulationData!D51:F75,3,FALSE),0)</f>
        <v>0</v>
      </c>
      <c r="AF4" s="185">
        <f>'skill data'!V134</f>
        <v>0</v>
      </c>
      <c r="AG4" s="126">
        <f>IF(AF4&gt;0,VLOOKUP(AF4,simulationData!G51:I75,2,FALSE),0)</f>
        <v>0</v>
      </c>
      <c r="AH4" s="126">
        <f>IF(AF4&gt;0,VLOOKUP(AF4,simulationData!G51:I75,3,FALSE),0)</f>
        <v>0</v>
      </c>
      <c r="AI4" s="185">
        <f>'skill data'!L159</f>
        <v>0</v>
      </c>
      <c r="AJ4" s="154">
        <f>IF(AI4&gt;0,VLOOKUP(AI4,simulationData!J51:L75,2,FALSE),0)</f>
        <v>0</v>
      </c>
      <c r="AK4" s="154">
        <f>IF(AI4&gt;0,VLOOKUP(AI4,simulationData!J51:L75,3,FALSE),0)</f>
        <v>0</v>
      </c>
      <c r="AL4" s="185">
        <f>'skill data'!Q159</f>
        <v>0</v>
      </c>
      <c r="AM4" s="154">
        <f>IF(AL4&gt;0,VLOOKUP(AL4,simulationData!M51:O75,2,FALSE),0)</f>
        <v>0</v>
      </c>
      <c r="AN4" s="154">
        <f>IF(AL4&gt;0,VLOOKUP(AL4,simulationData!M51:O75,3,FALSE),0)</f>
        <v>0</v>
      </c>
      <c r="AO4" s="185">
        <f>'skill data'!V159</f>
        <v>0</v>
      </c>
      <c r="AP4" s="154">
        <f>IF(AO4&gt;0,VLOOKUP(AO4,simulationData!P51:R75,2,FALSE),1)</f>
        <v>1</v>
      </c>
      <c r="AQ4" s="154">
        <f>IF(AO4&gt;0,VLOOKUP(AO4,simulationData!P51:R75,3,FALSE),0)</f>
        <v>0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ht="16.5" customHeight="1">
      <c r="A5" s="4">
        <v>4.0</v>
      </c>
      <c r="B5" s="115" t="s">
        <v>59</v>
      </c>
      <c r="C5" s="182">
        <f>AG3</f>
        <v>0</v>
      </c>
      <c r="D5" s="10">
        <f t="shared" si="1"/>
        <v>0</v>
      </c>
      <c r="E5" s="184">
        <f t="shared" si="2"/>
        <v>0</v>
      </c>
      <c r="F5" s="10" t="str">
        <f t="shared" si="3"/>
        <v>0</v>
      </c>
      <c r="G5" s="182">
        <f>AH3</f>
        <v>0</v>
      </c>
      <c r="H5" s="10">
        <f t="shared" si="11"/>
        <v>0</v>
      </c>
      <c r="I5" s="184">
        <f t="shared" si="12"/>
        <v>0</v>
      </c>
      <c r="J5" s="10" t="str">
        <f t="shared" si="13"/>
        <v>0</v>
      </c>
      <c r="K5" s="10">
        <f t="shared" ref="K5:K14" si="15">C5</f>
        <v>0</v>
      </c>
      <c r="L5" s="10">
        <f>HLOOKUP('skill data'!$AL$12,$U$1:$Y$36,A5+1,FALSE)</f>
        <v>0.75</v>
      </c>
      <c r="M5" s="10">
        <f t="shared" si="4"/>
        <v>1</v>
      </c>
      <c r="N5" s="10" t="s">
        <v>52</v>
      </c>
      <c r="O5" s="10">
        <f t="shared" si="5"/>
        <v>1</v>
      </c>
      <c r="P5" s="10">
        <f t="shared" si="6"/>
        <v>0</v>
      </c>
      <c r="Q5" s="184">
        <f t="shared" si="7"/>
        <v>0</v>
      </c>
      <c r="R5" s="10" t="str">
        <f t="shared" si="8"/>
        <v>1</v>
      </c>
      <c r="S5" s="10" t="str">
        <f t="shared" si="9"/>
        <v>#DIV/0!</v>
      </c>
      <c r="T5" s="115" t="str">
        <f t="shared" si="10"/>
        <v>米達斯之心</v>
      </c>
      <c r="U5" s="10">
        <v>0.0</v>
      </c>
      <c r="V5" s="183">
        <f>AC25</f>
        <v>0.75</v>
      </c>
      <c r="W5" s="183">
        <f t="shared" ref="W5:Y5" si="14">V5</f>
        <v>0.75</v>
      </c>
      <c r="X5" s="183">
        <f t="shared" si="14"/>
        <v>0.75</v>
      </c>
      <c r="Y5" s="183">
        <f t="shared" si="14"/>
        <v>0.75</v>
      </c>
      <c r="Z5" s="185">
        <f>'skill data'!L140</f>
        <v>0</v>
      </c>
      <c r="AA5" s="126">
        <f>IF(Z5&gt;0,VLOOKUP(Z5,simulationData!A76:C95,2,FALSE),1)</f>
        <v>1</v>
      </c>
      <c r="AB5" s="126">
        <f>IF(Z5&gt;0,VLOOKUP(Z5,simulationData!A76:C95,3,FALSE),0)</f>
        <v>0</v>
      </c>
      <c r="AC5" s="126"/>
      <c r="AD5" s="126"/>
      <c r="AE5" s="126"/>
      <c r="AF5" s="185">
        <f>'skill data'!V140</f>
        <v>0</v>
      </c>
      <c r="AG5" s="126">
        <f>IF(AF5&gt;0,VLOOKUP(AF5,simulationData!G76:I100,2,FALSE),0)</f>
        <v>0</v>
      </c>
      <c r="AH5" s="126">
        <f>IF(AF5&gt;0,VLOOKUP(AF5,simulationData!G76:I100,3,FALSE),0)</f>
        <v>0</v>
      </c>
      <c r="AI5" s="185">
        <f>'skill data'!L165</f>
        <v>0</v>
      </c>
      <c r="AJ5" s="154">
        <f>IF(AI5&gt;0,VLOOKUP(AI5,simulationData!J76:L100,2,FALSE),1)</f>
        <v>1</v>
      </c>
      <c r="AK5" s="154">
        <f>IF(AI5&gt;0,VLOOKUP(AI5,simulationData!J76:L100,3,FALSE),0)</f>
        <v>0</v>
      </c>
      <c r="AL5" s="154"/>
      <c r="AM5" s="154"/>
      <c r="AN5" s="154"/>
      <c r="AO5" s="185">
        <f>'skill data'!V165</f>
        <v>0</v>
      </c>
      <c r="AP5" s="154">
        <f>IF(AO5&gt;0,VLOOKUP(AO5,simulationData!P76:R100,2,FALSE),1)</f>
        <v>1</v>
      </c>
      <c r="AQ5" s="154">
        <f>IF(AO5&gt;0,VLOOKUP(AO5,simulationData!P76:R100,3,FALSE),0)</f>
        <v>0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ht="16.5" customHeight="1">
      <c r="A6" s="4">
        <v>5.0</v>
      </c>
      <c r="B6" s="115" t="s">
        <v>81</v>
      </c>
      <c r="C6" s="182">
        <f>AA4</f>
        <v>1</v>
      </c>
      <c r="D6" s="10">
        <f t="shared" si="1"/>
        <v>0</v>
      </c>
      <c r="E6" s="184">
        <f t="shared" si="2"/>
        <v>0</v>
      </c>
      <c r="F6" s="10" t="str">
        <f t="shared" si="3"/>
        <v>1</v>
      </c>
      <c r="G6" s="182">
        <f>AB4</f>
        <v>0</v>
      </c>
      <c r="H6" s="10">
        <f t="shared" si="11"/>
        <v>0</v>
      </c>
      <c r="I6" s="184">
        <f t="shared" si="12"/>
        <v>0</v>
      </c>
      <c r="J6" s="10" t="str">
        <f t="shared" si="13"/>
        <v>0</v>
      </c>
      <c r="K6" s="10">
        <f t="shared" si="15"/>
        <v>1</v>
      </c>
      <c r="L6" s="10">
        <f>HLOOKUP('skill data'!$AL$12,$U$1:$Y$36,A6+1,FALSE)</f>
        <v>1</v>
      </c>
      <c r="M6" s="10">
        <f t="shared" si="4"/>
        <v>1</v>
      </c>
      <c r="N6" s="10">
        <f>AC17</f>
        <v>0</v>
      </c>
      <c r="O6" s="10">
        <f>IF(C6&gt;1,IF(N6&gt;0,M6*N6,0.001),1)</f>
        <v>1</v>
      </c>
      <c r="P6" s="10">
        <f t="shared" si="6"/>
        <v>0</v>
      </c>
      <c r="Q6" s="184">
        <f>IF(P6&gt;=0,IF(P6&lt;15,FLOOR(P6/3,1),FLOOR(P6,1)),0)</f>
        <v>0</v>
      </c>
      <c r="R6" s="10" t="str">
        <f t="shared" si="8"/>
        <v>1</v>
      </c>
      <c r="S6" s="10" t="str">
        <f t="shared" si="9"/>
        <v>#DIV/0!</v>
      </c>
      <c r="T6" s="115" t="s">
        <v>81</v>
      </c>
      <c r="U6" s="10">
        <v>0.0</v>
      </c>
      <c r="V6" s="183">
        <v>1.0</v>
      </c>
      <c r="W6" s="183">
        <v>1.0</v>
      </c>
      <c r="X6" s="183">
        <v>1.0</v>
      </c>
      <c r="Y6" s="183">
        <v>1.0</v>
      </c>
      <c r="Z6" s="61"/>
      <c r="AA6" s="61"/>
      <c r="AB6" s="61"/>
      <c r="AC6" s="185" t="str">
        <f>'skill data'!AG122</f>
        <v/>
      </c>
      <c r="AD6" s="61">
        <f>IF(AC6&gt;0,VLOOKUP(AC6,simulationData!V1:X25,2,FALSE),0)</f>
        <v>0</v>
      </c>
      <c r="AE6" s="61">
        <f>IF(AC6&gt;0,VLOOKUP(AC6,simulationData!V1:X25,3,FALSE),0)</f>
        <v>0</v>
      </c>
      <c r="AF6" s="61"/>
      <c r="AG6" s="61"/>
      <c r="AH6" s="61"/>
      <c r="AI6" s="77"/>
      <c r="AJ6" s="77"/>
      <c r="AK6" s="77"/>
      <c r="AL6" s="185" t="str">
        <f>'skill data'!AG147</f>
        <v/>
      </c>
      <c r="AM6" s="77">
        <f>IF(AL6&gt;0,VLOOKUP(AL6,simulationData!AE1:AG25,2,FALSE),1)</f>
        <v>1</v>
      </c>
      <c r="AN6" s="77">
        <f>IF(AL6&gt;0,VLOOKUP(AL6,simulationData!AE1:AG25,3,FALSE),1)</f>
        <v>1</v>
      </c>
      <c r="AO6" s="77"/>
      <c r="AP6" s="77"/>
      <c r="AQ6" s="77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ht="16.5" customHeight="1">
      <c r="A7" s="181">
        <v>6.0</v>
      </c>
      <c r="B7" s="115" t="s">
        <v>82</v>
      </c>
      <c r="C7" s="182">
        <f>AD4</f>
        <v>1</v>
      </c>
      <c r="D7" s="10">
        <f t="shared" si="1"/>
        <v>0</v>
      </c>
      <c r="E7" s="184">
        <f t="shared" si="2"/>
        <v>0</v>
      </c>
      <c r="F7" s="10" t="str">
        <f t="shared" si="3"/>
        <v>1</v>
      </c>
      <c r="G7" s="182">
        <f>AE4</f>
        <v>0</v>
      </c>
      <c r="H7" s="10"/>
      <c r="I7" s="184"/>
      <c r="J7" s="10"/>
      <c r="K7" s="10">
        <f t="shared" si="15"/>
        <v>1</v>
      </c>
      <c r="L7" s="10">
        <f>HLOOKUP('skill data'!$AL$12,$U$1:$Y$36,A7+1,FALSE)</f>
        <v>1</v>
      </c>
      <c r="M7" s="10">
        <f t="shared" si="4"/>
        <v>1</v>
      </c>
      <c r="N7" s="10" t="s">
        <v>52</v>
      </c>
      <c r="O7" s="10">
        <f t="shared" ref="O7:O14" si="16">M7</f>
        <v>1</v>
      </c>
      <c r="P7" s="10">
        <f t="shared" si="6"/>
        <v>0</v>
      </c>
      <c r="Q7" s="184">
        <f t="shared" ref="Q7:Q36" si="17">IF(P7&lt;15,FLOOR(P7/3,1),FLOOR(P7,1))</f>
        <v>0</v>
      </c>
      <c r="R7" s="10" t="str">
        <f t="shared" si="8"/>
        <v>1</v>
      </c>
      <c r="S7" s="10" t="str">
        <f t="shared" si="9"/>
        <v>#DIV/0!</v>
      </c>
      <c r="T7" s="115" t="s">
        <v>82</v>
      </c>
      <c r="U7" s="10">
        <v>0.0</v>
      </c>
      <c r="V7" s="120">
        <v>1.0</v>
      </c>
      <c r="W7" s="183">
        <v>0.0</v>
      </c>
      <c r="X7" s="120">
        <v>0.6</v>
      </c>
      <c r="Y7" s="183">
        <v>1.0</v>
      </c>
      <c r="Z7" s="185">
        <f>'skill data'!AB128</f>
        <v>0</v>
      </c>
      <c r="AA7" s="61">
        <f>IF(Z7&gt;0,VLOOKUP(Z7,simulationData!S26:U50,2,FALSE),1)</f>
        <v>1</v>
      </c>
      <c r="AB7" s="61">
        <f>IF(Z7&gt;0,VLOOKUP(Z7,simulationData!S26:U50,3,FALSE),1)</f>
        <v>1</v>
      </c>
      <c r="AC7" s="185">
        <f>'skill data'!AG128</f>
        <v>0</v>
      </c>
      <c r="AD7" s="61">
        <f>IF(AC7&gt;0,VLOOKUP(AC7,simulationData!V26:X50,2,FALSE),1)</f>
        <v>1</v>
      </c>
      <c r="AE7" s="61">
        <f>IF(AC7&gt;0,VLOOKUP(AC7,simulationData!V26:X50,3,FALSE),0)</f>
        <v>0</v>
      </c>
      <c r="AF7" s="185">
        <f>'skill data'!AL128</f>
        <v>0</v>
      </c>
      <c r="AG7" s="61">
        <f>IF(AF7&gt;0,VLOOKUP(AF7,simulationData!Y26:AA50,2,FALSE),1)</f>
        <v>1</v>
      </c>
      <c r="AH7" s="61">
        <f>IF(AF7&gt;0,VLOOKUP(AF7,simulationData!Y26:AA50,3,FALSE),0)</f>
        <v>0</v>
      </c>
      <c r="AI7" s="185">
        <f>'skill data'!AB153</f>
        <v>0</v>
      </c>
      <c r="AJ7" s="77">
        <f>IF(AI7&gt;0,VLOOKUP(AI7,simulationData!AB26:AD50,2,FALSE),1)</f>
        <v>1</v>
      </c>
      <c r="AK7" s="77">
        <f>IF(AI7&gt;0,VLOOKUP(AI7,simulationData!AB26:AD50,3,FALSE),0)</f>
        <v>0</v>
      </c>
      <c r="AL7" s="185">
        <f>'skill data'!AG153</f>
        <v>0</v>
      </c>
      <c r="AM7" s="77">
        <f>IF(AL7&gt;0,VLOOKUP(AL7,simulationData!AE26:AG50,2,FALSE),0)</f>
        <v>0</v>
      </c>
      <c r="AN7" s="77">
        <f>IF(AL7&gt;0,VLOOKUP(AL7,simulationData!AE26:AG50,3,FALSE),0)</f>
        <v>0</v>
      </c>
      <c r="AO7" s="185">
        <f>'skill data'!AL153</f>
        <v>0</v>
      </c>
      <c r="AP7" s="77">
        <f>IF(AO7&gt;0,VLOOKUP(AO7,simulationData!AH26:AJ50,2,FALSE),0)</f>
        <v>0</v>
      </c>
      <c r="AQ7" s="77">
        <f>IF(AO7&gt;0,VLOOKUP(AO7,simulationData!AH26:AJ50,3,FALSE),0)</f>
        <v>0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ht="16.5" customHeight="1">
      <c r="A8" s="4">
        <v>7.0</v>
      </c>
      <c r="B8" s="115" t="s">
        <v>83</v>
      </c>
      <c r="C8" s="182">
        <f>AG4</f>
        <v>0</v>
      </c>
      <c r="D8" s="10">
        <f t="shared" si="1"/>
        <v>0</v>
      </c>
      <c r="E8" s="184">
        <f t="shared" si="2"/>
        <v>0</v>
      </c>
      <c r="F8" s="10" t="str">
        <f t="shared" si="3"/>
        <v>0</v>
      </c>
      <c r="G8" s="182">
        <f>AH4</f>
        <v>0</v>
      </c>
      <c r="H8" s="10">
        <f t="shared" ref="H8:H10" si="18">IF(G8&gt;1,LOG(G8),0)</f>
        <v>0</v>
      </c>
      <c r="I8" s="184">
        <f t="shared" ref="I8:I10" si="19">IF(H8&lt;15,FLOOR(H8/3,1),FLOOR(H8,1))</f>
        <v>0</v>
      </c>
      <c r="J8" s="10" t="str">
        <f t="shared" ref="J8:J10" si="20">IF(H8&lt;15,ROUND(G8/10^(3*I8),2)&amp;VLOOKUP(I8,$C$79:$G$83,2,FALSE),ROUND(G8/10^I8,2)&amp;"e"&amp;I8)</f>
        <v>0</v>
      </c>
      <c r="K8" s="10">
        <f t="shared" si="15"/>
        <v>0</v>
      </c>
      <c r="L8" s="10">
        <f>HLOOKUP('skill data'!$AL$12,$U$1:$Y$36,A8+1,FALSE)</f>
        <v>1</v>
      </c>
      <c r="M8" s="10">
        <f>MAX(1,L8*K8)</f>
        <v>1</v>
      </c>
      <c r="N8" s="10" t="s">
        <v>52</v>
      </c>
      <c r="O8" s="10">
        <f t="shared" si="16"/>
        <v>1</v>
      </c>
      <c r="P8" s="10">
        <f t="shared" si="6"/>
        <v>0</v>
      </c>
      <c r="Q8" s="184">
        <f t="shared" si="17"/>
        <v>0</v>
      </c>
      <c r="R8" s="10" t="str">
        <f t="shared" si="8"/>
        <v>1</v>
      </c>
      <c r="S8" s="10" t="str">
        <f t="shared" si="9"/>
        <v>#DIV/0!</v>
      </c>
      <c r="T8" s="115" t="s">
        <v>83</v>
      </c>
      <c r="U8" s="10">
        <v>0.0</v>
      </c>
      <c r="V8" s="183">
        <v>1.0</v>
      </c>
      <c r="W8" s="183">
        <v>0.0</v>
      </c>
      <c r="X8" s="183">
        <v>0.0</v>
      </c>
      <c r="Y8" s="183">
        <v>0.0</v>
      </c>
      <c r="Z8" s="185">
        <f>'skill data'!AB134</f>
        <v>0</v>
      </c>
      <c r="AA8" s="61">
        <f>IF(Z8&gt;0,VLOOKUP(Z8,simulationData!S51:U75,2,FALSE),0)</f>
        <v>0</v>
      </c>
      <c r="AB8" s="61">
        <f>IF(Z8&gt;0,VLOOKUP(Z8,simulationData!S51:U75,3,FALSE),0)</f>
        <v>0</v>
      </c>
      <c r="AC8" s="185">
        <f>'skill data'!AG134</f>
        <v>0</v>
      </c>
      <c r="AD8" s="61">
        <f>IF(AC8&gt;0,VLOOKUP(AC8,simulationData!V51:X75,2,FALSE),0)</f>
        <v>0</v>
      </c>
      <c r="AE8" s="61" t="s">
        <v>52</v>
      </c>
      <c r="AF8" s="185">
        <f>'skill data'!AL134</f>
        <v>0</v>
      </c>
      <c r="AG8" s="61">
        <f>IF(AF8&gt;0,VLOOKUP(AF8,simulationData!Y51:AA75,2,FALSE),0)</f>
        <v>0</v>
      </c>
      <c r="AH8" s="61">
        <f>IF(AF8&gt;0,VLOOKUP(AF8,simulationData!Y51:AA75,3,FALSE),0)</f>
        <v>0</v>
      </c>
      <c r="AI8" s="185">
        <f>'skill data'!AB159</f>
        <v>0</v>
      </c>
      <c r="AJ8" s="77">
        <f>IF(AI8&gt;0,VLOOKUP(AI8,simulationData!AB51:AD75,2,FALSE),0)</f>
        <v>0</v>
      </c>
      <c r="AK8" s="77">
        <f>IF(AI8&gt;0,VLOOKUP(AI8,simulationData!AB51:AD75,3,FALSE),0)</f>
        <v>0</v>
      </c>
      <c r="AL8" s="185">
        <f>'skill data'!AG159</f>
        <v>0</v>
      </c>
      <c r="AM8" s="77">
        <f>IF(AL8&gt;0,VLOOKUP(AL8,simulationData!AE51:AG75,2,FALSE),0)</f>
        <v>0</v>
      </c>
      <c r="AN8" s="77">
        <f>IF(AL8&gt;0,VLOOKUP(AL8,simulationData!AE51:AG75,3,FALSE),0)</f>
        <v>0</v>
      </c>
      <c r="AO8" s="185">
        <f>'skill data'!AL159</f>
        <v>0</v>
      </c>
      <c r="AP8" s="77">
        <f>IF(AO8&gt;0,VLOOKUP(AO8,simulationData!AH51:AJ75,2,FALSE),0)</f>
        <v>0</v>
      </c>
      <c r="AQ8" s="77">
        <f>IF(AO8&gt;0,VLOOKUP(AO8,simulationData!AH51:AJ75,3,FALSE),0)</f>
        <v>0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ht="16.5" customHeight="1">
      <c r="A9" s="4">
        <v>8.0</v>
      </c>
      <c r="B9" s="115" t="s">
        <v>106</v>
      </c>
      <c r="C9" s="182">
        <f>AA5</f>
        <v>1</v>
      </c>
      <c r="D9" s="10">
        <f t="shared" si="1"/>
        <v>0</v>
      </c>
      <c r="E9" s="184">
        <f t="shared" si="2"/>
        <v>0</v>
      </c>
      <c r="F9" s="10" t="str">
        <f t="shared" si="3"/>
        <v>1</v>
      </c>
      <c r="G9" s="182">
        <f>AB5</f>
        <v>0</v>
      </c>
      <c r="H9" s="10">
        <f t="shared" si="18"/>
        <v>0</v>
      </c>
      <c r="I9" s="184">
        <f t="shared" si="19"/>
        <v>0</v>
      </c>
      <c r="J9" s="10" t="str">
        <f t="shared" si="20"/>
        <v>0</v>
      </c>
      <c r="K9" s="10">
        <f t="shared" si="15"/>
        <v>1</v>
      </c>
      <c r="L9" s="10">
        <f>HLOOKUP('skill data'!$AL$12,$U$1:$Y$36,A9+1,FALSE)</f>
        <v>1</v>
      </c>
      <c r="M9" s="10">
        <f t="shared" ref="M9:M36" si="21">IF(K9&gt;0,K9^L9,1)</f>
        <v>1</v>
      </c>
      <c r="N9" s="10" t="s">
        <v>52</v>
      </c>
      <c r="O9" s="10">
        <f t="shared" si="16"/>
        <v>1</v>
      </c>
      <c r="P9" s="10">
        <f t="shared" si="6"/>
        <v>0</v>
      </c>
      <c r="Q9" s="184">
        <f t="shared" si="17"/>
        <v>0</v>
      </c>
      <c r="R9" s="10" t="str">
        <f t="shared" si="8"/>
        <v>1</v>
      </c>
      <c r="S9" s="10" t="str">
        <f t="shared" si="9"/>
        <v>#DIV/0!</v>
      </c>
      <c r="T9" s="115" t="s">
        <v>106</v>
      </c>
      <c r="U9" s="10">
        <v>0.0</v>
      </c>
      <c r="V9" s="183">
        <v>1.0</v>
      </c>
      <c r="W9" s="183">
        <v>0.0</v>
      </c>
      <c r="X9" s="120">
        <v>0.6</v>
      </c>
      <c r="Y9" s="183">
        <v>1.0</v>
      </c>
      <c r="Z9" s="185">
        <f>'skill data'!AB140</f>
        <v>0</v>
      </c>
      <c r="AA9" s="61">
        <f>IF(Z9&gt;0,VLOOKUP(Z9,simulationData!S76:U100,2,FALSE),0)</f>
        <v>0</v>
      </c>
      <c r="AB9" s="61">
        <f>IF(Z9&gt;0,VLOOKUP(Z9,simulationData!S76:U100,3,FALSE),0)</f>
        <v>0</v>
      </c>
      <c r="AC9" s="185">
        <f>'skill data'!AG140</f>
        <v>0</v>
      </c>
      <c r="AD9" s="61">
        <f>IF(AC9&gt;0,VLOOKUP(AC9,simulationData!V76:X100,2,FALSE),0)</f>
        <v>0</v>
      </c>
      <c r="AE9" s="61">
        <f>IF(AC9&gt;0,VLOOKUP(AC9,simulationData!V76:X100,3,FALSE),0)</f>
        <v>0</v>
      </c>
      <c r="AF9" s="185">
        <f>'skill data'!AL140</f>
        <v>0</v>
      </c>
      <c r="AG9" s="61">
        <f>IF(AF9&gt;0,VLOOKUP(AF9,simulationData!Y76:AA100,2,FALSE),1)</f>
        <v>1</v>
      </c>
      <c r="AH9" s="61">
        <f>IF(AF9&gt;0,VLOOKUP(AF9,simulationData!Y76:AA100,3,FALSE),1)</f>
        <v>1</v>
      </c>
      <c r="AI9" s="77"/>
      <c r="AJ9" s="77"/>
      <c r="AK9" s="77"/>
      <c r="AL9" s="77"/>
      <c r="AM9" s="77"/>
      <c r="AN9" s="77"/>
      <c r="AO9" s="77"/>
      <c r="AP9" s="77"/>
      <c r="AQ9" s="77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ht="16.5" customHeight="1">
      <c r="A10" s="4">
        <v>9.0</v>
      </c>
      <c r="B10" s="115" t="s">
        <v>107</v>
      </c>
      <c r="C10" s="182">
        <f>AG5</f>
        <v>0</v>
      </c>
      <c r="D10" s="10">
        <f t="shared" si="1"/>
        <v>0</v>
      </c>
      <c r="E10" s="184">
        <f t="shared" si="2"/>
        <v>0</v>
      </c>
      <c r="F10" s="10" t="str">
        <f t="shared" si="3"/>
        <v>0</v>
      </c>
      <c r="G10" s="182">
        <f>AH5</f>
        <v>0</v>
      </c>
      <c r="H10" s="10">
        <f t="shared" si="18"/>
        <v>0</v>
      </c>
      <c r="I10" s="184">
        <f t="shared" si="19"/>
        <v>0</v>
      </c>
      <c r="J10" s="10" t="str">
        <f t="shared" si="20"/>
        <v>0</v>
      </c>
      <c r="K10" s="10">
        <f t="shared" si="15"/>
        <v>0</v>
      </c>
      <c r="L10" s="10">
        <f>HLOOKUP('skill data'!$AL$12,$U$1:$Y$36,A10+1,FALSE)</f>
        <v>1</v>
      </c>
      <c r="M10" s="10">
        <f t="shared" si="21"/>
        <v>1</v>
      </c>
      <c r="N10" s="10" t="s">
        <v>52</v>
      </c>
      <c r="O10" s="10">
        <f t="shared" si="16"/>
        <v>1</v>
      </c>
      <c r="P10" s="10">
        <f t="shared" si="6"/>
        <v>0</v>
      </c>
      <c r="Q10" s="184">
        <f t="shared" si="17"/>
        <v>0</v>
      </c>
      <c r="R10" s="10" t="str">
        <f t="shared" si="8"/>
        <v>1</v>
      </c>
      <c r="S10" s="10" t="str">
        <f t="shared" si="9"/>
        <v>#DIV/0!</v>
      </c>
      <c r="T10" s="115" t="s">
        <v>107</v>
      </c>
      <c r="U10" s="10">
        <v>0.0</v>
      </c>
      <c r="V10" s="183">
        <v>1.0</v>
      </c>
      <c r="W10" s="183">
        <v>0.0</v>
      </c>
      <c r="X10" s="183">
        <v>0.0</v>
      </c>
      <c r="Y10" s="183">
        <v>0.0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ht="16.5" customHeight="1">
      <c r="A11" s="4">
        <v>10.0</v>
      </c>
      <c r="B11" s="154" t="s">
        <v>127</v>
      </c>
      <c r="C11" s="182">
        <f>AM2</f>
        <v>1</v>
      </c>
      <c r="D11" s="10">
        <f t="shared" si="1"/>
        <v>0</v>
      </c>
      <c r="E11" s="184">
        <f t="shared" si="2"/>
        <v>0</v>
      </c>
      <c r="F11" s="10" t="str">
        <f t="shared" si="3"/>
        <v>1</v>
      </c>
      <c r="G11" s="182" t="str">
        <f>AN2</f>
        <v>-</v>
      </c>
      <c r="H11" s="10"/>
      <c r="I11" s="184"/>
      <c r="J11" s="10"/>
      <c r="K11" s="10">
        <f t="shared" si="15"/>
        <v>1</v>
      </c>
      <c r="L11" s="10">
        <f>HLOOKUP('skill data'!$AL$12,$U$1:$Y$36,A11+1,FALSE)</f>
        <v>0.5</v>
      </c>
      <c r="M11" s="10">
        <f t="shared" si="21"/>
        <v>1</v>
      </c>
      <c r="N11" s="10" t="s">
        <v>52</v>
      </c>
      <c r="O11" s="10">
        <f t="shared" si="16"/>
        <v>1</v>
      </c>
      <c r="P11" s="10">
        <f t="shared" si="6"/>
        <v>0</v>
      </c>
      <c r="Q11" s="184">
        <f t="shared" si="17"/>
        <v>0</v>
      </c>
      <c r="R11" s="10" t="str">
        <f t="shared" si="8"/>
        <v>1</v>
      </c>
      <c r="S11" s="10" t="str">
        <f t="shared" si="9"/>
        <v>#DIV/0!</v>
      </c>
      <c r="T11" s="154" t="s">
        <v>127</v>
      </c>
      <c r="U11" s="10">
        <v>0.0</v>
      </c>
      <c r="V11" s="183">
        <v>0.5</v>
      </c>
      <c r="W11" s="183">
        <v>1.0</v>
      </c>
      <c r="X11" s="120">
        <v>0.6</v>
      </c>
      <c r="Y11" s="183">
        <v>0.5</v>
      </c>
      <c r="Z11" s="4"/>
      <c r="AA11" s="4"/>
      <c r="AB11" s="4"/>
      <c r="AC11" s="4"/>
      <c r="AD11" s="4"/>
      <c r="AE11" s="4">
        <v>0.0</v>
      </c>
      <c r="AF11" s="4">
        <v>1.0</v>
      </c>
      <c r="AG11" s="4">
        <v>2.0</v>
      </c>
      <c r="AH11" s="4">
        <v>3.0</v>
      </c>
      <c r="AI11" s="4">
        <v>4.0</v>
      </c>
      <c r="AJ11" s="4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ht="16.5" customHeight="1">
      <c r="A12" s="4">
        <v>11.0</v>
      </c>
      <c r="B12" s="154" t="s">
        <v>133</v>
      </c>
      <c r="C12" s="182">
        <f>AJ3</f>
        <v>1</v>
      </c>
      <c r="D12" s="10">
        <f t="shared" si="1"/>
        <v>0</v>
      </c>
      <c r="E12" s="184">
        <f t="shared" si="2"/>
        <v>0</v>
      </c>
      <c r="F12" s="10" t="str">
        <f t="shared" si="3"/>
        <v>1</v>
      </c>
      <c r="G12" s="182">
        <f>AK3</f>
        <v>0</v>
      </c>
      <c r="H12" s="10">
        <f t="shared" ref="H12:H24" si="23">IF(G12&gt;1,LOG(G12),0)</f>
        <v>0</v>
      </c>
      <c r="I12" s="184">
        <f t="shared" ref="I12:I24" si="24">IF(H12&lt;15,FLOOR(H12/3,1),FLOOR(H12,1))</f>
        <v>0</v>
      </c>
      <c r="J12" s="10" t="str">
        <f t="shared" ref="J12:J24" si="25">IF(H12&lt;15,ROUND(G12/10^(3*I12),2)&amp;VLOOKUP(I12,$C$79:$G$83,2,FALSE),ROUND(G12/10^I12,2)&amp;"e"&amp;I12)</f>
        <v>0</v>
      </c>
      <c r="K12" s="10">
        <f t="shared" si="15"/>
        <v>1</v>
      </c>
      <c r="L12" s="10">
        <f>HLOOKUP('skill data'!$AL$12,$U$1:$Y$36,A12+1,FALSE)</f>
        <v>0</v>
      </c>
      <c r="M12" s="10">
        <f t="shared" si="21"/>
        <v>1</v>
      </c>
      <c r="N12" s="10" t="s">
        <v>52</v>
      </c>
      <c r="O12" s="10">
        <f t="shared" si="16"/>
        <v>1</v>
      </c>
      <c r="P12" s="10">
        <f t="shared" si="6"/>
        <v>0</v>
      </c>
      <c r="Q12" s="184">
        <f t="shared" si="17"/>
        <v>0</v>
      </c>
      <c r="R12" s="10" t="str">
        <f t="shared" si="8"/>
        <v>1</v>
      </c>
      <c r="S12" s="10" t="str">
        <f t="shared" si="9"/>
        <v>#DIV/0!</v>
      </c>
      <c r="T12" s="154" t="s">
        <v>133</v>
      </c>
      <c r="U12" s="10">
        <v>0.0</v>
      </c>
      <c r="V12" s="183">
        <f>AD25</f>
        <v>0</v>
      </c>
      <c r="W12" s="183">
        <f t="shared" ref="W12:Y12" si="22">V12</f>
        <v>0</v>
      </c>
      <c r="X12" s="183">
        <f t="shared" si="22"/>
        <v>0</v>
      </c>
      <c r="Y12" s="183">
        <f t="shared" si="22"/>
        <v>0</v>
      </c>
      <c r="Z12" s="4"/>
      <c r="AA12" s="4" t="s">
        <v>74</v>
      </c>
      <c r="AB12" s="4">
        <f>HLOOKUP('skill data'!AL12,AE11:AI12,2,FALSE)</f>
        <v>1</v>
      </c>
      <c r="AC12" s="4" t="s">
        <v>191</v>
      </c>
      <c r="AD12" s="4"/>
      <c r="AE12" s="4"/>
      <c r="AF12" s="4">
        <v>1.0</v>
      </c>
      <c r="AG12" s="4">
        <v>0.5</v>
      </c>
      <c r="AH12" s="4">
        <v>1.5</v>
      </c>
      <c r="AI12" s="4">
        <v>0.0</v>
      </c>
      <c r="AJ12" s="4"/>
      <c r="AK12" s="120" t="s">
        <v>16</v>
      </c>
      <c r="AL12" s="63">
        <f>VLOOKUP('技能模擬器'!C2,AK15:AL18,2,FALSE)</f>
        <v>1</v>
      </c>
      <c r="AM12" s="10"/>
      <c r="AN12" s="10"/>
      <c r="AO12" s="10"/>
      <c r="AP12" s="120" t="s">
        <v>193</v>
      </c>
      <c r="AQ12" s="10"/>
      <c r="AR12" s="120">
        <v>1.0</v>
      </c>
      <c r="AS12" s="120">
        <v>2.0</v>
      </c>
      <c r="AT12" s="120">
        <v>3.0</v>
      </c>
      <c r="AU12" s="120">
        <v>4.0</v>
      </c>
      <c r="AV12" s="10"/>
      <c r="AW12" s="120">
        <v>1.0</v>
      </c>
      <c r="AX12" s="120">
        <v>2.0</v>
      </c>
      <c r="AY12" s="120">
        <v>3.0</v>
      </c>
      <c r="AZ12" s="120">
        <v>4.0</v>
      </c>
      <c r="BA12" s="10"/>
      <c r="BB12" s="10"/>
    </row>
    <row r="13" ht="16.5" customHeight="1">
      <c r="A13" s="4">
        <v>12.0</v>
      </c>
      <c r="B13" s="154" t="s">
        <v>134</v>
      </c>
      <c r="C13" s="182">
        <f>AM3</f>
        <v>1</v>
      </c>
      <c r="D13" s="10">
        <f t="shared" si="1"/>
        <v>0</v>
      </c>
      <c r="E13" s="184">
        <f t="shared" si="2"/>
        <v>0</v>
      </c>
      <c r="F13" s="10" t="str">
        <f t="shared" si="3"/>
        <v>1</v>
      </c>
      <c r="G13" s="182">
        <f>AN3</f>
        <v>0</v>
      </c>
      <c r="H13" s="10">
        <f t="shared" si="23"/>
        <v>0</v>
      </c>
      <c r="I13" s="184">
        <f t="shared" si="24"/>
        <v>0</v>
      </c>
      <c r="J13" s="10" t="str">
        <f t="shared" si="25"/>
        <v>0</v>
      </c>
      <c r="K13" s="10">
        <f t="shared" si="15"/>
        <v>1</v>
      </c>
      <c r="L13" s="10">
        <f>HLOOKUP('skill data'!$AL$12,$U$1:$Y$36,A13+1,FALSE)</f>
        <v>0.5</v>
      </c>
      <c r="M13" s="10">
        <f t="shared" si="21"/>
        <v>1</v>
      </c>
      <c r="N13" s="10" t="s">
        <v>52</v>
      </c>
      <c r="O13" s="10">
        <f t="shared" si="16"/>
        <v>1</v>
      </c>
      <c r="P13" s="10">
        <f t="shared" si="6"/>
        <v>0</v>
      </c>
      <c r="Q13" s="184">
        <f t="shared" si="17"/>
        <v>0</v>
      </c>
      <c r="R13" s="10" t="str">
        <f t="shared" si="8"/>
        <v>1</v>
      </c>
      <c r="S13" s="10" t="str">
        <f t="shared" si="9"/>
        <v>#DIV/0!</v>
      </c>
      <c r="T13" s="154" t="s">
        <v>134</v>
      </c>
      <c r="U13" s="10">
        <v>0.0</v>
      </c>
      <c r="V13" s="183">
        <f t="shared" ref="V13:Y13" si="26">V11</f>
        <v>0.5</v>
      </c>
      <c r="W13" s="183">
        <f t="shared" si="26"/>
        <v>1</v>
      </c>
      <c r="X13" s="183">
        <f t="shared" si="26"/>
        <v>0.6</v>
      </c>
      <c r="Y13" s="183">
        <f t="shared" si="26"/>
        <v>0.5</v>
      </c>
      <c r="Z13" s="4"/>
      <c r="AA13" s="4" t="s">
        <v>195</v>
      </c>
      <c r="AB13" s="187">
        <v>0.002</v>
      </c>
      <c r="AC13" s="4"/>
      <c r="AD13" s="4"/>
      <c r="AE13" s="4"/>
      <c r="AF13" s="4"/>
      <c r="AG13" s="187"/>
      <c r="AH13" s="4"/>
      <c r="AI13" s="4"/>
      <c r="AJ13" s="4"/>
      <c r="AK13" s="10"/>
      <c r="AL13" s="10"/>
      <c r="AM13" s="10"/>
      <c r="AN13" s="10"/>
      <c r="AO13" s="10"/>
      <c r="AP13" s="120" t="s">
        <v>197</v>
      </c>
      <c r="AQ13" s="120">
        <v>59.0</v>
      </c>
      <c r="AR13" s="120">
        <v>1.0</v>
      </c>
      <c r="AS13" s="120">
        <v>1.0</v>
      </c>
      <c r="AT13" s="120">
        <v>1.0</v>
      </c>
      <c r="AU13" s="120">
        <v>1.0</v>
      </c>
      <c r="AV13" s="10"/>
      <c r="AW13" s="10">
        <f t="shared" ref="AW13:AZ13" si="27">$AQ13*AR13</f>
        <v>59</v>
      </c>
      <c r="AX13" s="10">
        <f t="shared" si="27"/>
        <v>59</v>
      </c>
      <c r="AY13" s="10">
        <f t="shared" si="27"/>
        <v>59</v>
      </c>
      <c r="AZ13" s="10">
        <f t="shared" si="27"/>
        <v>59</v>
      </c>
      <c r="BA13" s="10"/>
      <c r="BB13" s="10"/>
    </row>
    <row r="14" ht="16.5" customHeight="1">
      <c r="A14" s="4">
        <v>13.0</v>
      </c>
      <c r="B14" s="154" t="s">
        <v>135</v>
      </c>
      <c r="C14" s="182">
        <f>AP3</f>
        <v>1</v>
      </c>
      <c r="D14" s="10">
        <f t="shared" si="1"/>
        <v>0</v>
      </c>
      <c r="E14" s="184">
        <f t="shared" si="2"/>
        <v>0</v>
      </c>
      <c r="F14" s="10" t="str">
        <f t="shared" si="3"/>
        <v>1</v>
      </c>
      <c r="G14" s="182">
        <f>AQ3</f>
        <v>0</v>
      </c>
      <c r="H14" s="10">
        <f t="shared" si="23"/>
        <v>0</v>
      </c>
      <c r="I14" s="184">
        <f t="shared" si="24"/>
        <v>0</v>
      </c>
      <c r="J14" s="10" t="str">
        <f t="shared" si="25"/>
        <v>0</v>
      </c>
      <c r="K14" s="10">
        <f t="shared" si="15"/>
        <v>1</v>
      </c>
      <c r="L14" s="10">
        <f>HLOOKUP('skill data'!$AL$12,$U$1:$Y$36,A14+1,FALSE)</f>
        <v>0</v>
      </c>
      <c r="M14" s="10">
        <f t="shared" si="21"/>
        <v>1</v>
      </c>
      <c r="N14" s="10" t="s">
        <v>52</v>
      </c>
      <c r="O14" s="10">
        <f t="shared" si="16"/>
        <v>1</v>
      </c>
      <c r="P14" s="10">
        <f t="shared" si="6"/>
        <v>0</v>
      </c>
      <c r="Q14" s="184">
        <f t="shared" si="17"/>
        <v>0</v>
      </c>
      <c r="R14" s="10" t="str">
        <f t="shared" si="8"/>
        <v>1</v>
      </c>
      <c r="S14" s="10" t="str">
        <f t="shared" si="9"/>
        <v>#DIV/0!</v>
      </c>
      <c r="T14" s="154" t="s">
        <v>135</v>
      </c>
      <c r="U14" s="10">
        <v>0.0</v>
      </c>
      <c r="V14" s="183">
        <v>0.0</v>
      </c>
      <c r="W14" s="183">
        <v>1.0</v>
      </c>
      <c r="X14" s="183">
        <v>0.0</v>
      </c>
      <c r="Y14" s="183">
        <v>0.0</v>
      </c>
      <c r="Z14" s="4"/>
      <c r="AA14" s="4" t="s">
        <v>200</v>
      </c>
      <c r="AB14" s="187">
        <f>AB18-AB16-AB13</f>
        <v>-0.002</v>
      </c>
      <c r="AC14" s="4" t="s">
        <v>52</v>
      </c>
      <c r="AD14" s="4"/>
      <c r="AE14" s="4"/>
      <c r="AF14" s="4" t="s">
        <v>201</v>
      </c>
      <c r="AG14" s="187">
        <v>0.002</v>
      </c>
      <c r="AH14" s="4"/>
      <c r="AI14" s="4"/>
      <c r="AJ14" s="4"/>
      <c r="AK14" s="10"/>
      <c r="AL14" s="10"/>
      <c r="AM14" s="10"/>
      <c r="AN14" s="10"/>
      <c r="AO14" s="10"/>
      <c r="AP14" s="120" t="s">
        <v>203</v>
      </c>
      <c r="AQ14" s="120">
        <v>48.0</v>
      </c>
      <c r="AR14" s="10">
        <f t="shared" ref="AR14:AU14" si="28">V11</f>
        <v>0.5</v>
      </c>
      <c r="AS14" s="10">
        <f t="shared" si="28"/>
        <v>1</v>
      </c>
      <c r="AT14" s="10">
        <f t="shared" si="28"/>
        <v>0.6</v>
      </c>
      <c r="AU14" s="10">
        <f t="shared" si="28"/>
        <v>0.5</v>
      </c>
      <c r="AV14" s="10"/>
      <c r="AW14" s="10">
        <f t="shared" ref="AW14:AZ14" si="29">$AQ14*AR14</f>
        <v>24</v>
      </c>
      <c r="AX14" s="10">
        <f t="shared" si="29"/>
        <v>48</v>
      </c>
      <c r="AY14" s="10">
        <f t="shared" si="29"/>
        <v>28.8</v>
      </c>
      <c r="AZ14" s="10">
        <f t="shared" si="29"/>
        <v>24</v>
      </c>
      <c r="BA14" s="10"/>
      <c r="BB14" s="10"/>
    </row>
    <row r="15" ht="16.5" customHeight="1">
      <c r="A15" s="4">
        <v>14.0</v>
      </c>
      <c r="B15" s="154" t="s">
        <v>144</v>
      </c>
      <c r="C15" s="182">
        <f>AJ4</f>
        <v>0</v>
      </c>
      <c r="D15" s="10">
        <f t="shared" si="1"/>
        <v>0</v>
      </c>
      <c r="E15" s="184">
        <f t="shared" si="2"/>
        <v>0</v>
      </c>
      <c r="F15" s="10" t="str">
        <f t="shared" si="3"/>
        <v>0</v>
      </c>
      <c r="G15" s="182">
        <f>AK4</f>
        <v>0</v>
      </c>
      <c r="H15" s="10">
        <f t="shared" si="23"/>
        <v>0</v>
      </c>
      <c r="I15" s="184">
        <f t="shared" si="24"/>
        <v>0</v>
      </c>
      <c r="J15" s="10" t="str">
        <f t="shared" si="25"/>
        <v>0</v>
      </c>
      <c r="K15" s="10">
        <f>1+C15/100</f>
        <v>1</v>
      </c>
      <c r="L15" s="10">
        <f>HLOOKUP('skill data'!$AL$12,$U$1:$Y$36,A15+1,FALSE)</f>
        <v>156.75</v>
      </c>
      <c r="M15" s="10">
        <f t="shared" si="21"/>
        <v>1</v>
      </c>
      <c r="N15" s="10">
        <f>AC15</f>
        <v>1</v>
      </c>
      <c r="O15" s="10">
        <f>M15*N15</f>
        <v>1</v>
      </c>
      <c r="P15" s="10">
        <f t="shared" si="6"/>
        <v>0</v>
      </c>
      <c r="Q15" s="184">
        <f t="shared" si="17"/>
        <v>0</v>
      </c>
      <c r="R15" s="10" t="str">
        <f t="shared" si="8"/>
        <v>1</v>
      </c>
      <c r="S15" s="10" t="str">
        <f t="shared" si="9"/>
        <v>#DIV/0!</v>
      </c>
      <c r="T15" s="154" t="s">
        <v>144</v>
      </c>
      <c r="U15" s="10">
        <v>0.0</v>
      </c>
      <c r="V15" s="183">
        <f t="shared" ref="V15:Y15" si="30">AW21</f>
        <v>156.75</v>
      </c>
      <c r="W15" s="183">
        <f t="shared" si="30"/>
        <v>152.75</v>
      </c>
      <c r="X15" s="183">
        <f t="shared" si="30"/>
        <v>154.35</v>
      </c>
      <c r="Y15" s="183">
        <f t="shared" si="30"/>
        <v>156.75</v>
      </c>
      <c r="Z15" s="4"/>
      <c r="AA15" s="4" t="s">
        <v>193</v>
      </c>
      <c r="AB15" s="187">
        <f>AB14*AK4/100</f>
        <v>0</v>
      </c>
      <c r="AC15" s="4">
        <f>IF(AB18&gt;0,AC18^AB12/AB18^AB12,1)</f>
        <v>1</v>
      </c>
      <c r="AD15" s="4"/>
      <c r="AE15" s="4">
        <f>IF('技能模擬器'!C13&lt;=40,'技能模擬器'!C13*0.5,20)</f>
        <v>0</v>
      </c>
      <c r="AF15" s="4" t="s">
        <v>208</v>
      </c>
      <c r="AG15" s="187">
        <f>AE15/100</f>
        <v>0</v>
      </c>
      <c r="AH15" s="4"/>
      <c r="AI15" s="4"/>
      <c r="AJ15" s="4"/>
      <c r="AK15" s="120" t="s">
        <v>8</v>
      </c>
      <c r="AL15" s="120">
        <v>1.0</v>
      </c>
      <c r="AM15" s="10"/>
      <c r="AN15" s="10"/>
      <c r="AO15" s="10"/>
      <c r="AP15" s="120" t="s">
        <v>209</v>
      </c>
      <c r="AQ15" s="120">
        <v>28.0</v>
      </c>
      <c r="AR15" s="10">
        <f t="shared" ref="AR15:AU15" si="31">V2</f>
        <v>1</v>
      </c>
      <c r="AS15" s="10">
        <f t="shared" si="31"/>
        <v>0</v>
      </c>
      <c r="AT15" s="10">
        <f t="shared" si="31"/>
        <v>0.6</v>
      </c>
      <c r="AU15" s="10">
        <f t="shared" si="31"/>
        <v>1</v>
      </c>
      <c r="AV15" s="10"/>
      <c r="AW15" s="10">
        <f t="shared" ref="AW15:AZ15" si="32">$AQ15*AR15</f>
        <v>28</v>
      </c>
      <c r="AX15" s="10">
        <f t="shared" si="32"/>
        <v>0</v>
      </c>
      <c r="AY15" s="10">
        <f t="shared" si="32"/>
        <v>16.8</v>
      </c>
      <c r="AZ15" s="10">
        <f t="shared" si="32"/>
        <v>28</v>
      </c>
      <c r="BA15" s="10"/>
      <c r="BB15" s="10"/>
    </row>
    <row r="16" ht="16.5" customHeight="1">
      <c r="A16" s="4">
        <v>15.0</v>
      </c>
      <c r="B16" s="164" t="s">
        <v>145</v>
      </c>
      <c r="C16" s="188">
        <f>AM4</f>
        <v>0</v>
      </c>
      <c r="D16" s="10">
        <f t="shared" si="1"/>
        <v>0</v>
      </c>
      <c r="E16" s="184">
        <f t="shared" si="2"/>
        <v>0</v>
      </c>
      <c r="F16" s="10" t="str">
        <f t="shared" si="3"/>
        <v>0</v>
      </c>
      <c r="G16" s="188">
        <f>AN4</f>
        <v>0</v>
      </c>
      <c r="H16" s="10">
        <f t="shared" si="23"/>
        <v>0</v>
      </c>
      <c r="I16" s="184">
        <f t="shared" si="24"/>
        <v>0</v>
      </c>
      <c r="J16" s="10" t="str">
        <f t="shared" si="25"/>
        <v>0</v>
      </c>
      <c r="K16" s="2">
        <f>1+(C16*0.44*12*G13*30/100)</f>
        <v>1</v>
      </c>
      <c r="L16" s="10">
        <f>HLOOKUP('skill data'!$AL$12,$U$1:$Y$36,A16+1,FALSE)</f>
        <v>0.5</v>
      </c>
      <c r="M16" s="10">
        <f t="shared" si="21"/>
        <v>1</v>
      </c>
      <c r="N16" s="16" t="s">
        <v>52</v>
      </c>
      <c r="O16" s="2">
        <f t="shared" ref="O16:O30" si="35">M16</f>
        <v>1</v>
      </c>
      <c r="P16" s="10">
        <f t="shared" si="6"/>
        <v>0</v>
      </c>
      <c r="Q16" s="184">
        <f t="shared" si="17"/>
        <v>0</v>
      </c>
      <c r="R16" s="10" t="str">
        <f t="shared" si="8"/>
        <v>1</v>
      </c>
      <c r="S16" s="10" t="str">
        <f t="shared" si="9"/>
        <v>#DIV/0!</v>
      </c>
      <c r="T16" s="154" t="str">
        <f>B16</f>
        <v>灼熱之光</v>
      </c>
      <c r="U16" s="16">
        <v>0.0</v>
      </c>
      <c r="V16" s="16">
        <f t="shared" ref="V16:Y16" si="33">V11</f>
        <v>0.5</v>
      </c>
      <c r="W16" s="16">
        <f t="shared" si="33"/>
        <v>1</v>
      </c>
      <c r="X16" s="16">
        <f t="shared" si="33"/>
        <v>0.6</v>
      </c>
      <c r="Y16" s="16">
        <f t="shared" si="33"/>
        <v>0.5</v>
      </c>
      <c r="Z16" s="4"/>
      <c r="AA16" s="4" t="s">
        <v>214</v>
      </c>
      <c r="AB16" s="187" t="str">
        <f>AG19</f>
        <v/>
      </c>
      <c r="AC16" s="4">
        <f>IF(AB18&gt;0,(AB18-AB17)^AB12/(AB18-AB17-AB16)^AB12,1)</f>
        <v>1</v>
      </c>
      <c r="AD16" s="4"/>
      <c r="AE16" s="4" t="str">
        <f>IF(AND('技能模擬器'!C7&gt;0,'技能模擬器'!C7&lt;=25),VLOOKUP('技能模擬器'!C7,simulationData!J51:L75,3,FALSE),)</f>
        <v/>
      </c>
      <c r="AF16" s="4" t="s">
        <v>217</v>
      </c>
      <c r="AG16" s="187">
        <f>AH16-AG17</f>
        <v>-0.002</v>
      </c>
      <c r="AH16" s="187">
        <f>AG20-AG19-AG18-AG14-AG15</f>
        <v>-0.002</v>
      </c>
      <c r="AI16" s="4"/>
      <c r="AJ16" s="4"/>
      <c r="AK16" s="120" t="s">
        <v>219</v>
      </c>
      <c r="AL16" s="120">
        <v>2.0</v>
      </c>
      <c r="AM16" s="10"/>
      <c r="AN16" s="10"/>
      <c r="AO16" s="10"/>
      <c r="AP16" s="120" t="s">
        <v>220</v>
      </c>
      <c r="AQ16" s="120">
        <v>4.0</v>
      </c>
      <c r="AR16" s="120">
        <v>0.0</v>
      </c>
      <c r="AS16" s="120">
        <v>0.0</v>
      </c>
      <c r="AT16" s="120">
        <v>1.0</v>
      </c>
      <c r="AU16" s="120">
        <v>0.0</v>
      </c>
      <c r="AV16" s="10"/>
      <c r="AW16" s="10">
        <f t="shared" ref="AW16:AZ16" si="34">$AQ16*AR16</f>
        <v>0</v>
      </c>
      <c r="AX16" s="10">
        <f t="shared" si="34"/>
        <v>0</v>
      </c>
      <c r="AY16" s="10">
        <f t="shared" si="34"/>
        <v>4</v>
      </c>
      <c r="AZ16" s="10">
        <f t="shared" si="34"/>
        <v>0</v>
      </c>
      <c r="BA16" s="10"/>
      <c r="BB16" s="10"/>
    </row>
    <row r="17" ht="16.5" customHeight="1">
      <c r="A17" s="4">
        <v>16.0</v>
      </c>
      <c r="B17" s="154" t="s">
        <v>146</v>
      </c>
      <c r="C17" s="182">
        <f>AP4</f>
        <v>1</v>
      </c>
      <c r="D17" s="10">
        <f t="shared" si="1"/>
        <v>0</v>
      </c>
      <c r="E17" s="184">
        <f t="shared" si="2"/>
        <v>0</v>
      </c>
      <c r="F17" s="10" t="str">
        <f t="shared" si="3"/>
        <v>1</v>
      </c>
      <c r="G17" s="182">
        <f>AQ4</f>
        <v>0</v>
      </c>
      <c r="H17" s="10">
        <f t="shared" si="23"/>
        <v>0</v>
      </c>
      <c r="I17" s="184">
        <f t="shared" si="24"/>
        <v>0</v>
      </c>
      <c r="J17" s="10" t="str">
        <f t="shared" si="25"/>
        <v>0</v>
      </c>
      <c r="K17" s="10">
        <f t="shared" ref="K17:K20" si="38">C17</f>
        <v>1</v>
      </c>
      <c r="L17" s="10">
        <f>HLOOKUP('skill data'!$AL$12,$U$1:$Y$36,A17+1,FALSE)</f>
        <v>0.5</v>
      </c>
      <c r="M17" s="10">
        <f t="shared" si="21"/>
        <v>1</v>
      </c>
      <c r="N17" s="10" t="s">
        <v>52</v>
      </c>
      <c r="O17" s="10">
        <f t="shared" si="35"/>
        <v>1</v>
      </c>
      <c r="P17" s="10">
        <f t="shared" si="6"/>
        <v>0</v>
      </c>
      <c r="Q17" s="184">
        <f t="shared" si="17"/>
        <v>0</v>
      </c>
      <c r="R17" s="10" t="str">
        <f t="shared" si="8"/>
        <v>1</v>
      </c>
      <c r="S17" s="10" t="str">
        <f t="shared" si="9"/>
        <v>#DIV/0!</v>
      </c>
      <c r="T17" s="154" t="s">
        <v>146</v>
      </c>
      <c r="U17" s="10">
        <v>0.0</v>
      </c>
      <c r="V17" s="183">
        <v>0.5</v>
      </c>
      <c r="W17" s="183">
        <v>1.0</v>
      </c>
      <c r="X17" s="120">
        <v>0.6</v>
      </c>
      <c r="Y17" s="183">
        <v>0.5</v>
      </c>
      <c r="Z17" s="4"/>
      <c r="AA17" s="4" t="s">
        <v>81</v>
      </c>
      <c r="AB17" s="187">
        <f>AB4/100</f>
        <v>0</v>
      </c>
      <c r="AC17" s="4">
        <f>IF(AB12&gt;0,IF(AB18+AB17&gt;0,(AB18+AB17)^AB12/AB18^AB12,0),1)</f>
        <v>0</v>
      </c>
      <c r="AD17" s="4"/>
      <c r="AE17" s="4"/>
      <c r="AF17" s="4" t="s">
        <v>224</v>
      </c>
      <c r="AG17" s="187">
        <f>AH16*AE16/(100+AE16)</f>
        <v>0</v>
      </c>
      <c r="AH17" s="4"/>
      <c r="AI17" s="4"/>
      <c r="AJ17" s="4"/>
      <c r="AK17" s="120" t="s">
        <v>225</v>
      </c>
      <c r="AL17" s="120">
        <v>3.0</v>
      </c>
      <c r="AM17" s="10"/>
      <c r="AN17" s="10"/>
      <c r="AO17" s="10"/>
      <c r="AP17" s="120" t="s">
        <v>226</v>
      </c>
      <c r="AQ17" s="120">
        <v>31.0</v>
      </c>
      <c r="AR17" s="10">
        <f t="shared" ref="AR17:AU17" si="36">V30</f>
        <v>0.75</v>
      </c>
      <c r="AS17" s="10">
        <f t="shared" si="36"/>
        <v>0.75</v>
      </c>
      <c r="AT17" s="10">
        <f t="shared" si="36"/>
        <v>0.75</v>
      </c>
      <c r="AU17" s="10">
        <f t="shared" si="36"/>
        <v>0.75</v>
      </c>
      <c r="AV17" s="10"/>
      <c r="AW17" s="10">
        <f t="shared" ref="AW17:AZ17" si="37">$AQ17*AR17</f>
        <v>23.25</v>
      </c>
      <c r="AX17" s="10">
        <f t="shared" si="37"/>
        <v>23.25</v>
      </c>
      <c r="AY17" s="10">
        <f t="shared" si="37"/>
        <v>23.25</v>
      </c>
      <c r="AZ17" s="10">
        <f t="shared" si="37"/>
        <v>23.25</v>
      </c>
      <c r="BA17" s="10"/>
      <c r="BB17" s="10"/>
    </row>
    <row r="18" ht="16.5" customHeight="1">
      <c r="A18" s="4">
        <v>17.0</v>
      </c>
      <c r="B18" s="154" t="s">
        <v>151</v>
      </c>
      <c r="C18" s="182">
        <f>AJ5</f>
        <v>1</v>
      </c>
      <c r="D18" s="10">
        <f t="shared" si="1"/>
        <v>0</v>
      </c>
      <c r="E18" s="184">
        <f t="shared" si="2"/>
        <v>0</v>
      </c>
      <c r="F18" s="10" t="str">
        <f t="shared" si="3"/>
        <v>1</v>
      </c>
      <c r="G18" s="182">
        <f>AK5</f>
        <v>0</v>
      </c>
      <c r="H18" s="10">
        <f t="shared" si="23"/>
        <v>0</v>
      </c>
      <c r="I18" s="184">
        <f t="shared" si="24"/>
        <v>0</v>
      </c>
      <c r="J18" s="10" t="str">
        <f t="shared" si="25"/>
        <v>0</v>
      </c>
      <c r="K18" s="10">
        <f t="shared" si="38"/>
        <v>1</v>
      </c>
      <c r="L18" s="10">
        <f>HLOOKUP('skill data'!$AL$12,$U$1:$Y$36,A18+1,FALSE)</f>
        <v>2.5</v>
      </c>
      <c r="M18" s="10">
        <f t="shared" si="21"/>
        <v>1</v>
      </c>
      <c r="N18" s="10" t="s">
        <v>52</v>
      </c>
      <c r="O18" s="10">
        <f t="shared" si="35"/>
        <v>1</v>
      </c>
      <c r="P18" s="10">
        <f t="shared" si="6"/>
        <v>0</v>
      </c>
      <c r="Q18" s="184">
        <f t="shared" si="17"/>
        <v>0</v>
      </c>
      <c r="R18" s="10" t="str">
        <f t="shared" si="8"/>
        <v>1</v>
      </c>
      <c r="S18" s="10" t="str">
        <f t="shared" si="9"/>
        <v>#DIV/0!</v>
      </c>
      <c r="T18" s="154" t="s">
        <v>151</v>
      </c>
      <c r="U18" s="10">
        <v>0.0</v>
      </c>
      <c r="V18" s="183">
        <v>2.5</v>
      </c>
      <c r="W18" s="183">
        <v>5.0</v>
      </c>
      <c r="X18" s="120">
        <v>3.0</v>
      </c>
      <c r="Y18" s="183">
        <v>2.5</v>
      </c>
      <c r="Z18" s="4"/>
      <c r="AA18" s="4" t="s">
        <v>227</v>
      </c>
      <c r="AB18" s="187">
        <f>AH20</f>
        <v>0</v>
      </c>
      <c r="AC18" s="187">
        <f>AB18+AB15</f>
        <v>0</v>
      </c>
      <c r="AD18" s="4"/>
      <c r="AE18" s="4"/>
      <c r="AF18" s="4" t="s">
        <v>228</v>
      </c>
      <c r="AG18" s="187">
        <f>-0.01*'技能模擬器'!C8</f>
        <v>0</v>
      </c>
      <c r="AH18" s="4"/>
      <c r="AI18" s="4"/>
      <c r="AJ18" s="4"/>
      <c r="AK18" s="120" t="s">
        <v>229</v>
      </c>
      <c r="AL18" s="120">
        <v>4.0</v>
      </c>
      <c r="AM18" s="10"/>
      <c r="AN18" s="10"/>
      <c r="AO18" s="10"/>
      <c r="AP18" s="120" t="s">
        <v>230</v>
      </c>
      <c r="AQ18" s="120">
        <v>30.0</v>
      </c>
      <c r="AR18" s="10">
        <f>IF(OR(AB24=1,AB24=3),AA25,0)</f>
        <v>0.75</v>
      </c>
      <c r="AS18" s="10">
        <f t="shared" ref="AS18:AU18" si="39">AR18</f>
        <v>0.75</v>
      </c>
      <c r="AT18" s="10">
        <f t="shared" si="39"/>
        <v>0.75</v>
      </c>
      <c r="AU18" s="10">
        <f t="shared" si="39"/>
        <v>0.75</v>
      </c>
      <c r="AV18" s="10"/>
      <c r="AW18" s="10">
        <f t="shared" ref="AW18:AZ18" si="40">$AQ18*AR18</f>
        <v>22.5</v>
      </c>
      <c r="AX18" s="10">
        <f t="shared" si="40"/>
        <v>22.5</v>
      </c>
      <c r="AY18" s="10">
        <f t="shared" si="40"/>
        <v>22.5</v>
      </c>
      <c r="AZ18" s="10">
        <f t="shared" si="40"/>
        <v>22.5</v>
      </c>
      <c r="BA18" s="10"/>
      <c r="BB18" s="10"/>
    </row>
    <row r="19" ht="16.5" customHeight="1">
      <c r="A19" s="4">
        <v>18.0</v>
      </c>
      <c r="B19" s="154" t="s">
        <v>152</v>
      </c>
      <c r="C19" s="182">
        <f>AP5</f>
        <v>1</v>
      </c>
      <c r="D19" s="10">
        <f t="shared" si="1"/>
        <v>0</v>
      </c>
      <c r="E19" s="184">
        <f t="shared" si="2"/>
        <v>0</v>
      </c>
      <c r="F19" s="10" t="str">
        <f t="shared" si="3"/>
        <v>1</v>
      </c>
      <c r="G19" s="182">
        <f>AQ5</f>
        <v>0</v>
      </c>
      <c r="H19" s="10">
        <f t="shared" si="23"/>
        <v>0</v>
      </c>
      <c r="I19" s="184">
        <f t="shared" si="24"/>
        <v>0</v>
      </c>
      <c r="J19" s="10" t="str">
        <f t="shared" si="25"/>
        <v>0</v>
      </c>
      <c r="K19" s="10">
        <f t="shared" si="38"/>
        <v>1</v>
      </c>
      <c r="L19" s="10">
        <f>HLOOKUP('skill data'!$AL$12,$U$1:$Y$36,A19+1,FALSE)</f>
        <v>1</v>
      </c>
      <c r="M19" s="10">
        <f t="shared" si="21"/>
        <v>1</v>
      </c>
      <c r="N19" s="10" t="s">
        <v>52</v>
      </c>
      <c r="O19" s="10">
        <f t="shared" si="35"/>
        <v>1</v>
      </c>
      <c r="P19" s="10">
        <f t="shared" si="6"/>
        <v>0</v>
      </c>
      <c r="Q19" s="184">
        <f t="shared" si="17"/>
        <v>0</v>
      </c>
      <c r="R19" s="10" t="str">
        <f t="shared" si="8"/>
        <v>1</v>
      </c>
      <c r="S19" s="10" t="str">
        <f t="shared" si="9"/>
        <v>#DIV/0!</v>
      </c>
      <c r="T19" s="154" t="s">
        <v>152</v>
      </c>
      <c r="U19" s="10">
        <v>0.0</v>
      </c>
      <c r="V19" s="183">
        <v>1.0</v>
      </c>
      <c r="W19" s="183">
        <v>1.0</v>
      </c>
      <c r="X19" s="183">
        <v>1.0</v>
      </c>
      <c r="Y19" s="183">
        <v>1.0</v>
      </c>
      <c r="Z19" s="4"/>
      <c r="AA19" s="4"/>
      <c r="AB19" s="4"/>
      <c r="AC19" s="4"/>
      <c r="AD19" s="4"/>
      <c r="AE19" s="4"/>
      <c r="AF19" s="4" t="s">
        <v>231</v>
      </c>
      <c r="AG19" s="187" t="str">
        <f>IF('技能模擬器'!C12&lt;=1,'技能模擬器'!C12,'技能模擬器'!C12/100)</f>
        <v/>
      </c>
      <c r="AH19" s="4"/>
      <c r="AI19" s="4"/>
      <c r="AJ19" s="4"/>
      <c r="AK19" s="4"/>
      <c r="AL19" s="4"/>
      <c r="AM19" s="4"/>
      <c r="AN19" s="10"/>
      <c r="AO19" s="10"/>
      <c r="AP19" s="120" t="s">
        <v>232</v>
      </c>
      <c r="AQ19" s="120">
        <v>34.0</v>
      </c>
      <c r="AR19" s="10">
        <f>IF(AB24=4,AA25,0)</f>
        <v>0</v>
      </c>
      <c r="AS19" s="10">
        <f t="shared" ref="AS19:AU19" si="41">AR19</f>
        <v>0</v>
      </c>
      <c r="AT19" s="10">
        <f t="shared" si="41"/>
        <v>0</v>
      </c>
      <c r="AU19" s="10">
        <f t="shared" si="41"/>
        <v>0</v>
      </c>
      <c r="AV19" s="10"/>
      <c r="AW19" s="10">
        <f t="shared" ref="AW19:AZ19" si="42">$AQ19*AR19</f>
        <v>0</v>
      </c>
      <c r="AX19" s="10">
        <f t="shared" si="42"/>
        <v>0</v>
      </c>
      <c r="AY19" s="10">
        <f t="shared" si="42"/>
        <v>0</v>
      </c>
      <c r="AZ19" s="10">
        <f t="shared" si="42"/>
        <v>0</v>
      </c>
      <c r="BA19" s="10"/>
      <c r="BB19" s="10"/>
    </row>
    <row r="20" ht="16.5" customHeight="1">
      <c r="A20" s="4">
        <v>19.0</v>
      </c>
      <c r="B20" s="61" t="s">
        <v>25</v>
      </c>
      <c r="C20" s="182">
        <f>AD6</f>
        <v>0</v>
      </c>
      <c r="D20" s="10">
        <f t="shared" si="1"/>
        <v>0</v>
      </c>
      <c r="E20" s="184">
        <f t="shared" si="2"/>
        <v>0</v>
      </c>
      <c r="F20" s="10" t="str">
        <f t="shared" si="3"/>
        <v>0</v>
      </c>
      <c r="G20" s="182">
        <f>AE6</f>
        <v>0</v>
      </c>
      <c r="H20" s="10">
        <f t="shared" si="23"/>
        <v>0</v>
      </c>
      <c r="I20" s="184">
        <f t="shared" si="24"/>
        <v>0</v>
      </c>
      <c r="J20" s="10" t="str">
        <f t="shared" si="25"/>
        <v>0</v>
      </c>
      <c r="K20" s="10">
        <f t="shared" si="38"/>
        <v>0</v>
      </c>
      <c r="L20" s="10">
        <f>HLOOKUP('skill data'!$AL$12,$U$1:$Y$36,A20+1,FALSE)</f>
        <v>0</v>
      </c>
      <c r="M20" s="10">
        <f t="shared" si="21"/>
        <v>1</v>
      </c>
      <c r="N20" s="10" t="s">
        <v>52</v>
      </c>
      <c r="O20" s="10">
        <f t="shared" si="35"/>
        <v>1</v>
      </c>
      <c r="P20" s="10">
        <f t="shared" si="6"/>
        <v>0</v>
      </c>
      <c r="Q20" s="184">
        <f t="shared" si="17"/>
        <v>0</v>
      </c>
      <c r="R20" s="10" t="str">
        <f t="shared" si="8"/>
        <v>1</v>
      </c>
      <c r="S20" s="10" t="str">
        <f t="shared" si="9"/>
        <v>#DIV/0!</v>
      </c>
      <c r="T20" s="61" t="s">
        <v>25</v>
      </c>
      <c r="U20" s="10">
        <v>0.0</v>
      </c>
      <c r="V20" s="183">
        <v>0.0</v>
      </c>
      <c r="W20" s="183">
        <v>0.0</v>
      </c>
      <c r="X20" s="183">
        <v>0.0</v>
      </c>
      <c r="Y20" s="183">
        <v>0.0</v>
      </c>
      <c r="Z20" s="4">
        <f>IF(Z13&gt;0,0.5,1)</f>
        <v>1</v>
      </c>
      <c r="AA20" s="4" t="s">
        <v>233</v>
      </c>
      <c r="AB20" s="4">
        <v>1.5</v>
      </c>
      <c r="AC20" s="187">
        <f>AB18+AB21</f>
        <v>-0.00004</v>
      </c>
      <c r="AD20" s="4"/>
      <c r="AE20" s="4"/>
      <c r="AF20" s="4" t="s">
        <v>227</v>
      </c>
      <c r="AG20" s="187">
        <f>IF('技能模擬器'!C11&lt;=1,'技能模擬器'!C11,'技能模擬器'!C11/100)/AG22</f>
        <v>0</v>
      </c>
      <c r="AH20" s="187">
        <f>MAX(MIN(AG20-AG18-AG17,1),0)</f>
        <v>0</v>
      </c>
      <c r="AI20" s="4"/>
      <c r="AJ20" s="4"/>
      <c r="AK20" s="4"/>
      <c r="AL20" s="4"/>
      <c r="AM20" s="4"/>
      <c r="AN20" s="10"/>
      <c r="AO20" s="10"/>
      <c r="AP20" s="189" t="s">
        <v>234</v>
      </c>
      <c r="AQ20" s="120">
        <v>18.0</v>
      </c>
      <c r="AR20" s="10">
        <f>IF(AB24=2,AA25,0)</f>
        <v>0</v>
      </c>
      <c r="AS20" s="10">
        <f t="shared" ref="AS20:AU20" si="43">AR20</f>
        <v>0</v>
      </c>
      <c r="AT20" s="10">
        <f t="shared" si="43"/>
        <v>0</v>
      </c>
      <c r="AU20" s="10">
        <f t="shared" si="43"/>
        <v>0</v>
      </c>
      <c r="AV20" s="10"/>
      <c r="AW20" s="10">
        <f t="shared" ref="AW20:AZ20" si="44">$AQ20*AR20</f>
        <v>0</v>
      </c>
      <c r="AX20" s="10">
        <f t="shared" si="44"/>
        <v>0</v>
      </c>
      <c r="AY20" s="10">
        <f t="shared" si="44"/>
        <v>0</v>
      </c>
      <c r="AZ20" s="10">
        <f t="shared" si="44"/>
        <v>0</v>
      </c>
      <c r="BA20" s="10"/>
      <c r="BB20" s="10"/>
    </row>
    <row r="21" ht="16.5" customHeight="1">
      <c r="A21" s="4">
        <v>20.0</v>
      </c>
      <c r="B21" s="61" t="s">
        <v>62</v>
      </c>
      <c r="C21" s="182">
        <f>AA7</f>
        <v>1</v>
      </c>
      <c r="D21" s="10">
        <f t="shared" si="1"/>
        <v>0</v>
      </c>
      <c r="E21" s="184">
        <f t="shared" si="2"/>
        <v>0</v>
      </c>
      <c r="F21" s="10" t="str">
        <f t="shared" si="3"/>
        <v>1</v>
      </c>
      <c r="G21" s="182">
        <f>AB7</f>
        <v>1</v>
      </c>
      <c r="H21" s="10">
        <f t="shared" si="23"/>
        <v>0</v>
      </c>
      <c r="I21" s="184">
        <f t="shared" si="24"/>
        <v>0</v>
      </c>
      <c r="J21" s="10" t="str">
        <f t="shared" si="25"/>
        <v>1</v>
      </c>
      <c r="K21" s="10">
        <f>IF('skill data'!$AB$24=2,C21^AE28*G21,C21)</f>
        <v>1</v>
      </c>
      <c r="L21" s="10">
        <f>HLOOKUP('skill data'!$AL$12,$U$1:$Y$36,A21+1,FALSE)</f>
        <v>0.75</v>
      </c>
      <c r="M21" s="10">
        <f t="shared" si="21"/>
        <v>1</v>
      </c>
      <c r="N21" s="10" t="s">
        <v>52</v>
      </c>
      <c r="O21" s="10">
        <f t="shared" si="35"/>
        <v>1</v>
      </c>
      <c r="P21" s="10">
        <f t="shared" si="6"/>
        <v>0</v>
      </c>
      <c r="Q21" s="184">
        <f t="shared" si="17"/>
        <v>0</v>
      </c>
      <c r="R21" s="10" t="str">
        <f t="shared" si="8"/>
        <v>1</v>
      </c>
      <c r="S21" s="10" t="str">
        <f t="shared" si="9"/>
        <v>#DIV/0!</v>
      </c>
      <c r="T21" s="61" t="s">
        <v>62</v>
      </c>
      <c r="U21" s="10">
        <v>0.0</v>
      </c>
      <c r="V21" s="183">
        <f>MAX(AE25,AF25)</f>
        <v>0.75</v>
      </c>
      <c r="W21" s="183">
        <f t="shared" ref="W21:Y21" si="45">V21</f>
        <v>0.75</v>
      </c>
      <c r="X21" s="183">
        <f t="shared" si="45"/>
        <v>0.75</v>
      </c>
      <c r="Y21" s="183">
        <f t="shared" si="45"/>
        <v>0.75</v>
      </c>
      <c r="Z21" s="4"/>
      <c r="AA21" s="4" t="s">
        <v>193</v>
      </c>
      <c r="AB21" s="187">
        <f>AB14*((100+G54)/100-1)</f>
        <v>-0.00004</v>
      </c>
      <c r="AC21" s="4">
        <f>IF(AB18&gt;0,AC20^AB12/AB18^AB12,1)</f>
        <v>1</v>
      </c>
      <c r="AD21" s="4"/>
      <c r="AE21" s="4"/>
      <c r="AF21" s="4"/>
      <c r="AG21" s="4"/>
      <c r="AH21" s="187"/>
      <c r="AI21" s="4"/>
      <c r="AJ21" s="4"/>
      <c r="AK21" s="4"/>
      <c r="AL21" s="4"/>
      <c r="AM21" s="4"/>
      <c r="AN21" s="10"/>
      <c r="AO21" s="10"/>
      <c r="AP21" s="10"/>
      <c r="AQ21" s="10"/>
      <c r="AR21" s="10"/>
      <c r="AS21" s="10"/>
      <c r="AT21" s="10"/>
      <c r="AU21" s="10"/>
      <c r="AV21" s="10"/>
      <c r="AW21" s="10">
        <f t="shared" ref="AW21:AZ21" si="46">SUM(AW13:AW20)</f>
        <v>156.75</v>
      </c>
      <c r="AX21" s="10">
        <f t="shared" si="46"/>
        <v>152.75</v>
      </c>
      <c r="AY21" s="10">
        <f t="shared" si="46"/>
        <v>154.35</v>
      </c>
      <c r="AZ21" s="10">
        <f t="shared" si="46"/>
        <v>156.75</v>
      </c>
      <c r="BA21" s="10"/>
      <c r="BB21" s="10"/>
    </row>
    <row r="22" ht="16.5" customHeight="1">
      <c r="A22" s="4">
        <v>21.0</v>
      </c>
      <c r="B22" s="61" t="s">
        <v>63</v>
      </c>
      <c r="C22" s="182">
        <f>AD7</f>
        <v>1</v>
      </c>
      <c r="D22" s="10">
        <f t="shared" si="1"/>
        <v>0</v>
      </c>
      <c r="E22" s="184">
        <f t="shared" si="2"/>
        <v>0</v>
      </c>
      <c r="F22" s="10" t="str">
        <f t="shared" si="3"/>
        <v>1</v>
      </c>
      <c r="G22" s="182">
        <f>AE7</f>
        <v>0</v>
      </c>
      <c r="H22" s="10">
        <f t="shared" si="23"/>
        <v>0</v>
      </c>
      <c r="I22" s="184">
        <f t="shared" si="24"/>
        <v>0</v>
      </c>
      <c r="J22" s="10" t="str">
        <f t="shared" si="25"/>
        <v>0</v>
      </c>
      <c r="K22" s="10">
        <f>C22</f>
        <v>1</v>
      </c>
      <c r="L22" s="10">
        <f>HLOOKUP('skill data'!$AL$12,$U$1:$Y$36,A22+1,FALSE)</f>
        <v>0</v>
      </c>
      <c r="M22" s="10">
        <f t="shared" si="21"/>
        <v>1</v>
      </c>
      <c r="N22" s="10" t="s">
        <v>52</v>
      </c>
      <c r="O22" s="10">
        <f t="shared" si="35"/>
        <v>1</v>
      </c>
      <c r="P22" s="10">
        <f t="shared" si="6"/>
        <v>0</v>
      </c>
      <c r="Q22" s="184">
        <f t="shared" si="17"/>
        <v>0</v>
      </c>
      <c r="R22" s="10" t="str">
        <f t="shared" si="8"/>
        <v>1</v>
      </c>
      <c r="S22" s="10" t="str">
        <f t="shared" si="9"/>
        <v>#DIV/0!</v>
      </c>
      <c r="T22" s="61" t="s">
        <v>63</v>
      </c>
      <c r="U22" s="10">
        <v>0.0</v>
      </c>
      <c r="V22" s="183">
        <v>0.0</v>
      </c>
      <c r="W22" s="183">
        <v>0.0</v>
      </c>
      <c r="X22" s="183">
        <v>0.0</v>
      </c>
      <c r="Y22" s="183">
        <v>1.0</v>
      </c>
      <c r="Z22" s="4"/>
      <c r="AA22" s="4" t="s">
        <v>81</v>
      </c>
      <c r="AB22" s="190">
        <f>AB17-0.01</f>
        <v>-0.01</v>
      </c>
      <c r="AC22" s="191">
        <f>IF(AB12&gt;0,IF(AB18+AB22&gt;0,(AB18+AB22)^AB12/AB18^AB12,0),1)</f>
        <v>0</v>
      </c>
      <c r="AD22" s="4"/>
      <c r="AE22" s="10"/>
      <c r="AF22" s="120" t="s">
        <v>235</v>
      </c>
      <c r="AG22" s="4">
        <f>(1+MIN(0.0025*'技能模擬器'!C15,0.1))*AH22</f>
        <v>1</v>
      </c>
      <c r="AH22" s="192">
        <f>MAX(1,'技能模擬器'!C16)</f>
        <v>1</v>
      </c>
      <c r="AI22" s="4"/>
      <c r="AJ22" s="4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ht="16.5" customHeight="1">
      <c r="A23" s="4">
        <v>22.0</v>
      </c>
      <c r="B23" s="61" t="s">
        <v>66</v>
      </c>
      <c r="C23" s="182">
        <f>AG7</f>
        <v>1</v>
      </c>
      <c r="D23" s="10">
        <f t="shared" si="1"/>
        <v>0</v>
      </c>
      <c r="E23" s="184">
        <f t="shared" si="2"/>
        <v>0</v>
      </c>
      <c r="F23" s="10" t="str">
        <f t="shared" si="3"/>
        <v>1</v>
      </c>
      <c r="G23" s="182">
        <f>AH7</f>
        <v>0</v>
      </c>
      <c r="H23" s="10">
        <f t="shared" si="23"/>
        <v>0</v>
      </c>
      <c r="I23" s="184">
        <f t="shared" si="24"/>
        <v>0</v>
      </c>
      <c r="J23" s="10" t="str">
        <f t="shared" si="25"/>
        <v>0</v>
      </c>
      <c r="K23" s="10">
        <f>C23*(4+G23)/4</f>
        <v>1</v>
      </c>
      <c r="L23" s="10">
        <f>HLOOKUP('skill data'!$AL$12,$U$1:$Y$36,A23+1,FALSE)</f>
        <v>0</v>
      </c>
      <c r="M23" s="10">
        <f t="shared" si="21"/>
        <v>1</v>
      </c>
      <c r="N23" s="10" t="s">
        <v>52</v>
      </c>
      <c r="O23" s="10">
        <f t="shared" si="35"/>
        <v>1</v>
      </c>
      <c r="P23" s="10">
        <f t="shared" si="6"/>
        <v>0</v>
      </c>
      <c r="Q23" s="184">
        <f t="shared" si="17"/>
        <v>0</v>
      </c>
      <c r="R23" s="10" t="str">
        <f t="shared" si="8"/>
        <v>1</v>
      </c>
      <c r="S23" s="10" t="str">
        <f t="shared" si="9"/>
        <v>#DIV/0!</v>
      </c>
      <c r="T23" s="61" t="s">
        <v>66</v>
      </c>
      <c r="U23" s="10">
        <v>0.0</v>
      </c>
      <c r="V23" s="183">
        <v>0.0</v>
      </c>
      <c r="W23" s="183">
        <v>0.0</v>
      </c>
      <c r="X23" s="183">
        <v>1.0</v>
      </c>
      <c r="Y23" s="183">
        <v>0.0</v>
      </c>
      <c r="Z23" s="4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ht="16.5" customHeight="1">
      <c r="A24" s="4">
        <v>23.0</v>
      </c>
      <c r="B24" s="61" t="s">
        <v>84</v>
      </c>
      <c r="C24" s="182">
        <f>AA8</f>
        <v>0</v>
      </c>
      <c r="D24" s="10">
        <f t="shared" si="1"/>
        <v>0</v>
      </c>
      <c r="E24" s="184">
        <f t="shared" si="2"/>
        <v>0</v>
      </c>
      <c r="F24" s="10" t="str">
        <f t="shared" si="3"/>
        <v>0</v>
      </c>
      <c r="G24" s="182">
        <f>AB8</f>
        <v>0</v>
      </c>
      <c r="H24" s="10">
        <f t="shared" si="23"/>
        <v>0</v>
      </c>
      <c r="I24" s="184">
        <f t="shared" si="24"/>
        <v>0</v>
      </c>
      <c r="J24" s="10" t="str">
        <f t="shared" si="25"/>
        <v>0</v>
      </c>
      <c r="K24" s="10">
        <f t="shared" ref="K24:K29" si="47">C24</f>
        <v>0</v>
      </c>
      <c r="L24" s="10">
        <f>HLOOKUP('skill data'!$AL$12,$U$1:$Y$36,A24+1,FALSE)</f>
        <v>0</v>
      </c>
      <c r="M24" s="10">
        <f t="shared" si="21"/>
        <v>1</v>
      </c>
      <c r="N24" s="10" t="s">
        <v>52</v>
      </c>
      <c r="O24" s="10">
        <f t="shared" si="35"/>
        <v>1</v>
      </c>
      <c r="P24" s="10">
        <f t="shared" si="6"/>
        <v>0</v>
      </c>
      <c r="Q24" s="184">
        <f t="shared" si="17"/>
        <v>0</v>
      </c>
      <c r="R24" s="10" t="str">
        <f t="shared" si="8"/>
        <v>1</v>
      </c>
      <c r="S24" s="10" t="str">
        <f t="shared" si="9"/>
        <v>#DIV/0!</v>
      </c>
      <c r="T24" s="61" t="s">
        <v>84</v>
      </c>
      <c r="U24" s="10">
        <v>0.0</v>
      </c>
      <c r="V24" s="183">
        <v>0.0</v>
      </c>
      <c r="W24" s="183">
        <v>0.0</v>
      </c>
      <c r="X24" s="183">
        <v>0.0</v>
      </c>
      <c r="Y24" s="183">
        <v>0.0</v>
      </c>
      <c r="Z24" s="4"/>
      <c r="AA24" s="20" t="s">
        <v>32</v>
      </c>
      <c r="AB24" s="63">
        <f>VLOOKUP('技能模擬器'!C3,AA27:AB31,2,FALSE)</f>
        <v>1</v>
      </c>
      <c r="AC24" s="4"/>
      <c r="AD24" s="1"/>
      <c r="AE24" s="1"/>
      <c r="AF24" s="1"/>
      <c r="AG24" s="1"/>
      <c r="AH24" s="1"/>
      <c r="AI24" s="1"/>
      <c r="AJ24" s="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ht="16.5" customHeight="1">
      <c r="A25" s="4">
        <v>24.0</v>
      </c>
      <c r="B25" s="61" t="s">
        <v>39</v>
      </c>
      <c r="C25" s="182">
        <f>AD8</f>
        <v>0</v>
      </c>
      <c r="D25" s="10">
        <f t="shared" si="1"/>
        <v>0</v>
      </c>
      <c r="E25" s="184">
        <f t="shared" si="2"/>
        <v>0</v>
      </c>
      <c r="F25" s="10" t="str">
        <f t="shared" si="3"/>
        <v>0</v>
      </c>
      <c r="G25" s="182" t="str">
        <f>AE8</f>
        <v>-</v>
      </c>
      <c r="H25" s="10"/>
      <c r="I25" s="184"/>
      <c r="J25" s="10"/>
      <c r="K25" s="10">
        <f t="shared" si="47"/>
        <v>0</v>
      </c>
      <c r="L25" s="10">
        <f>HLOOKUP('skill data'!$AL$12,$U$1:$Y$36,A25+1,FALSE)</f>
        <v>0</v>
      </c>
      <c r="M25" s="10">
        <f t="shared" si="21"/>
        <v>1</v>
      </c>
      <c r="N25" s="10" t="s">
        <v>52</v>
      </c>
      <c r="O25" s="10">
        <f t="shared" si="35"/>
        <v>1</v>
      </c>
      <c r="P25" s="10">
        <f t="shared" si="6"/>
        <v>0</v>
      </c>
      <c r="Q25" s="184">
        <f t="shared" si="17"/>
        <v>0</v>
      </c>
      <c r="R25" s="10" t="str">
        <f t="shared" si="8"/>
        <v>1</v>
      </c>
      <c r="S25" s="10" t="str">
        <f t="shared" si="9"/>
        <v>#DIV/0!</v>
      </c>
      <c r="T25" s="61" t="s">
        <v>39</v>
      </c>
      <c r="U25" s="10">
        <v>0.0</v>
      </c>
      <c r="V25" s="183">
        <v>0.0</v>
      </c>
      <c r="W25" s="183">
        <v>0.0</v>
      </c>
      <c r="X25" s="183">
        <v>0.0</v>
      </c>
      <c r="Y25" s="183">
        <v>0.0</v>
      </c>
      <c r="Z25" s="1"/>
      <c r="AA25" s="4">
        <f>IF('skill data'!AL12&lt;&gt;0,'技能模擬器'!C4,0)</f>
        <v>0.75</v>
      </c>
      <c r="AB25" s="193"/>
      <c r="AC25" s="183">
        <f>VLOOKUP('skill data'!$AB$24,$AB$27:$AH$31,AC32,FALSE)*$AA$25</f>
        <v>0.75</v>
      </c>
      <c r="AD25" s="183">
        <f>VLOOKUP('skill data'!$AB$24,$AB$27:$AH$31,AD32,FALSE)*$AA$25</f>
        <v>0</v>
      </c>
      <c r="AE25" s="183">
        <f>VLOOKUP('skill data'!$AB$24,$AB$27:$AH$31,AE32,FALSE)*$AA$25</f>
        <v>0.75</v>
      </c>
      <c r="AF25" s="183">
        <f>VLOOKUP('skill data'!$AB$24,$AB$27:$AH$31,AF32,FALSE)*$AA$25</f>
        <v>0</v>
      </c>
      <c r="AG25" s="183">
        <f>VLOOKUP('skill data'!$AB$24,$AB$27:$AH$31,AG32,FALSE)*$AA$25</f>
        <v>0.75</v>
      </c>
      <c r="AH25" s="183">
        <f>VLOOKUP('skill data'!$AB$24,$AB$27:$AH$31,AH32,FALSE)*$AA$25</f>
        <v>0</v>
      </c>
      <c r="AI25" s="4"/>
      <c r="AJ25" s="1"/>
      <c r="AK25" s="1"/>
      <c r="AL25" s="1"/>
      <c r="AM25" s="1"/>
      <c r="AN25" s="2"/>
      <c r="AO25" s="2"/>
      <c r="AP25" s="2"/>
      <c r="AQ25" s="2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ht="16.5" customHeight="1">
      <c r="A26" s="4">
        <v>25.0</v>
      </c>
      <c r="B26" s="61" t="s">
        <v>85</v>
      </c>
      <c r="C26" s="182">
        <f>AG8</f>
        <v>0</v>
      </c>
      <c r="D26" s="10">
        <f t="shared" si="1"/>
        <v>0</v>
      </c>
      <c r="E26" s="184">
        <f t="shared" si="2"/>
        <v>0</v>
      </c>
      <c r="F26" s="10" t="str">
        <f t="shared" si="3"/>
        <v>0</v>
      </c>
      <c r="G26" s="182">
        <f>AH8</f>
        <v>0</v>
      </c>
      <c r="H26" s="10">
        <f t="shared" ref="H26:H31" si="48">IF(G26&gt;1,LOG(G26),0)</f>
        <v>0</v>
      </c>
      <c r="I26" s="184">
        <f t="shared" ref="I26:I31" si="49">IF(H26&lt;15,FLOOR(H26/3,1),FLOOR(H26,1))</f>
        <v>0</v>
      </c>
      <c r="J26" s="10" t="str">
        <f t="shared" ref="J26:J31" si="50">IF(H26&lt;15,ROUND(G26/10^(3*I26),2)&amp;VLOOKUP(I26,$C$79:$G$83,2,FALSE),ROUND(G26/10^I26,2)&amp;"e"&amp;I26)</f>
        <v>0</v>
      </c>
      <c r="K26" s="10">
        <f t="shared" si="47"/>
        <v>0</v>
      </c>
      <c r="L26" s="10">
        <f>HLOOKUP('skill data'!$AL$12,$U$1:$Y$36,A26+1,FALSE)</f>
        <v>0</v>
      </c>
      <c r="M26" s="10">
        <f t="shared" si="21"/>
        <v>1</v>
      </c>
      <c r="N26" s="10" t="s">
        <v>52</v>
      </c>
      <c r="O26" s="10">
        <f t="shared" si="35"/>
        <v>1</v>
      </c>
      <c r="P26" s="10">
        <f t="shared" si="6"/>
        <v>0</v>
      </c>
      <c r="Q26" s="184">
        <f t="shared" si="17"/>
        <v>0</v>
      </c>
      <c r="R26" s="10" t="str">
        <f t="shared" si="8"/>
        <v>1</v>
      </c>
      <c r="S26" s="10" t="str">
        <f t="shared" si="9"/>
        <v>#DIV/0!</v>
      </c>
      <c r="T26" s="61" t="s">
        <v>85</v>
      </c>
      <c r="U26" s="10">
        <v>0.0</v>
      </c>
      <c r="V26" s="183">
        <v>0.0</v>
      </c>
      <c r="W26" s="183">
        <v>0.0</v>
      </c>
      <c r="X26" s="183">
        <v>0.0</v>
      </c>
      <c r="Y26" s="183">
        <v>0.0</v>
      </c>
      <c r="Z26" s="1"/>
      <c r="AA26" s="4"/>
      <c r="AB26" s="193"/>
      <c r="AC26" s="120" t="s">
        <v>236</v>
      </c>
      <c r="AD26" s="181" t="s">
        <v>133</v>
      </c>
      <c r="AE26" s="120" t="s">
        <v>237</v>
      </c>
      <c r="AF26" s="120" t="s">
        <v>238</v>
      </c>
      <c r="AG26" s="181" t="s">
        <v>239</v>
      </c>
      <c r="AH26" s="181" t="s">
        <v>240</v>
      </c>
      <c r="AI26" s="4"/>
      <c r="AJ26" s="4"/>
      <c r="AK26" s="1"/>
      <c r="AL26" s="1"/>
      <c r="AM26" s="1"/>
      <c r="AN26" s="2"/>
      <c r="AO26" s="2"/>
      <c r="AP26" s="2"/>
      <c r="AQ26" s="2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ht="16.5" customHeight="1">
      <c r="A27" s="4">
        <v>26.0</v>
      </c>
      <c r="B27" s="61" t="s">
        <v>108</v>
      </c>
      <c r="C27" s="182">
        <f>AA9</f>
        <v>0</v>
      </c>
      <c r="D27" s="10">
        <f t="shared" si="1"/>
        <v>0</v>
      </c>
      <c r="E27" s="184">
        <f t="shared" si="2"/>
        <v>0</v>
      </c>
      <c r="F27" s="10" t="str">
        <f t="shared" si="3"/>
        <v>0</v>
      </c>
      <c r="G27" s="182">
        <f>AB9</f>
        <v>0</v>
      </c>
      <c r="H27" s="10">
        <f t="shared" si="48"/>
        <v>0</v>
      </c>
      <c r="I27" s="184">
        <f t="shared" si="49"/>
        <v>0</v>
      </c>
      <c r="J27" s="10" t="str">
        <f t="shared" si="50"/>
        <v>0</v>
      </c>
      <c r="K27" s="10">
        <f t="shared" si="47"/>
        <v>0</v>
      </c>
      <c r="L27" s="10">
        <f>HLOOKUP('skill data'!$AL$12,$U$1:$Y$36,A27+1,FALSE)</f>
        <v>0</v>
      </c>
      <c r="M27" s="10">
        <f t="shared" si="21"/>
        <v>1</v>
      </c>
      <c r="N27" s="10" t="s">
        <v>52</v>
      </c>
      <c r="O27" s="10">
        <f t="shared" si="35"/>
        <v>1</v>
      </c>
      <c r="P27" s="10">
        <f t="shared" si="6"/>
        <v>0</v>
      </c>
      <c r="Q27" s="184">
        <f t="shared" si="17"/>
        <v>0</v>
      </c>
      <c r="R27" s="10" t="str">
        <f t="shared" si="8"/>
        <v>1</v>
      </c>
      <c r="S27" s="10" t="str">
        <f t="shared" si="9"/>
        <v>#DIV/0!</v>
      </c>
      <c r="T27" s="61" t="s">
        <v>108</v>
      </c>
      <c r="U27" s="10">
        <v>0.0</v>
      </c>
      <c r="V27" s="183">
        <v>0.0</v>
      </c>
      <c r="W27" s="183">
        <v>0.0</v>
      </c>
      <c r="X27" s="183">
        <v>0.0</v>
      </c>
      <c r="Y27" s="183">
        <v>0.0</v>
      </c>
      <c r="Z27" s="1"/>
      <c r="AA27" s="20" t="s">
        <v>29</v>
      </c>
      <c r="AB27" s="20">
        <v>1.0</v>
      </c>
      <c r="AC27" s="20">
        <v>1.0</v>
      </c>
      <c r="AD27" s="20">
        <v>0.0</v>
      </c>
      <c r="AE27" s="20">
        <v>1.0</v>
      </c>
      <c r="AF27" s="20">
        <v>0.0</v>
      </c>
      <c r="AG27" s="20">
        <v>1.0</v>
      </c>
      <c r="AH27" s="20">
        <v>0.0</v>
      </c>
      <c r="AI27" s="1"/>
      <c r="AJ27" s="1"/>
      <c r="AK27" s="1"/>
      <c r="AL27" s="1"/>
      <c r="AM27" s="1"/>
      <c r="AN27" s="2"/>
      <c r="AO27" s="2"/>
      <c r="AP27" s="2"/>
      <c r="AQ27" s="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ht="16.5" customHeight="1">
      <c r="A28" s="4">
        <v>27.0</v>
      </c>
      <c r="B28" s="61" t="s">
        <v>87</v>
      </c>
      <c r="C28" s="182">
        <f>AD9</f>
        <v>0</v>
      </c>
      <c r="D28" s="10">
        <f t="shared" si="1"/>
        <v>0</v>
      </c>
      <c r="E28" s="184">
        <f t="shared" si="2"/>
        <v>0</v>
      </c>
      <c r="F28" s="10" t="str">
        <f t="shared" si="3"/>
        <v>0</v>
      </c>
      <c r="G28" s="182">
        <f>AE9</f>
        <v>0</v>
      </c>
      <c r="H28" s="10">
        <f t="shared" si="48"/>
        <v>0</v>
      </c>
      <c r="I28" s="184">
        <f t="shared" si="49"/>
        <v>0</v>
      </c>
      <c r="J28" s="10" t="str">
        <f t="shared" si="50"/>
        <v>0</v>
      </c>
      <c r="K28" s="10">
        <f t="shared" si="47"/>
        <v>0</v>
      </c>
      <c r="L28" s="10">
        <f>HLOOKUP('skill data'!$AL$12,$U$1:$Y$36,A28+1,FALSE)</f>
        <v>0</v>
      </c>
      <c r="M28" s="10">
        <f t="shared" si="21"/>
        <v>1</v>
      </c>
      <c r="N28" s="10" t="s">
        <v>52</v>
      </c>
      <c r="O28" s="10">
        <f t="shared" si="35"/>
        <v>1</v>
      </c>
      <c r="P28" s="10">
        <f t="shared" si="6"/>
        <v>0</v>
      </c>
      <c r="Q28" s="184">
        <f t="shared" si="17"/>
        <v>0</v>
      </c>
      <c r="R28" s="10" t="str">
        <f t="shared" si="8"/>
        <v>1</v>
      </c>
      <c r="S28" s="10" t="str">
        <f t="shared" si="9"/>
        <v>#DIV/0!</v>
      </c>
      <c r="T28" s="61" t="s">
        <v>87</v>
      </c>
      <c r="U28" s="10">
        <v>0.0</v>
      </c>
      <c r="V28" s="183">
        <v>0.0</v>
      </c>
      <c r="W28" s="183">
        <v>0.0</v>
      </c>
      <c r="X28" s="183">
        <v>0.0</v>
      </c>
      <c r="Y28" s="183">
        <v>0.0</v>
      </c>
      <c r="Z28" s="1"/>
      <c r="AA28" s="20" t="s">
        <v>241</v>
      </c>
      <c r="AB28" s="20">
        <v>2.0</v>
      </c>
      <c r="AC28" s="20">
        <v>0.0</v>
      </c>
      <c r="AD28" s="20">
        <v>1.0</v>
      </c>
      <c r="AE28" s="20">
        <v>0.6</v>
      </c>
      <c r="AF28" s="20">
        <v>1.0</v>
      </c>
      <c r="AG28" s="20">
        <v>1.0</v>
      </c>
      <c r="AH28" s="20">
        <v>0.0</v>
      </c>
      <c r="AI28" s="1"/>
      <c r="AJ28" s="1"/>
      <c r="AK28" s="1"/>
      <c r="AL28" s="1"/>
      <c r="AM28" s="1"/>
      <c r="AN28" s="2"/>
      <c r="AO28" s="2"/>
      <c r="AP28" s="2"/>
      <c r="AQ28" s="2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ht="16.5" customHeight="1">
      <c r="A29" s="4">
        <v>28.0</v>
      </c>
      <c r="B29" s="61" t="s">
        <v>109</v>
      </c>
      <c r="C29" s="182">
        <f>AG9</f>
        <v>1</v>
      </c>
      <c r="D29" s="10">
        <f t="shared" si="1"/>
        <v>0</v>
      </c>
      <c r="E29" s="184">
        <f t="shared" si="2"/>
        <v>0</v>
      </c>
      <c r="F29" s="10" t="str">
        <f t="shared" si="3"/>
        <v>1</v>
      </c>
      <c r="G29" s="182">
        <f>AH9</f>
        <v>1</v>
      </c>
      <c r="H29" s="10">
        <f t="shared" si="48"/>
        <v>0</v>
      </c>
      <c r="I29" s="184">
        <f t="shared" si="49"/>
        <v>0</v>
      </c>
      <c r="J29" s="10" t="str">
        <f t="shared" si="50"/>
        <v>1</v>
      </c>
      <c r="K29" s="10">
        <f t="shared" si="47"/>
        <v>1</v>
      </c>
      <c r="L29" s="10">
        <f>HLOOKUP('skill data'!$AL$12,$U$1:$Y$36,A29+1,FALSE)</f>
        <v>1.75</v>
      </c>
      <c r="M29" s="10">
        <f t="shared" si="21"/>
        <v>1</v>
      </c>
      <c r="N29" s="10" t="s">
        <v>52</v>
      </c>
      <c r="O29" s="10">
        <f t="shared" si="35"/>
        <v>1</v>
      </c>
      <c r="P29" s="10">
        <f t="shared" si="6"/>
        <v>0</v>
      </c>
      <c r="Q29" s="184">
        <f t="shared" si="17"/>
        <v>0</v>
      </c>
      <c r="R29" s="10" t="str">
        <f t="shared" si="8"/>
        <v>1</v>
      </c>
      <c r="S29" s="10" t="str">
        <f t="shared" si="9"/>
        <v>#DIV/0!</v>
      </c>
      <c r="T29" s="61" t="s">
        <v>109</v>
      </c>
      <c r="U29" s="10">
        <v>0.0</v>
      </c>
      <c r="V29" s="183">
        <f t="shared" ref="V29:W29" si="51">1+V31+V21</f>
        <v>1.75</v>
      </c>
      <c r="W29" s="183">
        <f t="shared" si="51"/>
        <v>1.75</v>
      </c>
      <c r="X29" s="183">
        <f>1+0.6+0.6+X31+X21</f>
        <v>2.95</v>
      </c>
      <c r="Y29" s="183">
        <f>3+Y21</f>
        <v>3.75</v>
      </c>
      <c r="Z29" s="1"/>
      <c r="AA29" s="20" t="s">
        <v>236</v>
      </c>
      <c r="AB29" s="20">
        <v>3.0</v>
      </c>
      <c r="AC29" s="20">
        <v>1.0</v>
      </c>
      <c r="AD29" s="20">
        <v>0.0</v>
      </c>
      <c r="AE29" s="20">
        <v>0.6</v>
      </c>
      <c r="AF29" s="20">
        <v>0.0</v>
      </c>
      <c r="AG29" s="20">
        <v>1.0</v>
      </c>
      <c r="AH29" s="20">
        <v>0.0</v>
      </c>
      <c r="AI29" s="1"/>
      <c r="AJ29" s="1"/>
      <c r="AK29" s="1"/>
      <c r="AL29" s="1"/>
      <c r="AM29" s="1"/>
      <c r="AN29" s="2"/>
      <c r="AO29" s="2"/>
      <c r="AP29" s="2"/>
      <c r="AQ29" s="2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ht="16.5" customHeight="1">
      <c r="A30" s="4">
        <v>29.0</v>
      </c>
      <c r="B30" s="77" t="s">
        <v>129</v>
      </c>
      <c r="C30" s="182">
        <f>AM6</f>
        <v>1</v>
      </c>
      <c r="D30" s="10">
        <f t="shared" si="1"/>
        <v>0</v>
      </c>
      <c r="E30" s="184">
        <f t="shared" si="2"/>
        <v>0</v>
      </c>
      <c r="F30" s="10" t="str">
        <f t="shared" si="3"/>
        <v>1</v>
      </c>
      <c r="G30" s="182">
        <f>AN6</f>
        <v>1</v>
      </c>
      <c r="H30" s="10">
        <f t="shared" si="48"/>
        <v>0</v>
      </c>
      <c r="I30" s="184">
        <f t="shared" si="49"/>
        <v>0</v>
      </c>
      <c r="J30" s="10" t="str">
        <f t="shared" si="50"/>
        <v>1</v>
      </c>
      <c r="K30" s="10">
        <f>IF('skill data'!$AB$24=5,C30*G30,C30)</f>
        <v>1</v>
      </c>
      <c r="L30" s="10">
        <f>HLOOKUP('skill data'!$AL$12,$U$1:$Y$36,A30+1,FALSE)</f>
        <v>0.75</v>
      </c>
      <c r="M30" s="10">
        <f t="shared" si="21"/>
        <v>1</v>
      </c>
      <c r="N30" s="10" t="s">
        <v>52</v>
      </c>
      <c r="O30" s="10">
        <f t="shared" si="35"/>
        <v>1</v>
      </c>
      <c r="P30" s="10">
        <f t="shared" si="6"/>
        <v>0</v>
      </c>
      <c r="Q30" s="184">
        <f t="shared" si="17"/>
        <v>0</v>
      </c>
      <c r="R30" s="10" t="str">
        <f t="shared" si="8"/>
        <v>1</v>
      </c>
      <c r="S30" s="10" t="str">
        <f t="shared" si="9"/>
        <v>#DIV/0!</v>
      </c>
      <c r="T30" s="77" t="s">
        <v>129</v>
      </c>
      <c r="U30" s="10">
        <v>0.0</v>
      </c>
      <c r="V30" s="183">
        <f>'技能模擬器'!C4</f>
        <v>0.75</v>
      </c>
      <c r="W30" s="183">
        <f t="shared" ref="W30:Y30" si="52">V30</f>
        <v>0.75</v>
      </c>
      <c r="X30" s="183">
        <f t="shared" si="52"/>
        <v>0.75</v>
      </c>
      <c r="Y30" s="183">
        <f t="shared" si="52"/>
        <v>0.75</v>
      </c>
      <c r="Z30" s="1"/>
      <c r="AA30" s="20" t="s">
        <v>242</v>
      </c>
      <c r="AB30" s="20">
        <v>4.0</v>
      </c>
      <c r="AC30" s="20">
        <v>0.0</v>
      </c>
      <c r="AD30" s="20">
        <v>1.0</v>
      </c>
      <c r="AE30" s="20">
        <v>1.0</v>
      </c>
      <c r="AF30" s="20">
        <v>0.0</v>
      </c>
      <c r="AG30" s="20">
        <v>1.0</v>
      </c>
      <c r="AH30" s="20">
        <v>0.0</v>
      </c>
      <c r="AI30" s="1"/>
      <c r="AJ30" s="1"/>
      <c r="AK30" s="1"/>
      <c r="AL30" s="1"/>
      <c r="AM30" s="1"/>
      <c r="AN30" s="2"/>
      <c r="AO30" s="2"/>
      <c r="AP30" s="2"/>
      <c r="AQ30" s="2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ht="16.5" customHeight="1">
      <c r="A31" s="4">
        <v>30.0</v>
      </c>
      <c r="B31" s="77" t="s">
        <v>136</v>
      </c>
      <c r="C31" s="182">
        <f>AJ7</f>
        <v>1</v>
      </c>
      <c r="D31" s="10">
        <f t="shared" si="1"/>
        <v>0</v>
      </c>
      <c r="E31" s="184">
        <f t="shared" si="2"/>
        <v>0</v>
      </c>
      <c r="F31" s="10" t="str">
        <f t="shared" si="3"/>
        <v>1</v>
      </c>
      <c r="G31" s="182">
        <f>AK7</f>
        <v>0</v>
      </c>
      <c r="H31" s="10">
        <f t="shared" si="48"/>
        <v>0</v>
      </c>
      <c r="I31" s="184">
        <f t="shared" si="49"/>
        <v>0</v>
      </c>
      <c r="J31" s="10" t="str">
        <f t="shared" si="50"/>
        <v>0</v>
      </c>
      <c r="K31" s="10">
        <f t="shared" ref="K31:K33" si="53">C31</f>
        <v>1</v>
      </c>
      <c r="L31" s="10">
        <f>HLOOKUP('skill data'!$AL$12,$U$1:$Y$36,A31+1,FALSE)</f>
        <v>0</v>
      </c>
      <c r="M31" s="10">
        <f t="shared" si="21"/>
        <v>1</v>
      </c>
      <c r="N31" s="10">
        <f>1</f>
        <v>1</v>
      </c>
      <c r="O31" s="10">
        <f>M31*N31</f>
        <v>1</v>
      </c>
      <c r="P31" s="10">
        <f t="shared" si="6"/>
        <v>0</v>
      </c>
      <c r="Q31" s="184">
        <f t="shared" si="17"/>
        <v>0</v>
      </c>
      <c r="R31" s="10" t="str">
        <f t="shared" si="8"/>
        <v>1</v>
      </c>
      <c r="S31" s="10" t="str">
        <f t="shared" si="9"/>
        <v>#DIV/0!</v>
      </c>
      <c r="T31" s="77" t="s">
        <v>136</v>
      </c>
      <c r="U31" s="10">
        <v>0.0</v>
      </c>
      <c r="V31" s="183">
        <f>IF(AI8&gt;0,0.7,0)</f>
        <v>0</v>
      </c>
      <c r="W31" s="183">
        <f>IF(AL8&gt;0,0.5,0)</f>
        <v>0</v>
      </c>
      <c r="X31" s="183">
        <f>IF(AO8&gt;0,0.6,0)</f>
        <v>0</v>
      </c>
      <c r="Y31" s="120">
        <v>0.0</v>
      </c>
      <c r="Z31" s="1"/>
      <c r="AA31" s="20" t="s">
        <v>243</v>
      </c>
      <c r="AB31" s="20">
        <v>5.0</v>
      </c>
      <c r="AC31" s="20">
        <v>0.0</v>
      </c>
      <c r="AD31" s="20">
        <v>1.0</v>
      </c>
      <c r="AE31" s="20">
        <v>0.0</v>
      </c>
      <c r="AF31" s="20">
        <v>0.0</v>
      </c>
      <c r="AG31" s="20">
        <v>1.0</v>
      </c>
      <c r="AH31" s="20">
        <v>1.0</v>
      </c>
      <c r="AI31" s="1"/>
      <c r="AJ31" s="1"/>
      <c r="AK31" s="1"/>
      <c r="AL31" s="1"/>
      <c r="AM31" s="1"/>
      <c r="AN31" s="2"/>
      <c r="AO31" s="2"/>
      <c r="AP31" s="2"/>
      <c r="AQ31" s="2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ht="16.5" customHeight="1">
      <c r="A32" s="4">
        <v>31.0</v>
      </c>
      <c r="B32" s="77" t="s">
        <v>137</v>
      </c>
      <c r="C32" s="182">
        <f>AM7</f>
        <v>0</v>
      </c>
      <c r="D32" s="10">
        <f t="shared" si="1"/>
        <v>0</v>
      </c>
      <c r="E32" s="184">
        <f t="shared" si="2"/>
        <v>0</v>
      </c>
      <c r="F32" s="10" t="str">
        <f t="shared" si="3"/>
        <v>0</v>
      </c>
      <c r="G32" s="182">
        <f>AN7</f>
        <v>0</v>
      </c>
      <c r="H32" s="10"/>
      <c r="I32" s="184"/>
      <c r="J32" s="10"/>
      <c r="K32" s="10">
        <f t="shared" si="53"/>
        <v>0</v>
      </c>
      <c r="L32" s="10">
        <f>HLOOKUP('skill data'!$AL$12,$U$1:$Y$36,A32+1,FALSE)</f>
        <v>0</v>
      </c>
      <c r="M32" s="10">
        <f t="shared" si="21"/>
        <v>1</v>
      </c>
      <c r="N32" s="10" t="s">
        <v>52</v>
      </c>
      <c r="O32" s="10">
        <f t="shared" ref="O32:O33" si="54">M32</f>
        <v>1</v>
      </c>
      <c r="P32" s="10">
        <f t="shared" si="6"/>
        <v>0</v>
      </c>
      <c r="Q32" s="184">
        <f t="shared" si="17"/>
        <v>0</v>
      </c>
      <c r="R32" s="10" t="str">
        <f t="shared" si="8"/>
        <v>1</v>
      </c>
      <c r="S32" s="10" t="str">
        <f t="shared" si="9"/>
        <v>#DIV/0!</v>
      </c>
      <c r="T32" s="77" t="s">
        <v>137</v>
      </c>
      <c r="U32" s="10">
        <v>0.0</v>
      </c>
      <c r="V32" s="120">
        <v>0.0</v>
      </c>
      <c r="W32" s="120">
        <v>0.0</v>
      </c>
      <c r="X32" s="120">
        <v>0.0</v>
      </c>
      <c r="Y32" s="183">
        <v>0.0</v>
      </c>
      <c r="Z32" s="1"/>
      <c r="AA32" s="1"/>
      <c r="AB32" s="1"/>
      <c r="AC32" s="20">
        <v>2.0</v>
      </c>
      <c r="AD32" s="20">
        <v>3.0</v>
      </c>
      <c r="AE32" s="20">
        <v>4.0</v>
      </c>
      <c r="AF32" s="20">
        <v>5.0</v>
      </c>
      <c r="AG32" s="20">
        <v>6.0</v>
      </c>
      <c r="AH32" s="20">
        <v>7.0</v>
      </c>
      <c r="AI32" s="1"/>
      <c r="AJ32" s="1"/>
      <c r="AK32" s="1"/>
      <c r="AL32" s="1"/>
      <c r="AM32" s="1"/>
      <c r="AN32" s="2"/>
      <c r="AO32" s="2"/>
      <c r="AP32" s="2"/>
      <c r="AQ32" s="2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ht="16.5" customHeight="1">
      <c r="A33" s="4">
        <v>32.0</v>
      </c>
      <c r="B33" s="77" t="s">
        <v>138</v>
      </c>
      <c r="C33" s="182">
        <f>AP7</f>
        <v>0</v>
      </c>
      <c r="D33" s="10">
        <f t="shared" si="1"/>
        <v>0</v>
      </c>
      <c r="E33" s="184">
        <f t="shared" si="2"/>
        <v>0</v>
      </c>
      <c r="F33" s="10" t="str">
        <f t="shared" si="3"/>
        <v>0</v>
      </c>
      <c r="G33" s="182">
        <f>AQ7</f>
        <v>0</v>
      </c>
      <c r="H33" s="10"/>
      <c r="I33" s="184"/>
      <c r="J33" s="10"/>
      <c r="K33" s="10">
        <f t="shared" si="53"/>
        <v>0</v>
      </c>
      <c r="L33" s="10">
        <f>HLOOKUP('skill data'!$AL$12,$U$1:$Y$36,A33+1,FALSE)</f>
        <v>0</v>
      </c>
      <c r="M33" s="10">
        <f t="shared" si="21"/>
        <v>1</v>
      </c>
      <c r="N33" s="10" t="s">
        <v>52</v>
      </c>
      <c r="O33" s="10">
        <f t="shared" si="54"/>
        <v>1</v>
      </c>
      <c r="P33" s="10">
        <f t="shared" si="6"/>
        <v>0</v>
      </c>
      <c r="Q33" s="184">
        <f t="shared" si="17"/>
        <v>0</v>
      </c>
      <c r="R33" s="10" t="str">
        <f t="shared" si="8"/>
        <v>1</v>
      </c>
      <c r="S33" s="10" t="str">
        <f t="shared" si="9"/>
        <v>#DIV/0!</v>
      </c>
      <c r="T33" s="77" t="s">
        <v>138</v>
      </c>
      <c r="U33" s="10">
        <v>0.0</v>
      </c>
      <c r="V33" s="183">
        <v>0.0</v>
      </c>
      <c r="W33" s="183">
        <v>0.0</v>
      </c>
      <c r="X33" s="183">
        <v>0.0</v>
      </c>
      <c r="Y33" s="183">
        <v>0.0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ht="16.5" customHeight="1">
      <c r="A34" s="4">
        <v>33.0</v>
      </c>
      <c r="B34" s="77" t="s">
        <v>148</v>
      </c>
      <c r="C34" s="182">
        <f>AJ8</f>
        <v>0</v>
      </c>
      <c r="D34" s="10">
        <f t="shared" si="1"/>
        <v>0</v>
      </c>
      <c r="E34" s="184">
        <f t="shared" si="2"/>
        <v>0</v>
      </c>
      <c r="F34" s="10" t="str">
        <f t="shared" si="3"/>
        <v>0</v>
      </c>
      <c r="G34" s="182">
        <f>AK8</f>
        <v>0</v>
      </c>
      <c r="H34" s="10">
        <f t="shared" ref="H34:H36" si="55">IF(G34&gt;1,LOG(G34),0)</f>
        <v>0</v>
      </c>
      <c r="I34" s="184">
        <f t="shared" ref="I34:I36" si="56">IF(H34&lt;15,FLOOR(H34/3,1),FLOOR(H34,1))</f>
        <v>0</v>
      </c>
      <c r="J34" s="10" t="str">
        <f t="shared" ref="J34:J36" si="57">IF(H34&lt;15,ROUND(G34/10^(3*I34),2)&amp;VLOOKUP(I34,$C$79:$G$83,2,FALSE),ROUND(G34/10^I34,2)&amp;"e"&amp;I34)</f>
        <v>0</v>
      </c>
      <c r="K34" s="10">
        <f t="shared" ref="K34:K36" si="58">G34</f>
        <v>0</v>
      </c>
      <c r="L34" s="10">
        <f>HLOOKUP('skill data'!$AL$12,$U$1:$Y$36,A34+1,FALSE)</f>
        <v>1</v>
      </c>
      <c r="M34" s="10">
        <f t="shared" si="21"/>
        <v>1</v>
      </c>
      <c r="N34" s="10">
        <f t="shared" ref="N34:N36" si="59">IF(AND(C34&gt;0,L34&gt;0),5000^0.5,1)</f>
        <v>1</v>
      </c>
      <c r="O34" s="10">
        <f t="shared" ref="O34:O36" si="60">M34*N34</f>
        <v>1</v>
      </c>
      <c r="P34" s="10">
        <f t="shared" si="6"/>
        <v>0</v>
      </c>
      <c r="Q34" s="184">
        <f t="shared" si="17"/>
        <v>0</v>
      </c>
      <c r="R34" s="10" t="str">
        <f t="shared" si="8"/>
        <v>1</v>
      </c>
      <c r="S34" s="10" t="str">
        <f t="shared" si="9"/>
        <v>#DIV/0!</v>
      </c>
      <c r="T34" s="77" t="s">
        <v>148</v>
      </c>
      <c r="U34" s="10">
        <v>0.0</v>
      </c>
      <c r="V34" s="183">
        <v>1.0</v>
      </c>
      <c r="W34" s="183">
        <v>0.0</v>
      </c>
      <c r="X34" s="183">
        <v>0.0</v>
      </c>
      <c r="Y34" s="183">
        <v>0.0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ht="16.5" customHeight="1">
      <c r="A35" s="4">
        <v>34.0</v>
      </c>
      <c r="B35" s="77" t="s">
        <v>149</v>
      </c>
      <c r="C35" s="182">
        <f>AM8</f>
        <v>0</v>
      </c>
      <c r="D35" s="10">
        <f t="shared" si="1"/>
        <v>0</v>
      </c>
      <c r="E35" s="184">
        <f t="shared" si="2"/>
        <v>0</v>
      </c>
      <c r="F35" s="10" t="str">
        <f t="shared" si="3"/>
        <v>0</v>
      </c>
      <c r="G35" s="182">
        <f>AN8</f>
        <v>0</v>
      </c>
      <c r="H35" s="10">
        <f t="shared" si="55"/>
        <v>0</v>
      </c>
      <c r="I35" s="184">
        <f t="shared" si="56"/>
        <v>0</v>
      </c>
      <c r="J35" s="10" t="str">
        <f t="shared" si="57"/>
        <v>0</v>
      </c>
      <c r="K35" s="10">
        <f t="shared" si="58"/>
        <v>0</v>
      </c>
      <c r="L35" s="10">
        <f>HLOOKUP('skill data'!$AL$12,$U$1:$Y$36,A35+1,FALSE)</f>
        <v>0</v>
      </c>
      <c r="M35" s="10">
        <f t="shared" si="21"/>
        <v>1</v>
      </c>
      <c r="N35" s="10">
        <f t="shared" si="59"/>
        <v>1</v>
      </c>
      <c r="O35" s="10">
        <f t="shared" si="60"/>
        <v>1</v>
      </c>
      <c r="P35" s="10">
        <f t="shared" si="6"/>
        <v>0</v>
      </c>
      <c r="Q35" s="184">
        <f t="shared" si="17"/>
        <v>0</v>
      </c>
      <c r="R35" s="10" t="str">
        <f t="shared" si="8"/>
        <v>1</v>
      </c>
      <c r="S35" s="10" t="str">
        <f t="shared" si="9"/>
        <v>#DIV/0!</v>
      </c>
      <c r="T35" s="77" t="s">
        <v>149</v>
      </c>
      <c r="U35" s="10">
        <v>0.0</v>
      </c>
      <c r="V35" s="183">
        <v>0.0</v>
      </c>
      <c r="W35" s="183">
        <v>1.0</v>
      </c>
      <c r="X35" s="183">
        <v>0.0</v>
      </c>
      <c r="Y35" s="183">
        <v>0.0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ht="16.5" customHeight="1">
      <c r="A36" s="20">
        <v>35.0</v>
      </c>
      <c r="B36" s="77" t="s">
        <v>244</v>
      </c>
      <c r="C36" s="182">
        <f>AP8</f>
        <v>0</v>
      </c>
      <c r="D36" s="10">
        <f t="shared" si="1"/>
        <v>0</v>
      </c>
      <c r="E36" s="184">
        <f t="shared" si="2"/>
        <v>0</v>
      </c>
      <c r="F36" s="10" t="str">
        <f t="shared" si="3"/>
        <v>0</v>
      </c>
      <c r="G36" s="182">
        <f>AQ8</f>
        <v>0</v>
      </c>
      <c r="H36" s="10">
        <f t="shared" si="55"/>
        <v>0</v>
      </c>
      <c r="I36" s="184">
        <f t="shared" si="56"/>
        <v>0</v>
      </c>
      <c r="J36" s="10" t="str">
        <f t="shared" si="57"/>
        <v>0</v>
      </c>
      <c r="K36" s="10">
        <f t="shared" si="58"/>
        <v>0</v>
      </c>
      <c r="L36" s="10">
        <f>HLOOKUP('skill data'!$AL$12,$U$1:$Y$36,A36+1,FALSE)</f>
        <v>0</v>
      </c>
      <c r="M36" s="10">
        <f t="shared" si="21"/>
        <v>1</v>
      </c>
      <c r="N36" s="10">
        <f t="shared" si="59"/>
        <v>1</v>
      </c>
      <c r="O36" s="10">
        <f t="shared" si="60"/>
        <v>1</v>
      </c>
      <c r="P36" s="10">
        <f t="shared" si="6"/>
        <v>0</v>
      </c>
      <c r="Q36" s="184">
        <f t="shared" si="17"/>
        <v>0</v>
      </c>
      <c r="R36" s="10" t="str">
        <f t="shared" si="8"/>
        <v>1</v>
      </c>
      <c r="S36" s="10" t="str">
        <f t="shared" si="9"/>
        <v>#DIV/0!</v>
      </c>
      <c r="T36" s="77" t="s">
        <v>244</v>
      </c>
      <c r="U36" s="10">
        <v>0.0</v>
      </c>
      <c r="V36" s="183">
        <v>0.0</v>
      </c>
      <c r="W36" s="183">
        <v>0.0</v>
      </c>
      <c r="X36" s="183">
        <v>1.0</v>
      </c>
      <c r="Y36" s="183">
        <v>0.0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ht="16.5" customHeight="1">
      <c r="A37" s="1"/>
      <c r="B37" s="10"/>
      <c r="C37" s="182"/>
      <c r="D37" s="10"/>
      <c r="E37" s="10"/>
      <c r="F37" s="10"/>
      <c r="G37" s="182"/>
      <c r="H37" s="10"/>
      <c r="I37" s="10"/>
      <c r="J37" s="10"/>
      <c r="K37" s="10"/>
      <c r="L37" s="10"/>
      <c r="M37" s="10"/>
      <c r="N37" s="10"/>
      <c r="O37" s="10"/>
      <c r="P37" s="10">
        <f>SUM(P2:P36)</f>
        <v>0</v>
      </c>
      <c r="Q37" s="10">
        <f>ROUND(10^(P37-R37),2)</f>
        <v>1</v>
      </c>
      <c r="R37" s="10">
        <f>FLOOR(P37,1)</f>
        <v>0</v>
      </c>
      <c r="S37" s="10"/>
      <c r="T37" s="10"/>
      <c r="U37" s="10"/>
      <c r="V37" s="183"/>
      <c r="W37" s="183"/>
      <c r="X37" s="183"/>
      <c r="Y37" s="183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0"/>
      <c r="Q38" s="10"/>
      <c r="R38" s="10"/>
      <c r="S38" s="10"/>
      <c r="T38" s="10"/>
      <c r="U38" s="10"/>
      <c r="V38" s="183"/>
      <c r="W38" s="183"/>
      <c r="X38" s="183"/>
      <c r="Y38" s="183"/>
      <c r="Z38" s="126"/>
      <c r="AA38" s="126"/>
      <c r="AB38" s="126"/>
      <c r="AC38" s="185">
        <f t="shared" ref="AC38:AC40" si="61">AC2+1</f>
        <v>1</v>
      </c>
      <c r="AD38" s="126">
        <f>IF(AC38&gt;0,VLOOKUP(AC38,simulationData!D1:F25,2,FALSE),1)</f>
        <v>1.2</v>
      </c>
      <c r="AE38" s="126" t="s">
        <v>52</v>
      </c>
      <c r="AF38" s="126"/>
      <c r="AG38" s="126"/>
      <c r="AH38" s="126"/>
      <c r="AI38" s="154"/>
      <c r="AJ38" s="154"/>
      <c r="AK38" s="154"/>
      <c r="AL38" s="185">
        <f t="shared" ref="AL38:AL40" si="62">AL2+1</f>
        <v>1</v>
      </c>
      <c r="AM38" s="154">
        <f>IF(AL38&gt;0,VLOOKUP(AL38,simulationData!M1:O25,2,FALSE),1)</f>
        <v>1.2</v>
      </c>
      <c r="AN38" s="154" t="s">
        <v>52</v>
      </c>
      <c r="AO38" s="154"/>
      <c r="AP38" s="154"/>
      <c r="AQ38" s="154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0"/>
      <c r="Q39" s="120" t="s">
        <v>245</v>
      </c>
      <c r="R39" s="10">
        <f>0.02+MIN('技能模擬器'!C14+0,40)*0.01</f>
        <v>0.02</v>
      </c>
      <c r="S39" s="10"/>
      <c r="T39" s="10"/>
      <c r="U39" s="10"/>
      <c r="V39" s="183"/>
      <c r="W39" s="183"/>
      <c r="X39" s="183"/>
      <c r="Y39" s="183"/>
      <c r="Z39" s="185">
        <f t="shared" ref="Z39:Z41" si="63">Z3+1</f>
        <v>1</v>
      </c>
      <c r="AA39" s="126">
        <f>IF(Z39&gt;0,VLOOKUP(Z39,simulationData!A26:C50,2,FALSE),0)</f>
        <v>0.04</v>
      </c>
      <c r="AB39" s="126" t="s">
        <v>52</v>
      </c>
      <c r="AC39" s="185">
        <f t="shared" si="61"/>
        <v>1</v>
      </c>
      <c r="AD39" s="126">
        <f>IF(AC39&gt;0,VLOOKUP(AC39,simulationData!D26:F50,2,FALSE),1)</f>
        <v>1.5</v>
      </c>
      <c r="AE39" s="126">
        <f>IF(AC39&gt;0,VLOOKUP(AC39,simulationData!D26:F50,3,FALSE),0)</f>
        <v>0</v>
      </c>
      <c r="AF39" s="185">
        <f t="shared" ref="AF39:AF41" si="64">AF3+1</f>
        <v>1</v>
      </c>
      <c r="AG39" s="126">
        <f>IF(AF39&gt;0,VLOOKUP(AF39,simulationData!G26:I50,2,FALSE),0)</f>
        <v>1.8</v>
      </c>
      <c r="AH39" s="126">
        <f>IF(AF39&gt;0,VLOOKUP(AF39,simulationData!G26:I50,3,FALSE),0)</f>
        <v>0</v>
      </c>
      <c r="AI39" s="185">
        <f t="shared" ref="AI39:AI41" si="65">AI3+1</f>
        <v>1</v>
      </c>
      <c r="AJ39" s="154">
        <f>IF(AI39&gt;0,VLOOKUP(AI39,simulationData!J26:L50,2,FALSE),1)</f>
        <v>1.8</v>
      </c>
      <c r="AK39" s="154">
        <f>IF(AI39&gt;0,VLOOKUP(AI39,simulationData!J26:L50,3,FALSE),0)</f>
        <v>1</v>
      </c>
      <c r="AL39" s="185">
        <f t="shared" si="62"/>
        <v>1</v>
      </c>
      <c r="AM39" s="154">
        <f>IF(AL39&gt;0,VLOOKUP(AL39,simulationData!M26:O50,2,FALSE),1)</f>
        <v>1.5</v>
      </c>
      <c r="AN39" s="154">
        <f>IF(AL39&gt;0,VLOOKUP(AL39,simulationData!M26:O50,3,FALSE),0)</f>
        <v>1</v>
      </c>
      <c r="AO39" s="185">
        <f t="shared" ref="AO39:AO41" si="66">AO3+1</f>
        <v>1</v>
      </c>
      <c r="AP39" s="154">
        <f>IF(AO39&gt;0,VLOOKUP(AO39,simulationData!P26:R50,2,FALSE),1)</f>
        <v>1.5</v>
      </c>
      <c r="AQ39" s="154">
        <f>IF(AO39&gt;0,VLOOKUP(AO39,simulationData!P26:R50,3,FALSE),0)</f>
        <v>1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ht="16.5" customHeight="1">
      <c r="A40" s="1"/>
      <c r="B40" s="10"/>
      <c r="C40" s="182" t="s">
        <v>164</v>
      </c>
      <c r="D40" s="10"/>
      <c r="E40" s="10"/>
      <c r="F40" s="10"/>
      <c r="G40" s="182" t="s">
        <v>165</v>
      </c>
      <c r="H40" s="10"/>
      <c r="I40" s="10"/>
      <c r="J40" s="10"/>
      <c r="K40" s="10" t="s">
        <v>166</v>
      </c>
      <c r="L40" s="10" t="s">
        <v>167</v>
      </c>
      <c r="M40" s="10" t="s">
        <v>147</v>
      </c>
      <c r="N40" s="10" t="s">
        <v>168</v>
      </c>
      <c r="O40" s="10" t="s">
        <v>169</v>
      </c>
      <c r="P40" s="10"/>
      <c r="Q40" s="10"/>
      <c r="R40" s="10"/>
      <c r="S40" s="10"/>
      <c r="T40" s="10"/>
      <c r="U40" s="10">
        <v>0.0</v>
      </c>
      <c r="V40" s="183">
        <v>1.0</v>
      </c>
      <c r="W40" s="183">
        <v>2.0</v>
      </c>
      <c r="X40" s="183">
        <v>3.0</v>
      </c>
      <c r="Y40" s="183">
        <v>4.0</v>
      </c>
      <c r="Z40" s="185">
        <f t="shared" si="63"/>
        <v>1</v>
      </c>
      <c r="AA40" s="126">
        <f>IF(Z40&gt;0,VLOOKUP(Z40,simulationData!A51:C75,2,FALSE),1)</f>
        <v>1.6</v>
      </c>
      <c r="AB40" s="126">
        <f>-Z40</f>
        <v>-1</v>
      </c>
      <c r="AC40" s="185">
        <f t="shared" si="61"/>
        <v>1</v>
      </c>
      <c r="AD40" s="126">
        <f>IF(AC40&gt;0,VLOOKUP(AC40,simulationData!D51:F75,2,FALSE),1)</f>
        <v>1.6</v>
      </c>
      <c r="AE40" s="126">
        <f>IF(AC40&gt;0,VLOOKUP(AC40,simulationData!D51:F75,3,FALSE),0)</f>
        <v>1</v>
      </c>
      <c r="AF40" s="185">
        <f t="shared" si="64"/>
        <v>1</v>
      </c>
      <c r="AG40" s="126">
        <f>IF(AF40&gt;0,VLOOKUP(AF40,simulationData!G51:I75,2,FALSE),0)</f>
        <v>1.5</v>
      </c>
      <c r="AH40" s="126">
        <f>IF(AF40&gt;0,VLOOKUP(AF40,simulationData!G51:I75,3,FALSE),0)</f>
        <v>2</v>
      </c>
      <c r="AI40" s="185">
        <f t="shared" si="65"/>
        <v>1</v>
      </c>
      <c r="AJ40" s="154">
        <f>IF(AI40&gt;0,VLOOKUP(AI40,simulationData!J51:L75,2,FALSE),0)</f>
        <v>0.25</v>
      </c>
      <c r="AK40" s="154">
        <f>IF(AI40&gt;0,VLOOKUP(AI40,simulationData!J51:L75,3,FALSE),0)</f>
        <v>2</v>
      </c>
      <c r="AL40" s="185">
        <f t="shared" si="62"/>
        <v>1</v>
      </c>
      <c r="AM40" s="154">
        <f>IF(AL40&gt;0,VLOOKUP(AL40,simulationData!M51:O75,2,FALSE),1)</f>
        <v>0.75</v>
      </c>
      <c r="AN40" s="154">
        <f>IF(AL40&gt;0,VLOOKUP(AL40,simulationData!M51:O75,3,FALSE),0)</f>
        <v>1</v>
      </c>
      <c r="AO40" s="185">
        <f t="shared" si="66"/>
        <v>1</v>
      </c>
      <c r="AP40" s="154">
        <f>IF(AO40&gt;0,VLOOKUP(AO40,simulationData!P51:R75,2,FALSE),1)</f>
        <v>1.8</v>
      </c>
      <c r="AQ40" s="154">
        <f>IF(AO40&gt;0,VLOOKUP(AO40,simulationData!P51:R75,3,FALSE),0)</f>
        <v>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ht="16.5" customHeight="1">
      <c r="A41" s="4">
        <v>1.0</v>
      </c>
      <c r="B41" s="115" t="str">
        <f>B2</f>
        <v>騎士勇氣</v>
      </c>
      <c r="C41" s="182">
        <f>AD38</f>
        <v>1.2</v>
      </c>
      <c r="D41" s="10">
        <f t="shared" ref="D41:D75" si="68">IF(C41&gt;1,LOG(C41),0)</f>
        <v>0.07918124605</v>
      </c>
      <c r="E41" s="184">
        <f t="shared" ref="E41:E75" si="69">IF(D41&lt;15,FLOOR(D41/3,1),FLOOR(D41,1))</f>
        <v>0</v>
      </c>
      <c r="F41" s="10" t="str">
        <f t="shared" ref="F41:F75" si="70">IF(D41&lt;15,ROUND(C41/10^(3*E41),2)&amp;VLOOKUP(E41,$C$79:$G$83,2,FALSE),ROUND(C41/10^E41,2)&amp;"e"&amp;E41)</f>
        <v>1.2</v>
      </c>
      <c r="G41" s="182" t="str">
        <f>AE38</f>
        <v>-</v>
      </c>
      <c r="H41" s="10"/>
      <c r="I41" s="184"/>
      <c r="J41" s="10"/>
      <c r="K41" s="10">
        <f>C41</f>
        <v>1.2</v>
      </c>
      <c r="L41" s="10">
        <f t="shared" ref="L41:L75" si="71">L2</f>
        <v>1</v>
      </c>
      <c r="M41" s="10">
        <f t="shared" ref="M41:M75" si="72">IF(K41&gt;0,K41^L41,1)</f>
        <v>1.2</v>
      </c>
      <c r="N41" s="10" t="s">
        <v>52</v>
      </c>
      <c r="O41" s="10">
        <f t="shared" ref="O41:O44" si="73">M41</f>
        <v>1.2</v>
      </c>
      <c r="P41" s="10"/>
      <c r="Q41" s="10"/>
      <c r="R41" s="10"/>
      <c r="S41" s="10"/>
      <c r="T41" s="10"/>
      <c r="U41" s="10">
        <f t="shared" ref="U41:Y41" si="67">U2</f>
        <v>0</v>
      </c>
      <c r="V41" s="183">
        <f t="shared" si="67"/>
        <v>1</v>
      </c>
      <c r="W41" s="183">
        <f t="shared" si="67"/>
        <v>0</v>
      </c>
      <c r="X41" s="183">
        <f t="shared" si="67"/>
        <v>0.6</v>
      </c>
      <c r="Y41" s="183">
        <f t="shared" si="67"/>
        <v>1</v>
      </c>
      <c r="Z41" s="185">
        <f t="shared" si="63"/>
        <v>1</v>
      </c>
      <c r="AA41" s="126">
        <f>IF(Z41&gt;0,VLOOKUP(Z41,simulationData!A76:C95,2,FALSE),1)</f>
        <v>2.5</v>
      </c>
      <c r="AB41" s="126">
        <f>IF(Z41&gt;0,VLOOKUP(Z41,simulationData!A76:C95,3,FALSE),0)</f>
        <v>1</v>
      </c>
      <c r="AC41" s="126"/>
      <c r="AD41" s="126"/>
      <c r="AE41" s="126"/>
      <c r="AF41" s="185">
        <f t="shared" si="64"/>
        <v>1</v>
      </c>
      <c r="AG41" s="126">
        <f>IF(AF41&gt;0,VLOOKUP(AF41,simulationData!G76:I100,2,FALSE),0)</f>
        <v>2</v>
      </c>
      <c r="AH41" s="126">
        <f>IF(AF41&gt;0,VLOOKUP(AF41,simulationData!G76:I100,3,FALSE),0)</f>
        <v>3.5</v>
      </c>
      <c r="AI41" s="185">
        <f t="shared" si="65"/>
        <v>1</v>
      </c>
      <c r="AJ41" s="154">
        <f>IF(AI41&gt;0,VLOOKUP(AI41,simulationData!J76:L100,2,FALSE),1)</f>
        <v>1.21</v>
      </c>
      <c r="AK41" s="154" t="str">
        <f>IF(AI41&gt;0,VLOOKUP(AI41,simulationData!J76:L100,3,FALSE),0)</f>
        <v/>
      </c>
      <c r="AL41" s="154"/>
      <c r="AM41" s="154"/>
      <c r="AN41" s="154"/>
      <c r="AO41" s="185">
        <f t="shared" si="66"/>
        <v>1</v>
      </c>
      <c r="AP41" s="154">
        <f>IF(AO41&gt;0,VLOOKUP(AO41,simulationData!P76:R100,2,FALSE),1)</f>
        <v>3.5</v>
      </c>
      <c r="AQ41" s="154">
        <f>IF(AO41&gt;0,VLOOKUP(AO41,simulationData!P76:R100,3,FALSE),0)</f>
        <v>0.8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ht="16.5" customHeight="1">
      <c r="A42" s="4">
        <v>2.0</v>
      </c>
      <c r="B42" s="115" t="s">
        <v>56</v>
      </c>
      <c r="C42" s="182">
        <f>AA39</f>
        <v>0.04</v>
      </c>
      <c r="D42" s="10">
        <f t="shared" si="68"/>
        <v>0</v>
      </c>
      <c r="E42" s="184">
        <f t="shared" si="69"/>
        <v>0</v>
      </c>
      <c r="F42" s="10" t="str">
        <f t="shared" si="70"/>
        <v>0.04</v>
      </c>
      <c r="G42" s="182" t="str">
        <f>AB39</f>
        <v>-</v>
      </c>
      <c r="H42" s="10"/>
      <c r="I42" s="184"/>
      <c r="J42" s="10"/>
      <c r="K42" s="10">
        <f>(C42+R39)/R39</f>
        <v>3</v>
      </c>
      <c r="L42" s="10">
        <f t="shared" si="71"/>
        <v>1</v>
      </c>
      <c r="M42" s="10">
        <f t="shared" si="72"/>
        <v>3</v>
      </c>
      <c r="N42" s="10" t="s">
        <v>52</v>
      </c>
      <c r="O42" s="10">
        <f t="shared" si="73"/>
        <v>3</v>
      </c>
      <c r="P42" s="10"/>
      <c r="Q42" s="10"/>
      <c r="R42" s="10"/>
      <c r="S42" s="10"/>
      <c r="T42" s="10"/>
      <c r="U42" s="10">
        <f t="shared" ref="U42:Y42" si="74">U3</f>
        <v>0</v>
      </c>
      <c r="V42" s="183">
        <f t="shared" si="74"/>
        <v>1</v>
      </c>
      <c r="W42" s="183">
        <f t="shared" si="74"/>
        <v>0</v>
      </c>
      <c r="X42" s="183">
        <f t="shared" si="74"/>
        <v>1</v>
      </c>
      <c r="Y42" s="183">
        <f t="shared" si="74"/>
        <v>1</v>
      </c>
      <c r="Z42" s="61"/>
      <c r="AA42" s="61"/>
      <c r="AB42" s="61"/>
      <c r="AC42" s="185">
        <f t="shared" ref="AC42:AC45" si="76">AC6+1</f>
        <v>1</v>
      </c>
      <c r="AD42" s="61">
        <f>IF(AC42&gt;0,VLOOKUP(AC42,simulationData!V1:X25,2,FALSE),0)</f>
        <v>5</v>
      </c>
      <c r="AE42" s="61">
        <f>IF(AC42&gt;0,VLOOKUP(AC42,simulationData!V1:X25,3,FALSE),0)</f>
        <v>0.1</v>
      </c>
      <c r="AF42" s="61"/>
      <c r="AG42" s="61"/>
      <c r="AH42" s="61"/>
      <c r="AI42" s="77"/>
      <c r="AJ42" s="77"/>
      <c r="AK42" s="77"/>
      <c r="AL42" s="185">
        <f t="shared" ref="AL42:AL44" si="77">AL6+1</f>
        <v>1</v>
      </c>
      <c r="AM42" s="77">
        <f>IF(AL42&gt;0,VLOOKUP(AL42,simulationData!AE1:AG25,2,FALSE),1)</f>
        <v>1.6</v>
      </c>
      <c r="AN42" s="77">
        <f>IF(AL42&gt;0,VLOOKUP(AL42,simulationData!AE1:AG25,3,FALSE),1)</f>
        <v>1.2</v>
      </c>
      <c r="AO42" s="77"/>
      <c r="AP42" s="77"/>
      <c r="AQ42" s="77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ht="16.5" customHeight="1">
      <c r="A43" s="4">
        <v>3.0</v>
      </c>
      <c r="B43" s="115" t="s">
        <v>58</v>
      </c>
      <c r="C43" s="182">
        <f>AD39</f>
        <v>1.5</v>
      </c>
      <c r="D43" s="10">
        <f t="shared" si="68"/>
        <v>0.1760912591</v>
      </c>
      <c r="E43" s="184">
        <f t="shared" si="69"/>
        <v>0</v>
      </c>
      <c r="F43" s="10" t="str">
        <f t="shared" si="70"/>
        <v>1.5</v>
      </c>
      <c r="G43" s="182">
        <f>AE39</f>
        <v>0</v>
      </c>
      <c r="H43" s="10">
        <f t="shared" ref="H43:H45" si="78">IF(G43&gt;1,LOG(G43),0)</f>
        <v>0</v>
      </c>
      <c r="I43" s="184">
        <f t="shared" ref="I43:I45" si="79">IF(H43&lt;15,FLOOR(H43/3,1),FLOOR(H43,1))</f>
        <v>0</v>
      </c>
      <c r="J43" s="10" t="str">
        <f t="shared" ref="J43:J45" si="80">IF(H43&lt;15,ROUND(G43/10^(3*I43),2)&amp;VLOOKUP(I43,$C$79:$G$83,2,FALSE),ROUND(G43/10^I43,2)&amp;"e"&amp;I43)</f>
        <v>0</v>
      </c>
      <c r="K43" s="10">
        <f>C43*20/(20-G43)</f>
        <v>1.5</v>
      </c>
      <c r="L43" s="10">
        <f t="shared" si="71"/>
        <v>1</v>
      </c>
      <c r="M43" s="10">
        <f t="shared" si="72"/>
        <v>1.5</v>
      </c>
      <c r="N43" s="10" t="s">
        <v>52</v>
      </c>
      <c r="O43" s="10">
        <f t="shared" si="73"/>
        <v>1.5</v>
      </c>
      <c r="P43" s="10"/>
      <c r="Q43" s="10"/>
      <c r="R43" s="10"/>
      <c r="S43" s="10"/>
      <c r="T43" s="10"/>
      <c r="U43" s="10">
        <f t="shared" ref="U43:Y43" si="75">U4</f>
        <v>0</v>
      </c>
      <c r="V43" s="183">
        <f t="shared" si="75"/>
        <v>1</v>
      </c>
      <c r="W43" s="183">
        <f t="shared" si="75"/>
        <v>0</v>
      </c>
      <c r="X43" s="183">
        <f t="shared" si="75"/>
        <v>0</v>
      </c>
      <c r="Y43" s="183">
        <f t="shared" si="75"/>
        <v>0</v>
      </c>
      <c r="Z43" s="185">
        <f t="shared" ref="Z43:Z45" si="82">Z7+1</f>
        <v>1</v>
      </c>
      <c r="AA43" s="61">
        <f>IF(Z43&gt;0,VLOOKUP(Z43,simulationData!S26:U50,2,FALSE),1)</f>
        <v>1.8</v>
      </c>
      <c r="AB43" s="61">
        <f>IF(Z43&gt;0,VLOOKUP(Z43,simulationData!S26:U50,3,FALSE),1)</f>
        <v>1.2</v>
      </c>
      <c r="AC43" s="185">
        <f t="shared" si="76"/>
        <v>1</v>
      </c>
      <c r="AD43" s="61">
        <f>IF(AC43&gt;0,VLOOKUP(AC43,simulationData!V26:X50,2,FALSE),1)</f>
        <v>2</v>
      </c>
      <c r="AE43" s="61">
        <f>IF(AC43&gt;0,VLOOKUP(AC43,simulationData!V26:X50,3,FALSE),0)</f>
        <v>0</v>
      </c>
      <c r="AF43" s="185">
        <f t="shared" ref="AF43:AF45" si="83">AF7+1</f>
        <v>1</v>
      </c>
      <c r="AG43" s="61">
        <f>IF(AF43&gt;0,VLOOKUP(AF43,simulationData!Y26:AA50,2,FALSE),1)</f>
        <v>1.5</v>
      </c>
      <c r="AH43" s="61">
        <f>IF(AF43&gt;0,VLOOKUP(AF43,simulationData!Y26:AA50,3,FALSE),0)</f>
        <v>0.1</v>
      </c>
      <c r="AI43" s="185">
        <f t="shared" ref="AI43:AI44" si="84">AI7+1</f>
        <v>1</v>
      </c>
      <c r="AJ43" s="77">
        <f>IF(AI43&gt;0,VLOOKUP(AI43,simulationData!AB26:AD50,2,FALSE),1)</f>
        <v>1.6</v>
      </c>
      <c r="AK43" s="77">
        <f>IF(AI43&gt;0,VLOOKUP(AI43,simulationData!AB26:AD50,3,FALSE),0)</f>
        <v>2</v>
      </c>
      <c r="AL43" s="185">
        <f t="shared" si="77"/>
        <v>1</v>
      </c>
      <c r="AM43" s="77">
        <f>IF(AL43&gt;0,VLOOKUP(AL43,simulationData!AE26:AG50,2,FALSE),0)</f>
        <v>1</v>
      </c>
      <c r="AN43" s="77">
        <f>IF(AL43&gt;0,VLOOKUP(AL43,simulationData!AE26:AG50,3,FALSE),0)</f>
        <v>0</v>
      </c>
      <c r="AO43" s="185">
        <f t="shared" ref="AO43:AO44" si="85">AO7+1</f>
        <v>1</v>
      </c>
      <c r="AP43" s="77">
        <f>IF(AO43&gt;0,VLOOKUP(AO43,simulationData!AH26:AJ50,2,FALSE),0)</f>
        <v>1</v>
      </c>
      <c r="AQ43" s="77">
        <f>IF(AO43&gt;0,VLOOKUP(AO43,simulationData!AH26:AJ50,3,FALSE),0)</f>
        <v>1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ht="16.5" customHeight="1">
      <c r="A44" s="4">
        <v>4.0</v>
      </c>
      <c r="B44" s="115" t="s">
        <v>59</v>
      </c>
      <c r="C44" s="182">
        <f>AG39</f>
        <v>1.8</v>
      </c>
      <c r="D44" s="10">
        <f t="shared" si="68"/>
        <v>0.2552725051</v>
      </c>
      <c r="E44" s="184">
        <f t="shared" si="69"/>
        <v>0</v>
      </c>
      <c r="F44" s="10" t="str">
        <f t="shared" si="70"/>
        <v>1.8</v>
      </c>
      <c r="G44" s="182">
        <f>AH39</f>
        <v>0</v>
      </c>
      <c r="H44" s="10">
        <f t="shared" si="78"/>
        <v>0</v>
      </c>
      <c r="I44" s="184">
        <f t="shared" si="79"/>
        <v>0</v>
      </c>
      <c r="J44" s="10" t="str">
        <f t="shared" si="80"/>
        <v>0</v>
      </c>
      <c r="K44" s="10">
        <f t="shared" ref="K44:K53" si="86">C44</f>
        <v>1.8</v>
      </c>
      <c r="L44" s="10">
        <f t="shared" si="71"/>
        <v>0.75</v>
      </c>
      <c r="M44" s="10">
        <f t="shared" si="72"/>
        <v>1.554012038</v>
      </c>
      <c r="N44" s="10" t="s">
        <v>52</v>
      </c>
      <c r="O44" s="10">
        <f t="shared" si="73"/>
        <v>1.554012038</v>
      </c>
      <c r="P44" s="10"/>
      <c r="Q44" s="10"/>
      <c r="R44" s="10"/>
      <c r="S44" s="10"/>
      <c r="T44" s="10"/>
      <c r="U44" s="10">
        <f t="shared" ref="U44:Y44" si="81">U5</f>
        <v>0</v>
      </c>
      <c r="V44" s="183">
        <f t="shared" si="81"/>
        <v>0.75</v>
      </c>
      <c r="W44" s="183">
        <f t="shared" si="81"/>
        <v>0.75</v>
      </c>
      <c r="X44" s="183">
        <f t="shared" si="81"/>
        <v>0.75</v>
      </c>
      <c r="Y44" s="183">
        <f t="shared" si="81"/>
        <v>0.75</v>
      </c>
      <c r="Z44" s="185">
        <f t="shared" si="82"/>
        <v>1</v>
      </c>
      <c r="AA44" s="61">
        <f>IF(Z44&gt;0,VLOOKUP(Z44,simulationData!S51:U75,2,FALSE),0)</f>
        <v>4</v>
      </c>
      <c r="AB44" s="61">
        <f>IF(Z44&gt;0,VLOOKUP(Z44,simulationData!S51:U75,3,FALSE),0)</f>
        <v>4</v>
      </c>
      <c r="AC44" s="185">
        <f t="shared" si="76"/>
        <v>1</v>
      </c>
      <c r="AD44" s="61">
        <f>IF(AC44&gt;0,VLOOKUP(AC44,simulationData!V51:X75,2,FALSE),0)</f>
        <v>0.05</v>
      </c>
      <c r="AE44" s="61" t="s">
        <v>52</v>
      </c>
      <c r="AF44" s="185">
        <f t="shared" si="83"/>
        <v>1</v>
      </c>
      <c r="AG44" s="61">
        <f>IF(AF44&gt;0,VLOOKUP(AF44,simulationData!Y51:AA75,2,FALSE),0)</f>
        <v>2</v>
      </c>
      <c r="AH44" s="61">
        <f>IF(AF44&gt;0,VLOOKUP(AF44,simulationData!Y51:AA75,3,FALSE),0)</f>
        <v>0</v>
      </c>
      <c r="AI44" s="185">
        <f t="shared" si="84"/>
        <v>1</v>
      </c>
      <c r="AJ44" s="77">
        <f>IF(AI44&gt;0,VLOOKUP(AI44,simulationData!AB51:AD75,2,FALSE),0)</f>
        <v>1</v>
      </c>
      <c r="AK44" s="77">
        <f>IF(AI44&gt;0,VLOOKUP(AI44,simulationData!AB51:AD75,3,FALSE),0)</f>
        <v>1</v>
      </c>
      <c r="AL44" s="185">
        <f t="shared" si="77"/>
        <v>1</v>
      </c>
      <c r="AM44" s="77">
        <f>IF(AL44&gt;0,VLOOKUP(AL44,simulationData!AE51:AG75,2,FALSE),0)</f>
        <v>1</v>
      </c>
      <c r="AN44" s="77">
        <f>IF(AL44&gt;0,VLOOKUP(AL44,simulationData!AE51:AG75,3,FALSE),0)</f>
        <v>1</v>
      </c>
      <c r="AO44" s="185">
        <f t="shared" si="85"/>
        <v>1</v>
      </c>
      <c r="AP44" s="77">
        <f>IF(AO44&gt;0,VLOOKUP(AO44,simulationData!AH51:AJ75,2,FALSE),0)</f>
        <v>1</v>
      </c>
      <c r="AQ44" s="77">
        <f>IF(AO44&gt;0,VLOOKUP(AO44,simulationData!AH51:AJ75,3,FALSE),0)</f>
        <v>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ht="16.5" customHeight="1">
      <c r="A45" s="4">
        <v>5.0</v>
      </c>
      <c r="B45" s="115" t="s">
        <v>81</v>
      </c>
      <c r="C45" s="182">
        <f>AA40</f>
        <v>1.6</v>
      </c>
      <c r="D45" s="10">
        <f t="shared" si="68"/>
        <v>0.2041199827</v>
      </c>
      <c r="E45" s="184">
        <f t="shared" si="69"/>
        <v>0</v>
      </c>
      <c r="F45" s="10" t="str">
        <f t="shared" si="70"/>
        <v>1.6</v>
      </c>
      <c r="G45" s="182">
        <f>AB40</f>
        <v>-1</v>
      </c>
      <c r="H45" s="10">
        <f t="shared" si="78"/>
        <v>0</v>
      </c>
      <c r="I45" s="184">
        <f t="shared" si="79"/>
        <v>0</v>
      </c>
      <c r="J45" s="10" t="str">
        <f t="shared" si="80"/>
        <v>-1</v>
      </c>
      <c r="K45" s="10">
        <f t="shared" si="86"/>
        <v>1.6</v>
      </c>
      <c r="L45" s="10">
        <f t="shared" si="71"/>
        <v>1</v>
      </c>
      <c r="M45" s="10">
        <f t="shared" si="72"/>
        <v>1.6</v>
      </c>
      <c r="N45" s="10">
        <f>AC22</f>
        <v>0</v>
      </c>
      <c r="O45" s="10">
        <f>IF(N45&gt;0,M45*N45,0.001)</f>
        <v>0.001</v>
      </c>
      <c r="P45" s="10"/>
      <c r="Q45" s="10"/>
      <c r="R45" s="10"/>
      <c r="S45" s="10"/>
      <c r="T45" s="10"/>
      <c r="U45" s="10">
        <f t="shared" ref="U45:Y45" si="87">U6</f>
        <v>0</v>
      </c>
      <c r="V45" s="183">
        <f t="shared" si="87"/>
        <v>1</v>
      </c>
      <c r="W45" s="183">
        <f t="shared" si="87"/>
        <v>1</v>
      </c>
      <c r="X45" s="183">
        <f t="shared" si="87"/>
        <v>1</v>
      </c>
      <c r="Y45" s="183">
        <f t="shared" si="87"/>
        <v>1</v>
      </c>
      <c r="Z45" s="185">
        <f t="shared" si="82"/>
        <v>1</v>
      </c>
      <c r="AA45" s="61">
        <f>IF(Z45&gt;0,VLOOKUP(Z45,simulationData!S76:U100,2,FALSE),0)</f>
        <v>2</v>
      </c>
      <c r="AB45" s="61">
        <f>IF(Z45&gt;0,VLOOKUP(Z45,simulationData!S76:U100,3,FALSE),0)</f>
        <v>0</v>
      </c>
      <c r="AC45" s="185">
        <f t="shared" si="76"/>
        <v>1</v>
      </c>
      <c r="AD45" s="61">
        <f>IF(AC45&gt;0,VLOOKUP(AC45,simulationData!V76:X100,2,FALSE),0)</f>
        <v>10</v>
      </c>
      <c r="AE45" s="61">
        <f>IF(AC45&gt;0,VLOOKUP(AC45,simulationData!V76:X100,3,FALSE),0)</f>
        <v>93.8</v>
      </c>
      <c r="AF45" s="185">
        <f t="shared" si="83"/>
        <v>1</v>
      </c>
      <c r="AG45" s="61">
        <f>IF(AF45&gt;0,VLOOKUP(AF45,simulationData!Y76:AA100,2,FALSE),1)</f>
        <v>1.31</v>
      </c>
      <c r="AH45" s="61">
        <f>IF(AF45&gt;0,VLOOKUP(AF45,simulationData!Y76:AA100,3,FALSE),1)</f>
        <v>1.042</v>
      </c>
      <c r="AI45" s="77"/>
      <c r="AJ45" s="77"/>
      <c r="AK45" s="77"/>
      <c r="AL45" s="77"/>
      <c r="AM45" s="77"/>
      <c r="AN45" s="77"/>
      <c r="AO45" s="77"/>
      <c r="AP45" s="77"/>
      <c r="AQ45" s="77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ht="16.5" customHeight="1">
      <c r="A46" s="4">
        <v>6.0</v>
      </c>
      <c r="B46" s="115" t="s">
        <v>82</v>
      </c>
      <c r="C46" s="182">
        <f>AD40</f>
        <v>1.6</v>
      </c>
      <c r="D46" s="10">
        <f t="shared" si="68"/>
        <v>0.2041199827</v>
      </c>
      <c r="E46" s="184">
        <f t="shared" si="69"/>
        <v>0</v>
      </c>
      <c r="F46" s="10" t="str">
        <f t="shared" si="70"/>
        <v>1.6</v>
      </c>
      <c r="G46" s="182">
        <f>AE40</f>
        <v>1</v>
      </c>
      <c r="H46" s="10"/>
      <c r="I46" s="184"/>
      <c r="J46" s="10"/>
      <c r="K46" s="10">
        <f t="shared" si="86"/>
        <v>1.6</v>
      </c>
      <c r="L46" s="10">
        <f t="shared" si="71"/>
        <v>1</v>
      </c>
      <c r="M46" s="10">
        <f t="shared" si="72"/>
        <v>1.6</v>
      </c>
      <c r="N46" s="10" t="s">
        <v>52</v>
      </c>
      <c r="O46" s="10">
        <f t="shared" ref="O46:O51" si="89">M46</f>
        <v>1.6</v>
      </c>
      <c r="P46" s="10"/>
      <c r="Q46" s="10"/>
      <c r="R46" s="10"/>
      <c r="S46" s="10"/>
      <c r="T46" s="10"/>
      <c r="U46" s="10">
        <f t="shared" ref="U46:Y46" si="88">U7</f>
        <v>0</v>
      </c>
      <c r="V46" s="183">
        <f t="shared" si="88"/>
        <v>1</v>
      </c>
      <c r="W46" s="183">
        <f t="shared" si="88"/>
        <v>0</v>
      </c>
      <c r="X46" s="183">
        <f t="shared" si="88"/>
        <v>0.6</v>
      </c>
      <c r="Y46" s="183">
        <f t="shared" si="88"/>
        <v>1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ht="16.5" customHeight="1">
      <c r="A47" s="4">
        <v>7.0</v>
      </c>
      <c r="B47" s="115" t="s">
        <v>83</v>
      </c>
      <c r="C47" s="182">
        <f>AG40</f>
        <v>1.5</v>
      </c>
      <c r="D47" s="10">
        <f t="shared" si="68"/>
        <v>0.1760912591</v>
      </c>
      <c r="E47" s="184">
        <f t="shared" si="69"/>
        <v>0</v>
      </c>
      <c r="F47" s="10" t="str">
        <f t="shared" si="70"/>
        <v>1.5</v>
      </c>
      <c r="G47" s="182">
        <f>AH40</f>
        <v>2</v>
      </c>
      <c r="H47" s="10">
        <f t="shared" ref="H47:H49" si="91">IF(G47&gt;1,LOG(G47),0)</f>
        <v>0.3010299957</v>
      </c>
      <c r="I47" s="184">
        <f t="shared" ref="I47:I49" si="92">IF(H47&lt;15,FLOOR(H47/3,1),FLOOR(H47,1))</f>
        <v>0</v>
      </c>
      <c r="J47" s="10" t="str">
        <f t="shared" ref="J47:J49" si="93">IF(H47&lt;15,ROUND(G47/10^(3*I47),2)&amp;VLOOKUP(I47,$C$79:$G$83,2,FALSE),ROUND(G47/10^I47,2)&amp;"e"&amp;I47)</f>
        <v>2</v>
      </c>
      <c r="K47" s="10">
        <f t="shared" si="86"/>
        <v>1.5</v>
      </c>
      <c r="L47" s="10">
        <f t="shared" si="71"/>
        <v>1</v>
      </c>
      <c r="M47" s="10">
        <f t="shared" si="72"/>
        <v>1.5</v>
      </c>
      <c r="N47" s="10" t="s">
        <v>52</v>
      </c>
      <c r="O47" s="10">
        <f t="shared" si="89"/>
        <v>1.5</v>
      </c>
      <c r="P47" s="10"/>
      <c r="Q47" s="10"/>
      <c r="R47" s="10"/>
      <c r="S47" s="10"/>
      <c r="T47" s="10"/>
      <c r="U47" s="10">
        <f t="shared" ref="U47:Y47" si="90">U8</f>
        <v>0</v>
      </c>
      <c r="V47" s="183">
        <f t="shared" si="90"/>
        <v>1</v>
      </c>
      <c r="W47" s="183">
        <f t="shared" si="90"/>
        <v>0</v>
      </c>
      <c r="X47" s="183">
        <f t="shared" si="90"/>
        <v>0</v>
      </c>
      <c r="Y47" s="183">
        <f t="shared" si="90"/>
        <v>0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ht="16.5" customHeight="1">
      <c r="A48" s="4">
        <v>8.0</v>
      </c>
      <c r="B48" s="115" t="s">
        <v>106</v>
      </c>
      <c r="C48" s="182">
        <f>AA41</f>
        <v>2.5</v>
      </c>
      <c r="D48" s="10">
        <f t="shared" si="68"/>
        <v>0.3979400087</v>
      </c>
      <c r="E48" s="184">
        <f t="shared" si="69"/>
        <v>0</v>
      </c>
      <c r="F48" s="10" t="str">
        <f t="shared" si="70"/>
        <v>2.5</v>
      </c>
      <c r="G48" s="182">
        <f>AB41</f>
        <v>1</v>
      </c>
      <c r="H48" s="10">
        <f t="shared" si="91"/>
        <v>0</v>
      </c>
      <c r="I48" s="184">
        <f t="shared" si="92"/>
        <v>0</v>
      </c>
      <c r="J48" s="10" t="str">
        <f t="shared" si="93"/>
        <v>1</v>
      </c>
      <c r="K48" s="10">
        <f t="shared" si="86"/>
        <v>2.5</v>
      </c>
      <c r="L48" s="10">
        <f t="shared" si="71"/>
        <v>1</v>
      </c>
      <c r="M48" s="10">
        <f t="shared" si="72"/>
        <v>2.5</v>
      </c>
      <c r="N48" s="10" t="s">
        <v>52</v>
      </c>
      <c r="O48" s="10">
        <f t="shared" si="89"/>
        <v>2.5</v>
      </c>
      <c r="P48" s="10"/>
      <c r="Q48" s="10"/>
      <c r="R48" s="10"/>
      <c r="S48" s="10"/>
      <c r="T48" s="10"/>
      <c r="U48" s="10">
        <f t="shared" ref="U48:Y48" si="94">U9</f>
        <v>0</v>
      </c>
      <c r="V48" s="183">
        <f t="shared" si="94"/>
        <v>1</v>
      </c>
      <c r="W48" s="183">
        <f t="shared" si="94"/>
        <v>0</v>
      </c>
      <c r="X48" s="183">
        <f t="shared" si="94"/>
        <v>0.6</v>
      </c>
      <c r="Y48" s="183">
        <f t="shared" si="94"/>
        <v>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ht="16.5" customHeight="1">
      <c r="A49" s="4">
        <v>9.0</v>
      </c>
      <c r="B49" s="115" t="s">
        <v>107</v>
      </c>
      <c r="C49" s="182">
        <f>AG41</f>
        <v>2</v>
      </c>
      <c r="D49" s="10">
        <f t="shared" si="68"/>
        <v>0.3010299957</v>
      </c>
      <c r="E49" s="184">
        <f t="shared" si="69"/>
        <v>0</v>
      </c>
      <c r="F49" s="10" t="str">
        <f t="shared" si="70"/>
        <v>2</v>
      </c>
      <c r="G49" s="182">
        <f>AH41</f>
        <v>3.5</v>
      </c>
      <c r="H49" s="10">
        <f t="shared" si="91"/>
        <v>0.5440680444</v>
      </c>
      <c r="I49" s="184">
        <f t="shared" si="92"/>
        <v>0</v>
      </c>
      <c r="J49" s="10" t="str">
        <f t="shared" si="93"/>
        <v>3.5</v>
      </c>
      <c r="K49" s="10">
        <f t="shared" si="86"/>
        <v>2</v>
      </c>
      <c r="L49" s="10">
        <f t="shared" si="71"/>
        <v>1</v>
      </c>
      <c r="M49" s="10">
        <f t="shared" si="72"/>
        <v>2</v>
      </c>
      <c r="N49" s="10" t="s">
        <v>52</v>
      </c>
      <c r="O49" s="10">
        <f t="shared" si="89"/>
        <v>2</v>
      </c>
      <c r="P49" s="10"/>
      <c r="Q49" s="10"/>
      <c r="R49" s="10"/>
      <c r="S49" s="10"/>
      <c r="T49" s="10"/>
      <c r="U49" s="10">
        <f t="shared" ref="U49:Y49" si="95">U10</f>
        <v>0</v>
      </c>
      <c r="V49" s="183">
        <f t="shared" si="95"/>
        <v>1</v>
      </c>
      <c r="W49" s="183">
        <f t="shared" si="95"/>
        <v>0</v>
      </c>
      <c r="X49" s="183">
        <f t="shared" si="95"/>
        <v>0</v>
      </c>
      <c r="Y49" s="183">
        <f t="shared" si="95"/>
        <v>0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ht="16.5" customHeight="1">
      <c r="A50" s="4">
        <v>10.0</v>
      </c>
      <c r="B50" s="154" t="s">
        <v>127</v>
      </c>
      <c r="C50" s="182">
        <f>AM38</f>
        <v>1.2</v>
      </c>
      <c r="D50" s="10">
        <f t="shared" si="68"/>
        <v>0.07918124605</v>
      </c>
      <c r="E50" s="184">
        <f t="shared" si="69"/>
        <v>0</v>
      </c>
      <c r="F50" s="10" t="str">
        <f t="shared" si="70"/>
        <v>1.2</v>
      </c>
      <c r="G50" s="182" t="str">
        <f>AN38</f>
        <v>-</v>
      </c>
      <c r="H50" s="10"/>
      <c r="I50" s="184"/>
      <c r="J50" s="10"/>
      <c r="K50" s="10">
        <f t="shared" si="86"/>
        <v>1.2</v>
      </c>
      <c r="L50" s="10">
        <f t="shared" si="71"/>
        <v>0.5</v>
      </c>
      <c r="M50" s="10">
        <f t="shared" si="72"/>
        <v>1.095445115</v>
      </c>
      <c r="N50" s="10" t="s">
        <v>52</v>
      </c>
      <c r="O50" s="10">
        <f t="shared" si="89"/>
        <v>1.095445115</v>
      </c>
      <c r="P50" s="10"/>
      <c r="Q50" s="10"/>
      <c r="R50" s="10"/>
      <c r="S50" s="10"/>
      <c r="T50" s="10"/>
      <c r="U50" s="10">
        <f t="shared" ref="U50:Y50" si="96">U11</f>
        <v>0</v>
      </c>
      <c r="V50" s="183">
        <f t="shared" si="96"/>
        <v>0.5</v>
      </c>
      <c r="W50" s="183">
        <f t="shared" si="96"/>
        <v>1</v>
      </c>
      <c r="X50" s="183">
        <f t="shared" si="96"/>
        <v>0.6</v>
      </c>
      <c r="Y50" s="183">
        <f t="shared" si="96"/>
        <v>0.5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ht="16.5" customHeight="1">
      <c r="A51" s="4">
        <v>11.0</v>
      </c>
      <c r="B51" s="154" t="s">
        <v>133</v>
      </c>
      <c r="C51" s="182">
        <f>AJ39</f>
        <v>1.8</v>
      </c>
      <c r="D51" s="10">
        <f t="shared" si="68"/>
        <v>0.2552725051</v>
      </c>
      <c r="E51" s="184">
        <f t="shared" si="69"/>
        <v>0</v>
      </c>
      <c r="F51" s="10" t="str">
        <f t="shared" si="70"/>
        <v>1.8</v>
      </c>
      <c r="G51" s="182">
        <f>AK39</f>
        <v>1</v>
      </c>
      <c r="H51" s="10">
        <f t="shared" ref="H51:H63" si="98">IF(G51&gt;1,LOG(G51),0)</f>
        <v>0</v>
      </c>
      <c r="I51" s="184">
        <f t="shared" ref="I51:I63" si="99">IF(H51&lt;15,FLOOR(H51/3,1),FLOOR(H51,1))</f>
        <v>0</v>
      </c>
      <c r="J51" s="10" t="str">
        <f t="shared" ref="J51:J63" si="100">IF(H51&lt;15,ROUND(G51/10^(3*I51),2)&amp;VLOOKUP(I51,$C$79:$G$83,2,FALSE),ROUND(G51/10^I51,2)&amp;"e"&amp;I51)</f>
        <v>1</v>
      </c>
      <c r="K51" s="10">
        <f t="shared" si="86"/>
        <v>1.8</v>
      </c>
      <c r="L51" s="10">
        <f t="shared" si="71"/>
        <v>0</v>
      </c>
      <c r="M51" s="10">
        <f t="shared" si="72"/>
        <v>1</v>
      </c>
      <c r="N51" s="10" t="s">
        <v>52</v>
      </c>
      <c r="O51" s="10">
        <f t="shared" si="89"/>
        <v>1</v>
      </c>
      <c r="P51" s="10"/>
      <c r="Q51" s="10"/>
      <c r="R51" s="10"/>
      <c r="S51" s="10"/>
      <c r="T51" s="10"/>
      <c r="U51" s="10">
        <f t="shared" ref="U51:Y51" si="97">U12</f>
        <v>0</v>
      </c>
      <c r="V51" s="183">
        <f t="shared" si="97"/>
        <v>0</v>
      </c>
      <c r="W51" s="183">
        <f t="shared" si="97"/>
        <v>0</v>
      </c>
      <c r="X51" s="183">
        <f t="shared" si="97"/>
        <v>0</v>
      </c>
      <c r="Y51" s="183">
        <f t="shared" si="97"/>
        <v>0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ht="16.5" customHeight="1">
      <c r="A52" s="4">
        <v>12.0</v>
      </c>
      <c r="B52" s="154" t="s">
        <v>134</v>
      </c>
      <c r="C52" s="182">
        <f>AM39</f>
        <v>1.5</v>
      </c>
      <c r="D52" s="10">
        <f t="shared" si="68"/>
        <v>0.1760912591</v>
      </c>
      <c r="E52" s="184">
        <f t="shared" si="69"/>
        <v>0</v>
      </c>
      <c r="F52" s="10" t="str">
        <f t="shared" si="70"/>
        <v>1.5</v>
      </c>
      <c r="G52" s="182">
        <f>AN39</f>
        <v>1</v>
      </c>
      <c r="H52" s="10">
        <f t="shared" si="98"/>
        <v>0</v>
      </c>
      <c r="I52" s="184">
        <f t="shared" si="99"/>
        <v>0</v>
      </c>
      <c r="J52" s="10" t="str">
        <f t="shared" si="100"/>
        <v>1</v>
      </c>
      <c r="K52" s="10">
        <f t="shared" si="86"/>
        <v>1.5</v>
      </c>
      <c r="L52" s="10">
        <f t="shared" si="71"/>
        <v>0.5</v>
      </c>
      <c r="M52" s="10">
        <f t="shared" si="72"/>
        <v>1.224744871</v>
      </c>
      <c r="N52" s="10">
        <f>if(AL4&gt;=1,G52/G13,1)^L52</f>
        <v>1</v>
      </c>
      <c r="O52" s="194">
        <f>M52*N52</f>
        <v>1.224744871</v>
      </c>
      <c r="P52" s="10"/>
      <c r="Q52" s="10"/>
      <c r="R52" s="10"/>
      <c r="S52" s="10"/>
      <c r="T52" s="10"/>
      <c r="U52" s="10">
        <f t="shared" ref="U52:Y52" si="101">U13</f>
        <v>0</v>
      </c>
      <c r="V52" s="183">
        <f t="shared" si="101"/>
        <v>0.5</v>
      </c>
      <c r="W52" s="183">
        <f t="shared" si="101"/>
        <v>1</v>
      </c>
      <c r="X52" s="183">
        <f t="shared" si="101"/>
        <v>0.6</v>
      </c>
      <c r="Y52" s="183">
        <f t="shared" si="101"/>
        <v>0.5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ht="16.5" customHeight="1">
      <c r="A53" s="4">
        <v>13.0</v>
      </c>
      <c r="B53" s="154" t="s">
        <v>135</v>
      </c>
      <c r="C53" s="182">
        <f>AP39</f>
        <v>1.5</v>
      </c>
      <c r="D53" s="10">
        <f t="shared" si="68"/>
        <v>0.1760912591</v>
      </c>
      <c r="E53" s="184">
        <f t="shared" si="69"/>
        <v>0</v>
      </c>
      <c r="F53" s="10" t="str">
        <f t="shared" si="70"/>
        <v>1.5</v>
      </c>
      <c r="G53" s="182">
        <f>AQ39</f>
        <v>1</v>
      </c>
      <c r="H53" s="10">
        <f t="shared" si="98"/>
        <v>0</v>
      </c>
      <c r="I53" s="184">
        <f t="shared" si="99"/>
        <v>0</v>
      </c>
      <c r="J53" s="10" t="str">
        <f t="shared" si="100"/>
        <v>1</v>
      </c>
      <c r="K53" s="10">
        <f t="shared" si="86"/>
        <v>1.5</v>
      </c>
      <c r="L53" s="10">
        <f t="shared" si="71"/>
        <v>0</v>
      </c>
      <c r="M53" s="10">
        <f t="shared" si="72"/>
        <v>1</v>
      </c>
      <c r="N53" s="10" t="s">
        <v>52</v>
      </c>
      <c r="O53" s="10">
        <f>M53</f>
        <v>1</v>
      </c>
      <c r="P53" s="10"/>
      <c r="Q53" s="10"/>
      <c r="R53" s="10"/>
      <c r="S53" s="10"/>
      <c r="T53" s="10"/>
      <c r="U53" s="10">
        <f t="shared" ref="U53:Y53" si="102">U14</f>
        <v>0</v>
      </c>
      <c r="V53" s="183">
        <f t="shared" si="102"/>
        <v>0</v>
      </c>
      <c r="W53" s="183">
        <f t="shared" si="102"/>
        <v>1</v>
      </c>
      <c r="X53" s="183">
        <f t="shared" si="102"/>
        <v>0</v>
      </c>
      <c r="Y53" s="183">
        <f t="shared" si="102"/>
        <v>0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ht="16.5" customHeight="1">
      <c r="A54" s="4">
        <v>14.0</v>
      </c>
      <c r="B54" s="154" t="s">
        <v>144</v>
      </c>
      <c r="C54" s="182">
        <f>AJ40</f>
        <v>0.25</v>
      </c>
      <c r="D54" s="10">
        <f t="shared" si="68"/>
        <v>0</v>
      </c>
      <c r="E54" s="184">
        <f t="shared" si="69"/>
        <v>0</v>
      </c>
      <c r="F54" s="10" t="str">
        <f t="shared" si="70"/>
        <v>0.25</v>
      </c>
      <c r="G54" s="182">
        <f>AK40</f>
        <v>2</v>
      </c>
      <c r="H54" s="10">
        <f t="shared" si="98"/>
        <v>0.3010299957</v>
      </c>
      <c r="I54" s="184">
        <f t="shared" si="99"/>
        <v>0</v>
      </c>
      <c r="J54" s="10" t="str">
        <f t="shared" si="100"/>
        <v>2</v>
      </c>
      <c r="K54" s="10">
        <f>1+C54/100</f>
        <v>1.0025</v>
      </c>
      <c r="L54" s="10">
        <f t="shared" si="71"/>
        <v>156.75</v>
      </c>
      <c r="M54" s="10">
        <f t="shared" si="72"/>
        <v>1.479029266</v>
      </c>
      <c r="N54" s="10">
        <f>AC21</f>
        <v>1</v>
      </c>
      <c r="O54" s="10">
        <f>M54*N54</f>
        <v>1.479029266</v>
      </c>
      <c r="P54" s="10"/>
      <c r="Q54" s="10"/>
      <c r="R54" s="10"/>
      <c r="S54" s="10"/>
      <c r="T54" s="10"/>
      <c r="U54" s="10">
        <f t="shared" ref="U54:Y54" si="103">U15</f>
        <v>0</v>
      </c>
      <c r="V54" s="183">
        <f t="shared" si="103"/>
        <v>156.75</v>
      </c>
      <c r="W54" s="183">
        <f t="shared" si="103"/>
        <v>152.75</v>
      </c>
      <c r="X54" s="183">
        <f t="shared" si="103"/>
        <v>154.35</v>
      </c>
      <c r="Y54" s="183">
        <f t="shared" si="103"/>
        <v>156.75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ht="16.5" customHeight="1">
      <c r="A55" s="4">
        <v>15.0</v>
      </c>
      <c r="B55" s="164" t="s">
        <v>145</v>
      </c>
      <c r="C55" s="182">
        <f>AM40</f>
        <v>0.75</v>
      </c>
      <c r="D55" s="10">
        <f t="shared" si="68"/>
        <v>0</v>
      </c>
      <c r="E55" s="184">
        <f t="shared" si="69"/>
        <v>0</v>
      </c>
      <c r="F55" s="10" t="str">
        <f t="shared" si="70"/>
        <v>0.75</v>
      </c>
      <c r="G55" s="182">
        <f>AN40</f>
        <v>1</v>
      </c>
      <c r="H55" s="10">
        <f t="shared" si="98"/>
        <v>0</v>
      </c>
      <c r="I55" s="184">
        <f t="shared" si="99"/>
        <v>0</v>
      </c>
      <c r="J55" s="10" t="str">
        <f t="shared" si="100"/>
        <v>1</v>
      </c>
      <c r="K55" s="2">
        <f>1+(C55*0.44*12*G13*30/100)</f>
        <v>1</v>
      </c>
      <c r="L55" s="10">
        <f t="shared" si="71"/>
        <v>0.5</v>
      </c>
      <c r="M55" s="10">
        <f t="shared" si="72"/>
        <v>1</v>
      </c>
      <c r="N55" s="16" t="s">
        <v>52</v>
      </c>
      <c r="O55" s="2">
        <f t="shared" ref="O55:O69" si="105">M55</f>
        <v>1</v>
      </c>
      <c r="P55" s="10"/>
      <c r="Q55" s="10"/>
      <c r="R55" s="10"/>
      <c r="S55" s="10"/>
      <c r="T55" s="10"/>
      <c r="U55" s="10">
        <f t="shared" ref="U55:U74" si="106">U17</f>
        <v>0</v>
      </c>
      <c r="V55" s="183">
        <f t="shared" ref="V55:Y55" si="104">V16</f>
        <v>0.5</v>
      </c>
      <c r="W55" s="183">
        <f t="shared" si="104"/>
        <v>1</v>
      </c>
      <c r="X55" s="183">
        <f t="shared" si="104"/>
        <v>0.6</v>
      </c>
      <c r="Y55" s="183">
        <f t="shared" si="104"/>
        <v>0.5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ht="16.5" customHeight="1">
      <c r="A56" s="4">
        <v>16.0</v>
      </c>
      <c r="B56" s="154" t="s">
        <v>146</v>
      </c>
      <c r="C56" s="182">
        <f>AP40</f>
        <v>1.8</v>
      </c>
      <c r="D56" s="10">
        <f t="shared" si="68"/>
        <v>0.2552725051</v>
      </c>
      <c r="E56" s="184">
        <f t="shared" si="69"/>
        <v>0</v>
      </c>
      <c r="F56" s="10" t="str">
        <f t="shared" si="70"/>
        <v>1.8</v>
      </c>
      <c r="G56" s="182">
        <f>AQ40</f>
        <v>0</v>
      </c>
      <c r="H56" s="10">
        <f t="shared" si="98"/>
        <v>0</v>
      </c>
      <c r="I56" s="184">
        <f t="shared" si="99"/>
        <v>0</v>
      </c>
      <c r="J56" s="10" t="str">
        <f t="shared" si="100"/>
        <v>0</v>
      </c>
      <c r="K56" s="10">
        <f t="shared" ref="K56:K59" si="108">C56</f>
        <v>1.8</v>
      </c>
      <c r="L56" s="10">
        <f t="shared" si="71"/>
        <v>0.5</v>
      </c>
      <c r="M56" s="10">
        <f t="shared" si="72"/>
        <v>1.341640786</v>
      </c>
      <c r="N56" s="10" t="s">
        <v>52</v>
      </c>
      <c r="O56" s="10">
        <f t="shared" si="105"/>
        <v>1.341640786</v>
      </c>
      <c r="P56" s="10"/>
      <c r="Q56" s="10"/>
      <c r="R56" s="10"/>
      <c r="S56" s="10"/>
      <c r="T56" s="10"/>
      <c r="U56" s="10">
        <f t="shared" si="106"/>
        <v>0</v>
      </c>
      <c r="V56" s="183">
        <f t="shared" ref="V56:Y56" si="107">V17</f>
        <v>0.5</v>
      </c>
      <c r="W56" s="183">
        <f t="shared" si="107"/>
        <v>1</v>
      </c>
      <c r="X56" s="183">
        <f t="shared" si="107"/>
        <v>0.6</v>
      </c>
      <c r="Y56" s="183">
        <f t="shared" si="107"/>
        <v>0.5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ht="16.5" customHeight="1">
      <c r="A57" s="4">
        <v>17.0</v>
      </c>
      <c r="B57" s="154" t="s">
        <v>151</v>
      </c>
      <c r="C57" s="182">
        <f>AJ41</f>
        <v>1.21</v>
      </c>
      <c r="D57" s="10">
        <f t="shared" si="68"/>
        <v>0.08278537032</v>
      </c>
      <c r="E57" s="184">
        <f t="shared" si="69"/>
        <v>0</v>
      </c>
      <c r="F57" s="10" t="str">
        <f t="shared" si="70"/>
        <v>1.21</v>
      </c>
      <c r="G57" s="182" t="str">
        <f>AK41</f>
        <v/>
      </c>
      <c r="H57" s="10">
        <f t="shared" si="98"/>
        <v>0</v>
      </c>
      <c r="I57" s="184">
        <f t="shared" si="99"/>
        <v>0</v>
      </c>
      <c r="J57" s="10" t="str">
        <f t="shared" si="100"/>
        <v>0</v>
      </c>
      <c r="K57" s="10">
        <f t="shared" si="108"/>
        <v>1.21</v>
      </c>
      <c r="L57" s="10">
        <f t="shared" si="71"/>
        <v>2.5</v>
      </c>
      <c r="M57" s="10">
        <f t="shared" si="72"/>
        <v>1.61051</v>
      </c>
      <c r="N57" s="10" t="s">
        <v>52</v>
      </c>
      <c r="O57" s="10">
        <f t="shared" si="105"/>
        <v>1.61051</v>
      </c>
      <c r="P57" s="10"/>
      <c r="Q57" s="10"/>
      <c r="R57" s="10"/>
      <c r="S57" s="10"/>
      <c r="T57" s="10"/>
      <c r="U57" s="10">
        <f t="shared" si="106"/>
        <v>0</v>
      </c>
      <c r="V57" s="183">
        <f t="shared" ref="V57:Y57" si="109">V18</f>
        <v>2.5</v>
      </c>
      <c r="W57" s="183">
        <f t="shared" si="109"/>
        <v>5</v>
      </c>
      <c r="X57" s="183">
        <f t="shared" si="109"/>
        <v>3</v>
      </c>
      <c r="Y57" s="183">
        <f t="shared" si="109"/>
        <v>2.5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ht="16.5" customHeight="1">
      <c r="A58" s="4">
        <v>18.0</v>
      </c>
      <c r="B58" s="154" t="s">
        <v>152</v>
      </c>
      <c r="C58" s="182">
        <f>AP41</f>
        <v>3.5</v>
      </c>
      <c r="D58" s="10">
        <f t="shared" si="68"/>
        <v>0.5440680444</v>
      </c>
      <c r="E58" s="184">
        <f t="shared" si="69"/>
        <v>0</v>
      </c>
      <c r="F58" s="10" t="str">
        <f t="shared" si="70"/>
        <v>3.5</v>
      </c>
      <c r="G58" s="182">
        <f>AQ41</f>
        <v>0.8</v>
      </c>
      <c r="H58" s="10">
        <f t="shared" si="98"/>
        <v>0</v>
      </c>
      <c r="I58" s="184">
        <f t="shared" si="99"/>
        <v>0</v>
      </c>
      <c r="J58" s="10" t="str">
        <f t="shared" si="100"/>
        <v>0.8</v>
      </c>
      <c r="K58" s="10">
        <f t="shared" si="108"/>
        <v>3.5</v>
      </c>
      <c r="L58" s="10">
        <f t="shared" si="71"/>
        <v>1</v>
      </c>
      <c r="M58" s="10">
        <f t="shared" si="72"/>
        <v>3.5</v>
      </c>
      <c r="N58" s="10" t="s">
        <v>52</v>
      </c>
      <c r="O58" s="10">
        <f t="shared" si="105"/>
        <v>3.5</v>
      </c>
      <c r="P58" s="10"/>
      <c r="Q58" s="10"/>
      <c r="R58" s="10"/>
      <c r="S58" s="10"/>
      <c r="T58" s="10"/>
      <c r="U58" s="10">
        <f t="shared" si="106"/>
        <v>0</v>
      </c>
      <c r="V58" s="183">
        <f t="shared" ref="V58:Y58" si="110">V19</f>
        <v>1</v>
      </c>
      <c r="W58" s="183">
        <f t="shared" si="110"/>
        <v>1</v>
      </c>
      <c r="X58" s="183">
        <f t="shared" si="110"/>
        <v>1</v>
      </c>
      <c r="Y58" s="183">
        <f t="shared" si="110"/>
        <v>1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ht="16.5" customHeight="1">
      <c r="A59" s="4">
        <v>19.0</v>
      </c>
      <c r="B59" s="61" t="s">
        <v>25</v>
      </c>
      <c r="C59" s="182">
        <f>AD42</f>
        <v>5</v>
      </c>
      <c r="D59" s="10">
        <f t="shared" si="68"/>
        <v>0.6989700043</v>
      </c>
      <c r="E59" s="184">
        <f t="shared" si="69"/>
        <v>0</v>
      </c>
      <c r="F59" s="10" t="str">
        <f t="shared" si="70"/>
        <v>5</v>
      </c>
      <c r="G59" s="182">
        <f>AE42</f>
        <v>0.1</v>
      </c>
      <c r="H59" s="10">
        <f t="shared" si="98"/>
        <v>0</v>
      </c>
      <c r="I59" s="184">
        <f t="shared" si="99"/>
        <v>0</v>
      </c>
      <c r="J59" s="10" t="str">
        <f t="shared" si="100"/>
        <v>0.1</v>
      </c>
      <c r="K59" s="10">
        <f t="shared" si="108"/>
        <v>5</v>
      </c>
      <c r="L59" s="10">
        <f t="shared" si="71"/>
        <v>0</v>
      </c>
      <c r="M59" s="10">
        <f t="shared" si="72"/>
        <v>1</v>
      </c>
      <c r="N59" s="10" t="s">
        <v>52</v>
      </c>
      <c r="O59" s="10">
        <f t="shared" si="105"/>
        <v>1</v>
      </c>
      <c r="P59" s="10"/>
      <c r="Q59" s="10"/>
      <c r="R59" s="10"/>
      <c r="S59" s="10"/>
      <c r="T59" s="10"/>
      <c r="U59" s="10">
        <f t="shared" si="106"/>
        <v>0</v>
      </c>
      <c r="V59" s="183">
        <f t="shared" ref="V59:Y59" si="111">V20</f>
        <v>0</v>
      </c>
      <c r="W59" s="183">
        <f t="shared" si="111"/>
        <v>0</v>
      </c>
      <c r="X59" s="183">
        <f t="shared" si="111"/>
        <v>0</v>
      </c>
      <c r="Y59" s="183">
        <f t="shared" si="111"/>
        <v>0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ht="16.5" customHeight="1">
      <c r="A60" s="4">
        <v>20.0</v>
      </c>
      <c r="B60" s="61" t="s">
        <v>62</v>
      </c>
      <c r="C60" s="182">
        <f>AA43</f>
        <v>1.8</v>
      </c>
      <c r="D60" s="10">
        <f t="shared" si="68"/>
        <v>0.2552725051</v>
      </c>
      <c r="E60" s="184">
        <f t="shared" si="69"/>
        <v>0</v>
      </c>
      <c r="F60" s="10" t="str">
        <f t="shared" si="70"/>
        <v>1.8</v>
      </c>
      <c r="G60" s="182">
        <f>AB43</f>
        <v>1.2</v>
      </c>
      <c r="H60" s="10">
        <f t="shared" si="98"/>
        <v>0.07918124605</v>
      </c>
      <c r="I60" s="184">
        <f t="shared" si="99"/>
        <v>0</v>
      </c>
      <c r="J60" s="10" t="str">
        <f t="shared" si="100"/>
        <v>1.2</v>
      </c>
      <c r="K60" s="197">
        <f>IF('skill data'!$AB$24=2,C60^AE28*G60,C60)</f>
        <v>1.8</v>
      </c>
      <c r="L60" s="10">
        <f t="shared" si="71"/>
        <v>0.75</v>
      </c>
      <c r="M60" s="10">
        <f t="shared" si="72"/>
        <v>1.554012038</v>
      </c>
      <c r="N60" s="10" t="s">
        <v>52</v>
      </c>
      <c r="O60" s="198">
        <f t="shared" si="105"/>
        <v>1.554012038</v>
      </c>
      <c r="P60" s="10"/>
      <c r="Q60" s="10"/>
      <c r="R60" s="10"/>
      <c r="S60" s="10"/>
      <c r="T60" s="10"/>
      <c r="U60" s="10">
        <f t="shared" si="106"/>
        <v>0</v>
      </c>
      <c r="V60" s="183">
        <f t="shared" ref="V60:Y60" si="112">V21</f>
        <v>0.75</v>
      </c>
      <c r="W60" s="183">
        <f t="shared" si="112"/>
        <v>0.75</v>
      </c>
      <c r="X60" s="183">
        <f t="shared" si="112"/>
        <v>0.75</v>
      </c>
      <c r="Y60" s="183">
        <f t="shared" si="112"/>
        <v>0.75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ht="16.5" customHeight="1">
      <c r="A61" s="4">
        <v>21.0</v>
      </c>
      <c r="B61" s="61" t="s">
        <v>63</v>
      </c>
      <c r="C61" s="182">
        <f>AD43</f>
        <v>2</v>
      </c>
      <c r="D61" s="10">
        <f t="shared" si="68"/>
        <v>0.3010299957</v>
      </c>
      <c r="E61" s="184">
        <f t="shared" si="69"/>
        <v>0</v>
      </c>
      <c r="F61" s="10" t="str">
        <f t="shared" si="70"/>
        <v>2</v>
      </c>
      <c r="G61" s="182">
        <f>AE43</f>
        <v>0</v>
      </c>
      <c r="H61" s="10">
        <f t="shared" si="98"/>
        <v>0</v>
      </c>
      <c r="I61" s="184">
        <f t="shared" si="99"/>
        <v>0</v>
      </c>
      <c r="J61" s="10" t="str">
        <f t="shared" si="100"/>
        <v>0</v>
      </c>
      <c r="K61" s="10">
        <f>C61</f>
        <v>2</v>
      </c>
      <c r="L61" s="10">
        <f t="shared" si="71"/>
        <v>0</v>
      </c>
      <c r="M61" s="10">
        <f t="shared" si="72"/>
        <v>1</v>
      </c>
      <c r="N61" s="10" t="s">
        <v>52</v>
      </c>
      <c r="O61" s="10">
        <f t="shared" si="105"/>
        <v>1</v>
      </c>
      <c r="P61" s="10"/>
      <c r="Q61" s="10"/>
      <c r="R61" s="10"/>
      <c r="S61" s="10"/>
      <c r="T61" s="10"/>
      <c r="U61" s="10">
        <f t="shared" si="106"/>
        <v>0</v>
      </c>
      <c r="V61" s="183">
        <f t="shared" ref="V61:Y61" si="113">V22</f>
        <v>0</v>
      </c>
      <c r="W61" s="183">
        <f t="shared" si="113"/>
        <v>0</v>
      </c>
      <c r="X61" s="183">
        <f t="shared" si="113"/>
        <v>0</v>
      </c>
      <c r="Y61" s="183">
        <f t="shared" si="113"/>
        <v>1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ht="16.5" customHeight="1">
      <c r="A62" s="4">
        <v>22.0</v>
      </c>
      <c r="B62" s="61" t="s">
        <v>66</v>
      </c>
      <c r="C62" s="182">
        <f>AG43</f>
        <v>1.5</v>
      </c>
      <c r="D62" s="10">
        <f t="shared" si="68"/>
        <v>0.1760912591</v>
      </c>
      <c r="E62" s="184">
        <f t="shared" si="69"/>
        <v>0</v>
      </c>
      <c r="F62" s="10" t="str">
        <f t="shared" si="70"/>
        <v>1.5</v>
      </c>
      <c r="G62" s="182">
        <f>AH43</f>
        <v>0.1</v>
      </c>
      <c r="H62" s="10">
        <f t="shared" si="98"/>
        <v>0</v>
      </c>
      <c r="I62" s="184">
        <f t="shared" si="99"/>
        <v>0</v>
      </c>
      <c r="J62" s="10" t="str">
        <f t="shared" si="100"/>
        <v>0.1</v>
      </c>
      <c r="K62" s="10">
        <f>C62*(4+G62)/4</f>
        <v>1.5375</v>
      </c>
      <c r="L62" s="10">
        <f t="shared" si="71"/>
        <v>0</v>
      </c>
      <c r="M62" s="10">
        <f t="shared" si="72"/>
        <v>1</v>
      </c>
      <c r="N62" s="10" t="s">
        <v>52</v>
      </c>
      <c r="O62" s="10">
        <f t="shared" si="105"/>
        <v>1</v>
      </c>
      <c r="P62" s="10"/>
      <c r="Q62" s="10"/>
      <c r="R62" s="10"/>
      <c r="S62" s="10"/>
      <c r="T62" s="10"/>
      <c r="U62" s="10">
        <f t="shared" si="106"/>
        <v>0</v>
      </c>
      <c r="V62" s="183">
        <f t="shared" ref="V62:Y62" si="114">V23</f>
        <v>0</v>
      </c>
      <c r="W62" s="183">
        <f t="shared" si="114"/>
        <v>0</v>
      </c>
      <c r="X62" s="183">
        <f t="shared" si="114"/>
        <v>1</v>
      </c>
      <c r="Y62" s="183">
        <f t="shared" si="114"/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ht="16.5" customHeight="1">
      <c r="A63" s="4">
        <v>23.0</v>
      </c>
      <c r="B63" s="61" t="s">
        <v>84</v>
      </c>
      <c r="C63" s="182">
        <f>AA44</f>
        <v>4</v>
      </c>
      <c r="D63" s="10">
        <f t="shared" si="68"/>
        <v>0.6020599913</v>
      </c>
      <c r="E63" s="184">
        <f t="shared" si="69"/>
        <v>0</v>
      </c>
      <c r="F63" s="10" t="str">
        <f t="shared" si="70"/>
        <v>4</v>
      </c>
      <c r="G63" s="182">
        <f>AB44</f>
        <v>4</v>
      </c>
      <c r="H63" s="10">
        <f t="shared" si="98"/>
        <v>0.6020599913</v>
      </c>
      <c r="I63" s="184">
        <f t="shared" si="99"/>
        <v>0</v>
      </c>
      <c r="J63" s="10" t="str">
        <f t="shared" si="100"/>
        <v>4</v>
      </c>
      <c r="K63" s="10">
        <f t="shared" ref="K63:K68" si="116">C63</f>
        <v>4</v>
      </c>
      <c r="L63" s="10">
        <f t="shared" si="71"/>
        <v>0</v>
      </c>
      <c r="M63" s="10">
        <f t="shared" si="72"/>
        <v>1</v>
      </c>
      <c r="N63" s="10" t="s">
        <v>52</v>
      </c>
      <c r="O63" s="10">
        <f t="shared" si="105"/>
        <v>1</v>
      </c>
      <c r="P63" s="10"/>
      <c r="Q63" s="10"/>
      <c r="R63" s="10"/>
      <c r="S63" s="10"/>
      <c r="T63" s="10"/>
      <c r="U63" s="10">
        <f t="shared" si="106"/>
        <v>0</v>
      </c>
      <c r="V63" s="183">
        <f t="shared" ref="V63:Y63" si="115">V24</f>
        <v>0</v>
      </c>
      <c r="W63" s="183">
        <f t="shared" si="115"/>
        <v>0</v>
      </c>
      <c r="X63" s="183">
        <f t="shared" si="115"/>
        <v>0</v>
      </c>
      <c r="Y63" s="183">
        <f t="shared" si="115"/>
        <v>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ht="16.5" customHeight="1">
      <c r="A64" s="4">
        <v>24.0</v>
      </c>
      <c r="B64" s="61" t="s">
        <v>39</v>
      </c>
      <c r="C64" s="182">
        <f>AD44</f>
        <v>0.05</v>
      </c>
      <c r="D64" s="10">
        <f t="shared" si="68"/>
        <v>0</v>
      </c>
      <c r="E64" s="184">
        <f t="shared" si="69"/>
        <v>0</v>
      </c>
      <c r="F64" s="10" t="str">
        <f t="shared" si="70"/>
        <v>0.05</v>
      </c>
      <c r="G64" s="182" t="str">
        <f>AE44</f>
        <v>-</v>
      </c>
      <c r="H64" s="10"/>
      <c r="I64" s="184"/>
      <c r="J64" s="10"/>
      <c r="K64" s="10">
        <f t="shared" si="116"/>
        <v>0.05</v>
      </c>
      <c r="L64" s="10">
        <f t="shared" si="71"/>
        <v>0</v>
      </c>
      <c r="M64" s="10">
        <f t="shared" si="72"/>
        <v>1</v>
      </c>
      <c r="N64" s="10" t="s">
        <v>52</v>
      </c>
      <c r="O64" s="10">
        <f t="shared" si="105"/>
        <v>1</v>
      </c>
      <c r="P64" s="10"/>
      <c r="Q64" s="10"/>
      <c r="R64" s="10"/>
      <c r="S64" s="10"/>
      <c r="T64" s="10"/>
      <c r="U64" s="10">
        <f t="shared" si="106"/>
        <v>0</v>
      </c>
      <c r="V64" s="183">
        <f t="shared" ref="V64:Y64" si="117">V25</f>
        <v>0</v>
      </c>
      <c r="W64" s="183">
        <f t="shared" si="117"/>
        <v>0</v>
      </c>
      <c r="X64" s="183">
        <f t="shared" si="117"/>
        <v>0</v>
      </c>
      <c r="Y64" s="183">
        <f t="shared" si="117"/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ht="16.5" customHeight="1">
      <c r="A65" s="4">
        <v>25.0</v>
      </c>
      <c r="B65" s="61" t="s">
        <v>85</v>
      </c>
      <c r="C65" s="182">
        <f>AG44</f>
        <v>2</v>
      </c>
      <c r="D65" s="10">
        <f t="shared" si="68"/>
        <v>0.3010299957</v>
      </c>
      <c r="E65" s="184">
        <f t="shared" si="69"/>
        <v>0</v>
      </c>
      <c r="F65" s="10" t="str">
        <f t="shared" si="70"/>
        <v>2</v>
      </c>
      <c r="G65" s="182">
        <f>AH44</f>
        <v>0</v>
      </c>
      <c r="H65" s="10">
        <f t="shared" ref="H65:H70" si="119">IF(G65&gt;1,LOG(G65),0)</f>
        <v>0</v>
      </c>
      <c r="I65" s="184">
        <f t="shared" ref="I65:I70" si="120">IF(H65&lt;15,FLOOR(H65/3,1),FLOOR(H65,1))</f>
        <v>0</v>
      </c>
      <c r="J65" s="10" t="str">
        <f t="shared" ref="J65:J70" si="121">IF(H65&lt;15,ROUND(G65/10^(3*I65),2)&amp;VLOOKUP(I65,$C$79:$G$83,2,FALSE),ROUND(G65/10^I65,2)&amp;"e"&amp;I65)</f>
        <v>0</v>
      </c>
      <c r="K65" s="10">
        <f t="shared" si="116"/>
        <v>2</v>
      </c>
      <c r="L65" s="10">
        <f t="shared" si="71"/>
        <v>0</v>
      </c>
      <c r="M65" s="10">
        <f t="shared" si="72"/>
        <v>1</v>
      </c>
      <c r="N65" s="10" t="s">
        <v>52</v>
      </c>
      <c r="O65" s="10">
        <f t="shared" si="105"/>
        <v>1</v>
      </c>
      <c r="P65" s="10"/>
      <c r="Q65" s="10"/>
      <c r="R65" s="10"/>
      <c r="S65" s="10"/>
      <c r="T65" s="10"/>
      <c r="U65" s="10">
        <f t="shared" si="106"/>
        <v>0</v>
      </c>
      <c r="V65" s="183">
        <f t="shared" ref="V65:Y65" si="118">V26</f>
        <v>0</v>
      </c>
      <c r="W65" s="183">
        <f t="shared" si="118"/>
        <v>0</v>
      </c>
      <c r="X65" s="183">
        <f t="shared" si="118"/>
        <v>0</v>
      </c>
      <c r="Y65" s="183">
        <f t="shared" si="118"/>
        <v>0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ht="16.5" customHeight="1">
      <c r="A66" s="4">
        <v>26.0</v>
      </c>
      <c r="B66" s="61" t="s">
        <v>108</v>
      </c>
      <c r="C66" s="182">
        <f>AA45</f>
        <v>2</v>
      </c>
      <c r="D66" s="10">
        <f t="shared" si="68"/>
        <v>0.3010299957</v>
      </c>
      <c r="E66" s="184">
        <f t="shared" si="69"/>
        <v>0</v>
      </c>
      <c r="F66" s="10" t="str">
        <f t="shared" si="70"/>
        <v>2</v>
      </c>
      <c r="G66" s="182">
        <f>AB45</f>
        <v>0</v>
      </c>
      <c r="H66" s="10">
        <f t="shared" si="119"/>
        <v>0</v>
      </c>
      <c r="I66" s="184">
        <f t="shared" si="120"/>
        <v>0</v>
      </c>
      <c r="J66" s="10" t="str">
        <f t="shared" si="121"/>
        <v>0</v>
      </c>
      <c r="K66" s="10">
        <f t="shared" si="116"/>
        <v>2</v>
      </c>
      <c r="L66" s="10">
        <f t="shared" si="71"/>
        <v>0</v>
      </c>
      <c r="M66" s="10">
        <f t="shared" si="72"/>
        <v>1</v>
      </c>
      <c r="N66" s="10" t="s">
        <v>52</v>
      </c>
      <c r="O66" s="10">
        <f t="shared" si="105"/>
        <v>1</v>
      </c>
      <c r="P66" s="10"/>
      <c r="Q66" s="10"/>
      <c r="R66" s="10"/>
      <c r="S66" s="10"/>
      <c r="T66" s="10"/>
      <c r="U66" s="10">
        <f t="shared" si="106"/>
        <v>0</v>
      </c>
      <c r="V66" s="183">
        <f t="shared" ref="V66:Y66" si="122">V27</f>
        <v>0</v>
      </c>
      <c r="W66" s="183">
        <f t="shared" si="122"/>
        <v>0</v>
      </c>
      <c r="X66" s="183">
        <f t="shared" si="122"/>
        <v>0</v>
      </c>
      <c r="Y66" s="183">
        <f t="shared" si="122"/>
        <v>0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ht="16.5" customHeight="1">
      <c r="A67" s="4">
        <v>27.0</v>
      </c>
      <c r="B67" s="61" t="s">
        <v>87</v>
      </c>
      <c r="C67" s="182">
        <f>AD45</f>
        <v>10</v>
      </c>
      <c r="D67" s="10">
        <f t="shared" si="68"/>
        <v>1</v>
      </c>
      <c r="E67" s="184">
        <f t="shared" si="69"/>
        <v>0</v>
      </c>
      <c r="F67" s="10" t="str">
        <f t="shared" si="70"/>
        <v>10</v>
      </c>
      <c r="G67" s="182">
        <f>AE45</f>
        <v>93.8</v>
      </c>
      <c r="H67" s="10">
        <f t="shared" si="119"/>
        <v>1.972202838</v>
      </c>
      <c r="I67" s="184">
        <f t="shared" si="120"/>
        <v>0</v>
      </c>
      <c r="J67" s="10" t="str">
        <f t="shared" si="121"/>
        <v>93.8</v>
      </c>
      <c r="K67" s="10">
        <f t="shared" si="116"/>
        <v>10</v>
      </c>
      <c r="L67" s="10">
        <f t="shared" si="71"/>
        <v>0</v>
      </c>
      <c r="M67" s="10">
        <f t="shared" si="72"/>
        <v>1</v>
      </c>
      <c r="N67" s="10" t="s">
        <v>52</v>
      </c>
      <c r="O67" s="10">
        <f t="shared" si="105"/>
        <v>1</v>
      </c>
      <c r="P67" s="10"/>
      <c r="Q67" s="10"/>
      <c r="R67" s="10"/>
      <c r="S67" s="10"/>
      <c r="T67" s="10"/>
      <c r="U67" s="10">
        <f t="shared" si="106"/>
        <v>0</v>
      </c>
      <c r="V67" s="183">
        <f t="shared" ref="V67:Y67" si="123">V28</f>
        <v>0</v>
      </c>
      <c r="W67" s="183">
        <f t="shared" si="123"/>
        <v>0</v>
      </c>
      <c r="X67" s="183">
        <f t="shared" si="123"/>
        <v>0</v>
      </c>
      <c r="Y67" s="183">
        <f t="shared" si="123"/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ht="16.5" customHeight="1">
      <c r="A68" s="4">
        <v>28.0</v>
      </c>
      <c r="B68" s="61" t="s">
        <v>109</v>
      </c>
      <c r="C68" s="182">
        <f>AG45</f>
        <v>1.31</v>
      </c>
      <c r="D68" s="10">
        <f t="shared" si="68"/>
        <v>0.1172712957</v>
      </c>
      <c r="E68" s="184">
        <f t="shared" si="69"/>
        <v>0</v>
      </c>
      <c r="F68" s="10" t="str">
        <f t="shared" si="70"/>
        <v>1.31</v>
      </c>
      <c r="G68" s="182">
        <f>AH45</f>
        <v>1.042</v>
      </c>
      <c r="H68" s="10">
        <f t="shared" si="119"/>
        <v>0.01786771896</v>
      </c>
      <c r="I68" s="184">
        <f t="shared" si="120"/>
        <v>0</v>
      </c>
      <c r="J68" s="10" t="str">
        <f t="shared" si="121"/>
        <v>1.04</v>
      </c>
      <c r="K68" s="10">
        <f t="shared" si="116"/>
        <v>1.31</v>
      </c>
      <c r="L68" s="10">
        <f t="shared" si="71"/>
        <v>1.75</v>
      </c>
      <c r="M68" s="10">
        <f t="shared" si="72"/>
        <v>1.604075359</v>
      </c>
      <c r="N68" s="10" t="s">
        <v>52</v>
      </c>
      <c r="O68" s="10">
        <f t="shared" si="105"/>
        <v>1.604075359</v>
      </c>
      <c r="P68" s="10"/>
      <c r="Q68" s="10"/>
      <c r="R68" s="10"/>
      <c r="S68" s="10"/>
      <c r="T68" s="10"/>
      <c r="U68" s="10">
        <f t="shared" si="106"/>
        <v>0</v>
      </c>
      <c r="V68" s="183">
        <f t="shared" ref="V68:Y68" si="124">V29</f>
        <v>1.75</v>
      </c>
      <c r="W68" s="183">
        <f t="shared" si="124"/>
        <v>1.75</v>
      </c>
      <c r="X68" s="183">
        <f t="shared" si="124"/>
        <v>2.95</v>
      </c>
      <c r="Y68" s="183">
        <f t="shared" si="124"/>
        <v>3.75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ht="16.5" customHeight="1">
      <c r="A69" s="4">
        <v>29.0</v>
      </c>
      <c r="B69" s="77" t="s">
        <v>129</v>
      </c>
      <c r="C69" s="182">
        <f>AM42</f>
        <v>1.6</v>
      </c>
      <c r="D69" s="10">
        <f t="shared" si="68"/>
        <v>0.2041199827</v>
      </c>
      <c r="E69" s="184">
        <f t="shared" si="69"/>
        <v>0</v>
      </c>
      <c r="F69" s="10" t="str">
        <f t="shared" si="70"/>
        <v>1.6</v>
      </c>
      <c r="G69" s="182">
        <f>AN42</f>
        <v>1.2</v>
      </c>
      <c r="H69" s="10">
        <f t="shared" si="119"/>
        <v>0.07918124605</v>
      </c>
      <c r="I69" s="184">
        <f t="shared" si="120"/>
        <v>0</v>
      </c>
      <c r="J69" s="10" t="str">
        <f t="shared" si="121"/>
        <v>1.2</v>
      </c>
      <c r="K69" s="10">
        <f>IF('skill data'!$AB$24=5,C69*G69,C69)</f>
        <v>1.6</v>
      </c>
      <c r="L69" s="10">
        <f t="shared" si="71"/>
        <v>0.75</v>
      </c>
      <c r="M69" s="10">
        <f t="shared" si="72"/>
        <v>1.422623528</v>
      </c>
      <c r="N69" s="10" t="s">
        <v>52</v>
      </c>
      <c r="O69" s="10">
        <f t="shared" si="105"/>
        <v>1.422623528</v>
      </c>
      <c r="P69" s="10"/>
      <c r="Q69" s="10"/>
      <c r="R69" s="10"/>
      <c r="S69" s="10"/>
      <c r="T69" s="10"/>
      <c r="U69" s="10">
        <f t="shared" si="106"/>
        <v>0</v>
      </c>
      <c r="V69" s="183">
        <f t="shared" ref="V69:Y69" si="125">V30</f>
        <v>0.75</v>
      </c>
      <c r="W69" s="183">
        <f t="shared" si="125"/>
        <v>0.75</v>
      </c>
      <c r="X69" s="183">
        <f t="shared" si="125"/>
        <v>0.75</v>
      </c>
      <c r="Y69" s="183">
        <f t="shared" si="125"/>
        <v>0.75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ht="16.5" customHeight="1">
      <c r="A70" s="4">
        <v>30.0</v>
      </c>
      <c r="B70" s="77" t="s">
        <v>136</v>
      </c>
      <c r="C70" s="182">
        <f>AJ43</f>
        <v>1.6</v>
      </c>
      <c r="D70" s="10">
        <f t="shared" si="68"/>
        <v>0.2041199827</v>
      </c>
      <c r="E70" s="184">
        <f t="shared" si="69"/>
        <v>0</v>
      </c>
      <c r="F70" s="10" t="str">
        <f t="shared" si="70"/>
        <v>1.6</v>
      </c>
      <c r="G70" s="182">
        <f>AK43</f>
        <v>2</v>
      </c>
      <c r="H70" s="10">
        <f t="shared" si="119"/>
        <v>0.3010299957</v>
      </c>
      <c r="I70" s="184">
        <f t="shared" si="120"/>
        <v>0</v>
      </c>
      <c r="J70" s="10" t="str">
        <f t="shared" si="121"/>
        <v>2</v>
      </c>
      <c r="K70" s="10">
        <f t="shared" ref="K70:K72" si="127">C70</f>
        <v>1.6</v>
      </c>
      <c r="L70" s="183">
        <f t="shared" si="71"/>
        <v>0</v>
      </c>
      <c r="M70" s="10">
        <f t="shared" si="72"/>
        <v>1</v>
      </c>
      <c r="N70" s="10">
        <f>1</f>
        <v>1</v>
      </c>
      <c r="O70" s="10">
        <f>M70*N70</f>
        <v>1</v>
      </c>
      <c r="P70" s="10"/>
      <c r="Q70" s="10"/>
      <c r="R70" s="10"/>
      <c r="S70" s="10"/>
      <c r="T70" s="10"/>
      <c r="U70" s="10">
        <f t="shared" si="106"/>
        <v>0</v>
      </c>
      <c r="V70" s="183">
        <f t="shared" ref="V70:Y70" si="126">V31</f>
        <v>0</v>
      </c>
      <c r="W70" s="183">
        <f t="shared" si="126"/>
        <v>0</v>
      </c>
      <c r="X70" s="183">
        <f t="shared" si="126"/>
        <v>0</v>
      </c>
      <c r="Y70" s="183">
        <f t="shared" si="126"/>
        <v>0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ht="16.5" customHeight="1">
      <c r="A71" s="4">
        <v>31.0</v>
      </c>
      <c r="B71" s="77" t="s">
        <v>137</v>
      </c>
      <c r="C71" s="182">
        <f>AM43</f>
        <v>1</v>
      </c>
      <c r="D71" s="10">
        <f t="shared" si="68"/>
        <v>0</v>
      </c>
      <c r="E71" s="184">
        <f t="shared" si="69"/>
        <v>0</v>
      </c>
      <c r="F71" s="10" t="str">
        <f t="shared" si="70"/>
        <v>1</v>
      </c>
      <c r="G71" s="182">
        <f>AN43</f>
        <v>0</v>
      </c>
      <c r="H71" s="10"/>
      <c r="I71" s="184"/>
      <c r="J71" s="10"/>
      <c r="K71" s="10">
        <f t="shared" si="127"/>
        <v>1</v>
      </c>
      <c r="L71" s="10">
        <f t="shared" si="71"/>
        <v>0</v>
      </c>
      <c r="M71" s="10">
        <f t="shared" si="72"/>
        <v>1</v>
      </c>
      <c r="N71" s="10" t="s">
        <v>52</v>
      </c>
      <c r="O71" s="10">
        <f t="shared" ref="O71:O72" si="129">M71</f>
        <v>1</v>
      </c>
      <c r="P71" s="10"/>
      <c r="Q71" s="10"/>
      <c r="R71" s="10"/>
      <c r="S71" s="10"/>
      <c r="T71" s="10"/>
      <c r="U71" s="10">
        <f t="shared" si="106"/>
        <v>0</v>
      </c>
      <c r="V71" s="183">
        <f t="shared" ref="V71:Y71" si="128">V32</f>
        <v>0</v>
      </c>
      <c r="W71" s="183">
        <f t="shared" si="128"/>
        <v>0</v>
      </c>
      <c r="X71" s="183">
        <f t="shared" si="128"/>
        <v>0</v>
      </c>
      <c r="Y71" s="183">
        <f t="shared" si="128"/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ht="16.5" customHeight="1">
      <c r="A72" s="4">
        <v>32.0</v>
      </c>
      <c r="B72" s="77" t="s">
        <v>138</v>
      </c>
      <c r="C72" s="182">
        <f>AP43</f>
        <v>1</v>
      </c>
      <c r="D72" s="10">
        <f t="shared" si="68"/>
        <v>0</v>
      </c>
      <c r="E72" s="184">
        <f t="shared" si="69"/>
        <v>0</v>
      </c>
      <c r="F72" s="10" t="str">
        <f t="shared" si="70"/>
        <v>1</v>
      </c>
      <c r="G72" s="182">
        <f>AQ43</f>
        <v>1</v>
      </c>
      <c r="H72" s="10"/>
      <c r="I72" s="184"/>
      <c r="J72" s="10"/>
      <c r="K72" s="10">
        <f t="shared" si="127"/>
        <v>1</v>
      </c>
      <c r="L72" s="10">
        <f t="shared" si="71"/>
        <v>0</v>
      </c>
      <c r="M72" s="10">
        <f t="shared" si="72"/>
        <v>1</v>
      </c>
      <c r="N72" s="10" t="s">
        <v>52</v>
      </c>
      <c r="O72" s="10">
        <f t="shared" si="129"/>
        <v>1</v>
      </c>
      <c r="P72" s="10"/>
      <c r="Q72" s="10"/>
      <c r="R72" s="10"/>
      <c r="S72" s="10"/>
      <c r="T72" s="10"/>
      <c r="U72" s="10">
        <f t="shared" si="106"/>
        <v>0</v>
      </c>
      <c r="V72" s="183">
        <f t="shared" ref="V72:Y72" si="130">V33</f>
        <v>0</v>
      </c>
      <c r="W72" s="183">
        <f t="shared" si="130"/>
        <v>0</v>
      </c>
      <c r="X72" s="183">
        <f t="shared" si="130"/>
        <v>0</v>
      </c>
      <c r="Y72" s="183">
        <f t="shared" si="130"/>
        <v>0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ht="16.5" customHeight="1">
      <c r="A73" s="4">
        <v>33.0</v>
      </c>
      <c r="B73" s="77" t="s">
        <v>148</v>
      </c>
      <c r="C73" s="182">
        <f>AJ44</f>
        <v>1</v>
      </c>
      <c r="D73" s="10">
        <f t="shared" si="68"/>
        <v>0</v>
      </c>
      <c r="E73" s="184">
        <f t="shared" si="69"/>
        <v>0</v>
      </c>
      <c r="F73" s="10" t="str">
        <f t="shared" si="70"/>
        <v>1</v>
      </c>
      <c r="G73" s="182">
        <f>AK44</f>
        <v>1</v>
      </c>
      <c r="H73" s="10">
        <f t="shared" ref="H73:H75" si="132">IF(G73&gt;1,LOG(G73),0)</f>
        <v>0</v>
      </c>
      <c r="I73" s="184">
        <f t="shared" ref="I73:I75" si="133">IF(H73&lt;15,FLOOR(H73/3,1),FLOOR(H73,1))</f>
        <v>0</v>
      </c>
      <c r="J73" s="10" t="str">
        <f t="shared" ref="J73:J75" si="134">IF(H73&lt;15,ROUND(G73/10^(3*I73),2)&amp;VLOOKUP(I73,$C$79:$G$83,2,FALSE),ROUND(G73/10^I73,2)&amp;"e"&amp;I73)</f>
        <v>1</v>
      </c>
      <c r="K73" s="10">
        <f t="shared" ref="K73:K75" si="135">G73</f>
        <v>1</v>
      </c>
      <c r="L73" s="10">
        <f t="shared" si="71"/>
        <v>1</v>
      </c>
      <c r="M73" s="10">
        <f t="shared" si="72"/>
        <v>1</v>
      </c>
      <c r="N73" s="10">
        <f t="shared" ref="N73:N75" si="136">IF(AND(C73&gt;0,L73&gt;0),5000^0.5,1)</f>
        <v>70.71067812</v>
      </c>
      <c r="O73" s="10">
        <f t="shared" ref="O73:O75" si="137">M73*N73</f>
        <v>70.71067812</v>
      </c>
      <c r="P73" s="10"/>
      <c r="Q73" s="10"/>
      <c r="R73" s="10"/>
      <c r="S73" s="10"/>
      <c r="T73" s="10"/>
      <c r="U73" s="10">
        <f t="shared" si="106"/>
        <v>0</v>
      </c>
      <c r="V73" s="183">
        <f t="shared" ref="V73:Y73" si="131">V34</f>
        <v>1</v>
      </c>
      <c r="W73" s="183">
        <f t="shared" si="131"/>
        <v>0</v>
      </c>
      <c r="X73" s="183">
        <f t="shared" si="131"/>
        <v>0</v>
      </c>
      <c r="Y73" s="183">
        <f t="shared" si="131"/>
        <v>0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ht="16.5" customHeight="1">
      <c r="A74" s="4">
        <v>34.0</v>
      </c>
      <c r="B74" s="77" t="s">
        <v>149</v>
      </c>
      <c r="C74" s="182">
        <f>AM44</f>
        <v>1</v>
      </c>
      <c r="D74" s="10">
        <f t="shared" si="68"/>
        <v>0</v>
      </c>
      <c r="E74" s="184">
        <f t="shared" si="69"/>
        <v>0</v>
      </c>
      <c r="F74" s="10" t="str">
        <f t="shared" si="70"/>
        <v>1</v>
      </c>
      <c r="G74" s="182">
        <f>AN44</f>
        <v>1</v>
      </c>
      <c r="H74" s="10">
        <f t="shared" si="132"/>
        <v>0</v>
      </c>
      <c r="I74" s="184">
        <f t="shared" si="133"/>
        <v>0</v>
      </c>
      <c r="J74" s="10" t="str">
        <f t="shared" si="134"/>
        <v>1</v>
      </c>
      <c r="K74" s="10">
        <f t="shared" si="135"/>
        <v>1</v>
      </c>
      <c r="L74" s="10">
        <f t="shared" si="71"/>
        <v>0</v>
      </c>
      <c r="M74" s="10">
        <f t="shared" si="72"/>
        <v>1</v>
      </c>
      <c r="N74" s="10">
        <f t="shared" si="136"/>
        <v>1</v>
      </c>
      <c r="O74" s="10">
        <f t="shared" si="137"/>
        <v>1</v>
      </c>
      <c r="P74" s="10"/>
      <c r="Q74" s="10"/>
      <c r="R74" s="10"/>
      <c r="S74" s="10"/>
      <c r="T74" s="10"/>
      <c r="U74" s="10">
        <f t="shared" si="106"/>
        <v>0</v>
      </c>
      <c r="V74" s="183">
        <f t="shared" ref="V74:Y74" si="138">V35</f>
        <v>0</v>
      </c>
      <c r="W74" s="183">
        <f t="shared" si="138"/>
        <v>1</v>
      </c>
      <c r="X74" s="183">
        <f t="shared" si="138"/>
        <v>0</v>
      </c>
      <c r="Y74" s="183">
        <f t="shared" si="138"/>
        <v>0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ht="16.5" customHeight="1">
      <c r="A75" s="20">
        <v>35.0</v>
      </c>
      <c r="B75" s="77" t="s">
        <v>244</v>
      </c>
      <c r="C75" s="182">
        <f>AP44</f>
        <v>1</v>
      </c>
      <c r="D75" s="10">
        <f t="shared" si="68"/>
        <v>0</v>
      </c>
      <c r="E75" s="184">
        <f t="shared" si="69"/>
        <v>0</v>
      </c>
      <c r="F75" s="10" t="str">
        <f t="shared" si="70"/>
        <v>1</v>
      </c>
      <c r="G75" s="182">
        <f>AQ44</f>
        <v>1</v>
      </c>
      <c r="H75" s="10">
        <f t="shared" si="132"/>
        <v>0</v>
      </c>
      <c r="I75" s="184">
        <f t="shared" si="133"/>
        <v>0</v>
      </c>
      <c r="J75" s="10" t="str">
        <f t="shared" si="134"/>
        <v>1</v>
      </c>
      <c r="K75" s="10">
        <f t="shared" si="135"/>
        <v>1</v>
      </c>
      <c r="L75" s="10">
        <f t="shared" si="71"/>
        <v>0</v>
      </c>
      <c r="M75" s="10">
        <f t="shared" si="72"/>
        <v>1</v>
      </c>
      <c r="N75" s="10">
        <f t="shared" si="136"/>
        <v>1</v>
      </c>
      <c r="O75" s="10">
        <f t="shared" si="137"/>
        <v>1</v>
      </c>
      <c r="P75" s="10"/>
      <c r="Q75" s="10"/>
      <c r="R75" s="10"/>
      <c r="S75" s="10"/>
      <c r="T75" s="10"/>
      <c r="U75" s="120">
        <v>0.0</v>
      </c>
      <c r="V75" s="183">
        <f t="shared" ref="V75:Y75" si="139">V36</f>
        <v>0</v>
      </c>
      <c r="W75" s="183">
        <f t="shared" si="139"/>
        <v>0</v>
      </c>
      <c r="X75" s="183">
        <f t="shared" si="139"/>
        <v>1</v>
      </c>
      <c r="Y75" s="183">
        <f t="shared" si="139"/>
        <v>0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ht="16.5" customHeight="1">
      <c r="A76" s="1"/>
      <c r="B76" s="1"/>
      <c r="C76" s="199"/>
      <c r="D76" s="4"/>
      <c r="E76" s="4"/>
      <c r="F76" s="4"/>
      <c r="G76" s="19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4"/>
      <c r="V76" s="192"/>
      <c r="W76" s="192"/>
      <c r="X76" s="192"/>
      <c r="Y76" s="183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ht="16.5" customHeight="1">
      <c r="A77" s="1"/>
      <c r="B77" s="1"/>
      <c r="C77" s="199"/>
      <c r="D77" s="4"/>
      <c r="E77" s="4"/>
      <c r="F77" s="4"/>
      <c r="G77" s="199"/>
      <c r="H77" s="10"/>
      <c r="I77" s="10"/>
      <c r="J77" s="10"/>
      <c r="K77" s="10"/>
      <c r="L77" s="10"/>
      <c r="M77" s="1"/>
      <c r="N77" s="1"/>
      <c r="O77" s="1"/>
      <c r="P77" s="1"/>
      <c r="Q77" s="1"/>
      <c r="R77" s="1"/>
      <c r="S77" s="1"/>
      <c r="T77" s="1"/>
      <c r="U77" s="4"/>
      <c r="V77" s="192"/>
      <c r="W77" s="192"/>
      <c r="X77" s="192"/>
      <c r="Y77" s="183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ht="16.5" customHeight="1">
      <c r="A78" s="1"/>
      <c r="B78" s="1"/>
      <c r="C78" s="199"/>
      <c r="D78" s="4"/>
      <c r="E78" s="4"/>
      <c r="F78" s="4"/>
      <c r="G78" s="199"/>
      <c r="H78" s="10"/>
      <c r="I78" s="10"/>
      <c r="J78" s="10"/>
      <c r="K78" s="10"/>
      <c r="L78" s="10"/>
      <c r="M78" s="1"/>
      <c r="N78" s="1"/>
      <c r="O78" s="1"/>
      <c r="P78" s="1"/>
      <c r="Q78" s="1"/>
      <c r="R78" s="1"/>
      <c r="S78" s="1"/>
      <c r="T78" s="1"/>
      <c r="U78" s="4"/>
      <c r="V78" s="192"/>
      <c r="W78" s="192"/>
      <c r="X78" s="192"/>
      <c r="Y78" s="183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ht="16.5" customHeight="1">
      <c r="A79" s="1"/>
      <c r="B79" s="1"/>
      <c r="C79" s="182">
        <v>0.0</v>
      </c>
      <c r="D79" s="10"/>
      <c r="E79" s="10"/>
      <c r="F79" s="10"/>
      <c r="G79" s="199"/>
      <c r="H79" s="120">
        <v>0.0</v>
      </c>
      <c r="I79" s="10">
        <v>1.0</v>
      </c>
      <c r="J79" s="10">
        <v>2.0</v>
      </c>
      <c r="K79" s="10">
        <v>3.0</v>
      </c>
      <c r="L79" s="10">
        <v>4.0</v>
      </c>
      <c r="M79" s="120">
        <v>1.0</v>
      </c>
      <c r="N79" s="10" t="str">
        <f t="shared" ref="N79:N112" si="140">B41</f>
        <v>騎士勇氣</v>
      </c>
      <c r="O79" s="10" t="str">
        <f>'技能模擬器'!N5</f>
        <v>20%</v>
      </c>
      <c r="P79" s="197">
        <f t="shared" ref="P79:P113" si="141">IF(AND(O79&lt;&gt;"-",Q79=1),O79*1+ROW()*0.00000001,-1+ROW()*0.00000001)</f>
        <v>0.20000079</v>
      </c>
      <c r="Q79" s="197">
        <f>IF('技能模擬器'!C39="是",1,0)</f>
        <v>1</v>
      </c>
      <c r="R79" s="197">
        <f t="shared" ref="R79:R113" si="142">LARGE(P$79:P$113,M79)</f>
        <v>7.40900111</v>
      </c>
      <c r="S79" s="10" t="str">
        <f t="shared" ref="S79:S113" si="143">ROUND(R79*100,2)&amp;"%"</f>
        <v>740.9%</v>
      </c>
      <c r="T79" s="10" t="str">
        <f t="shared" ref="T79:T113" si="144">INDEX(N$79:P$113,MATCH(R79,P$79:P$113,0),1)</f>
        <v>暮色面紗</v>
      </c>
      <c r="U79" s="4"/>
      <c r="V79" s="192"/>
      <c r="W79" s="192"/>
      <c r="X79" s="192"/>
      <c r="Y79" s="183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ht="16.5" customHeight="1">
      <c r="A80" s="1"/>
      <c r="B80" s="1"/>
      <c r="C80" s="182">
        <v>1.0</v>
      </c>
      <c r="D80" s="182" t="s">
        <v>254</v>
      </c>
      <c r="E80" s="10"/>
      <c r="F80" s="10"/>
      <c r="G80" s="199"/>
      <c r="H80" s="120" t="s">
        <v>255</v>
      </c>
      <c r="I80" s="10" t="s">
        <v>8</v>
      </c>
      <c r="J80" s="10" t="s">
        <v>219</v>
      </c>
      <c r="K80" s="10" t="s">
        <v>256</v>
      </c>
      <c r="L80" s="10" t="s">
        <v>229</v>
      </c>
      <c r="M80" s="10">
        <f t="shared" ref="M80:M113" si="145">M79+1</f>
        <v>2</v>
      </c>
      <c r="N80" s="10" t="str">
        <f t="shared" si="140"/>
        <v>騎士兵團</v>
      </c>
      <c r="O80" s="10" t="str">
        <f>'技能模擬器'!I11</f>
        <v>200%</v>
      </c>
      <c r="P80" s="197">
        <f t="shared" si="141"/>
        <v>2.0000008</v>
      </c>
      <c r="Q80" s="197">
        <f>IF('技能模擬器'!C40="是",1,0)</f>
        <v>1</v>
      </c>
      <c r="R80" s="197">
        <f t="shared" si="142"/>
        <v>2.0000008</v>
      </c>
      <c r="S80" s="10" t="str">
        <f t="shared" si="143"/>
        <v>200%</v>
      </c>
      <c r="T80" s="10" t="str">
        <f t="shared" si="144"/>
        <v>騎士兵團</v>
      </c>
      <c r="U80" s="4"/>
      <c r="V80" s="192"/>
      <c r="W80" s="192"/>
      <c r="X80" s="192"/>
      <c r="Y80" s="183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ht="16.5" customHeight="1">
      <c r="A81" s="1"/>
      <c r="B81" s="4"/>
      <c r="C81" s="182">
        <v>2.0</v>
      </c>
      <c r="D81" s="182" t="s">
        <v>257</v>
      </c>
      <c r="E81" s="10"/>
      <c r="F81" s="10"/>
      <c r="G81" s="199"/>
      <c r="H81" s="10"/>
      <c r="I81" s="10"/>
      <c r="J81" s="10"/>
      <c r="K81" s="10"/>
      <c r="L81" s="10"/>
      <c r="M81" s="10">
        <f t="shared" si="145"/>
        <v>3</v>
      </c>
      <c r="N81" s="10" t="str">
        <f t="shared" si="140"/>
        <v>寵物進化</v>
      </c>
      <c r="O81" s="10" t="str">
        <f>'技能模擬器'!N11</f>
        <v>50%</v>
      </c>
      <c r="P81" s="197">
        <f t="shared" si="141"/>
        <v>0.50000081</v>
      </c>
      <c r="Q81" s="197">
        <f>IF('技能模擬器'!C41="是",1,0)</f>
        <v>1</v>
      </c>
      <c r="R81" s="197">
        <f t="shared" si="142"/>
        <v>0.55400098</v>
      </c>
      <c r="S81" s="10" t="str">
        <f t="shared" si="143"/>
        <v>55.4%</v>
      </c>
      <c r="T81" s="10" t="str">
        <f t="shared" si="144"/>
        <v>終極米達斯</v>
      </c>
      <c r="U81" s="4"/>
      <c r="V81" s="192"/>
      <c r="W81" s="192"/>
      <c r="X81" s="192"/>
      <c r="Y81" s="183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ht="16.5" customHeight="1">
      <c r="A82" s="1"/>
      <c r="B82" s="4"/>
      <c r="C82" s="182">
        <v>3.0</v>
      </c>
      <c r="D82" s="182" t="s">
        <v>258</v>
      </c>
      <c r="E82" s="10"/>
      <c r="F82" s="10"/>
      <c r="G82" s="200">
        <v>0.0</v>
      </c>
      <c r="H82" s="201"/>
      <c r="I82" s="120" t="s">
        <v>259</v>
      </c>
      <c r="J82" s="10"/>
      <c r="K82" s="10"/>
      <c r="L82" s="10"/>
      <c r="M82" s="10">
        <f t="shared" si="145"/>
        <v>4</v>
      </c>
      <c r="N82" s="10" t="str">
        <f t="shared" si="140"/>
        <v>米達斯之心</v>
      </c>
      <c r="O82" s="10" t="str">
        <f>'技能模擬器'!S11</f>
        <v>55.4%</v>
      </c>
      <c r="P82" s="197">
        <f t="shared" si="141"/>
        <v>0.55400082</v>
      </c>
      <c r="Q82" s="197">
        <f>IF('技能模擬器'!C42="是",1,0)</f>
        <v>1</v>
      </c>
      <c r="R82" s="197">
        <f t="shared" si="142"/>
        <v>0.55400082</v>
      </c>
      <c r="S82" s="10" t="str">
        <f t="shared" si="143"/>
        <v>55.4%</v>
      </c>
      <c r="T82" s="10" t="str">
        <f t="shared" si="144"/>
        <v>米達斯之心</v>
      </c>
      <c r="U82" s="4"/>
      <c r="V82" s="192"/>
      <c r="W82" s="192"/>
      <c r="X82" s="192"/>
      <c r="Y82" s="183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ht="16.5" customHeight="1">
      <c r="A83" s="1"/>
      <c r="B83" s="4"/>
      <c r="C83" s="182">
        <v>4.0</v>
      </c>
      <c r="D83" s="182" t="s">
        <v>260</v>
      </c>
      <c r="E83" s="10"/>
      <c r="F83" s="10"/>
      <c r="G83" s="201">
        <v>1.0</v>
      </c>
      <c r="H83" s="202">
        <v>1.0</v>
      </c>
      <c r="I83" s="10"/>
      <c r="J83" s="10"/>
      <c r="K83" s="10"/>
      <c r="L83" s="10"/>
      <c r="M83" s="10">
        <f t="shared" si="145"/>
        <v>5</v>
      </c>
      <c r="N83" s="10" t="str">
        <f t="shared" si="140"/>
        <v>劈斬</v>
      </c>
      <c r="O83" s="10" t="str">
        <f>'技能模擬器'!I17</f>
        <v>0%</v>
      </c>
      <c r="P83" s="197">
        <f t="shared" si="141"/>
        <v>0.00000083</v>
      </c>
      <c r="Q83" s="197">
        <f>IF('技能模擬器'!C43="是",1,0)</f>
        <v>1</v>
      </c>
      <c r="R83" s="197">
        <f t="shared" si="142"/>
        <v>0.51830096</v>
      </c>
      <c r="S83" s="10" t="str">
        <f t="shared" si="143"/>
        <v>51.83%</v>
      </c>
      <c r="T83" s="10" t="str">
        <f t="shared" si="144"/>
        <v>禁錮射擊</v>
      </c>
      <c r="U83" s="4"/>
      <c r="V83" s="192"/>
      <c r="W83" s="192"/>
      <c r="X83" s="192"/>
      <c r="Y83" s="183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ht="16.5" customHeight="1">
      <c r="A84" s="1"/>
      <c r="B84" s="4"/>
      <c r="C84" s="199"/>
      <c r="D84" s="199"/>
      <c r="E84" s="4"/>
      <c r="F84" s="4"/>
      <c r="G84" s="201">
        <v>2.0</v>
      </c>
      <c r="H84" s="202">
        <v>2.0</v>
      </c>
      <c r="I84" s="202"/>
      <c r="J84" s="10"/>
      <c r="K84" s="10"/>
      <c r="L84" s="10"/>
      <c r="M84" s="10">
        <f t="shared" si="145"/>
        <v>6</v>
      </c>
      <c r="N84" s="10" t="str">
        <f t="shared" si="140"/>
        <v>召喚煉獄</v>
      </c>
      <c r="O84" s="10" t="str">
        <f>'技能模擬器'!N17</f>
        <v>26.49%</v>
      </c>
      <c r="P84" s="197">
        <f t="shared" si="141"/>
        <v>0.26490084</v>
      </c>
      <c r="Q84" s="197">
        <f>IF('技能模擬器'!C44="是",1,0)</f>
        <v>1</v>
      </c>
      <c r="R84" s="197">
        <f t="shared" si="142"/>
        <v>0.50000081</v>
      </c>
      <c r="S84" s="10" t="str">
        <f t="shared" si="143"/>
        <v>50%</v>
      </c>
      <c r="T84" s="10" t="str">
        <f t="shared" si="144"/>
        <v>寵物進化</v>
      </c>
      <c r="U84" s="4"/>
      <c r="V84" s="192"/>
      <c r="W84" s="192"/>
      <c r="X84" s="192"/>
      <c r="Y84" s="183"/>
      <c r="Z84" s="10">
        <f>IF(AC9&gt;0,VLOOKUP(AC9,Y87:AA101,2,FALSE),0)</f>
        <v>0</v>
      </c>
      <c r="AA84" s="10">
        <f>IF(AC9&gt;0,VLOOKUP(AC9,Y87:AA101,3,FALSE),0)</f>
        <v>0</v>
      </c>
      <c r="AB84" s="1">
        <f>FLOOR(AA84,1)</f>
        <v>0</v>
      </c>
      <c r="AC84" s="10" t="str">
        <f>IF(AA84&gt;0,ROUND(10^(AA84-AB84),2)&amp;"e"&amp;AB84,"-")</f>
        <v>-</v>
      </c>
      <c r="AD84" s="10"/>
      <c r="AE84" s="10">
        <f>AA84+P37</f>
        <v>0</v>
      </c>
      <c r="AF84" s="10">
        <f>ROUND(10^(AE84-AG84),2)</f>
        <v>1</v>
      </c>
      <c r="AG84" s="10">
        <f>FLOOR(AE84,1)</f>
        <v>0</v>
      </c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ht="16.5" customHeight="1">
      <c r="A85" s="1"/>
      <c r="B85" s="4"/>
      <c r="C85" s="199"/>
      <c r="D85" s="4"/>
      <c r="E85" s="4"/>
      <c r="F85" s="4"/>
      <c r="G85" s="201">
        <v>3.0</v>
      </c>
      <c r="H85" s="202">
        <v>3.4</v>
      </c>
      <c r="I85" s="202"/>
      <c r="J85" s="10"/>
      <c r="K85" s="10"/>
      <c r="L85" s="10"/>
      <c r="M85" s="10">
        <f t="shared" si="145"/>
        <v>7</v>
      </c>
      <c r="N85" s="10" t="str">
        <f t="shared" si="140"/>
        <v>閃電爆破</v>
      </c>
      <c r="O85" s="203" t="str">
        <f>'技能模擬器'!S17</f>
        <v>22.47%</v>
      </c>
      <c r="P85" s="197">
        <f t="shared" si="141"/>
        <v>0.22470085</v>
      </c>
      <c r="Q85" s="197">
        <f>IF('技能模擬器'!C45="是",1,0)</f>
        <v>1</v>
      </c>
      <c r="R85" s="197">
        <f t="shared" si="142"/>
        <v>0.42260107</v>
      </c>
      <c r="S85" s="10" t="str">
        <f t="shared" si="143"/>
        <v>42.26%</v>
      </c>
      <c r="T85" s="10" t="str">
        <f t="shared" si="144"/>
        <v>竊盜大師</v>
      </c>
      <c r="U85" s="4"/>
      <c r="V85" s="192"/>
      <c r="W85" s="192"/>
      <c r="X85" s="192"/>
      <c r="Y85" s="183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ht="16.5" customHeight="1">
      <c r="A86" s="1"/>
      <c r="B86" s="4"/>
      <c r="C86" s="199"/>
      <c r="D86" s="4"/>
      <c r="E86" s="4"/>
      <c r="F86" s="4"/>
      <c r="G86" s="201">
        <v>4.0</v>
      </c>
      <c r="H86" s="202">
        <v>5.1</v>
      </c>
      <c r="I86" s="202"/>
      <c r="J86" s="10"/>
      <c r="K86" s="10"/>
      <c r="L86" s="10"/>
      <c r="M86" s="10">
        <f t="shared" si="145"/>
        <v>8</v>
      </c>
      <c r="N86" s="10" t="str">
        <f t="shared" si="140"/>
        <v>野蠻狂怒</v>
      </c>
      <c r="O86" s="10" t="str">
        <f>'技能模擬器'!I23</f>
        <v>35.72%</v>
      </c>
      <c r="P86" s="197">
        <f t="shared" si="141"/>
        <v>0.35720086</v>
      </c>
      <c r="Q86" s="197">
        <f>IF('技能模擬器'!C46="是",1,0)</f>
        <v>1</v>
      </c>
      <c r="R86" s="197">
        <f t="shared" si="142"/>
        <v>0.35720086</v>
      </c>
      <c r="S86" s="10" t="str">
        <f t="shared" si="143"/>
        <v>35.72%</v>
      </c>
      <c r="T86" s="10" t="str">
        <f t="shared" si="144"/>
        <v>野蠻狂怒</v>
      </c>
      <c r="U86" s="10"/>
      <c r="V86" s="183"/>
      <c r="W86" s="183"/>
      <c r="X86" s="192"/>
      <c r="Y86" s="183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ht="16.5" customHeight="1">
      <c r="A87" s="1"/>
      <c r="B87" s="4"/>
      <c r="C87" s="199"/>
      <c r="D87" s="4"/>
      <c r="E87" s="4"/>
      <c r="F87" s="204"/>
      <c r="G87" s="201">
        <v>5.0</v>
      </c>
      <c r="H87" s="202">
        <v>7.0</v>
      </c>
      <c r="I87" s="201"/>
      <c r="J87" s="4"/>
      <c r="K87" s="4"/>
      <c r="L87" s="4"/>
      <c r="M87" s="10">
        <f t="shared" si="145"/>
        <v>9</v>
      </c>
      <c r="N87" s="10" t="str">
        <f t="shared" si="140"/>
        <v>閃電瞬移</v>
      </c>
      <c r="O87" s="203" t="str">
        <f>'技能模擬器'!S23</f>
        <v>25.99%</v>
      </c>
      <c r="P87" s="197">
        <f t="shared" si="141"/>
        <v>0.25990087</v>
      </c>
      <c r="Q87" s="197">
        <f>IF('技能模擬器'!C47="是",1,0)</f>
        <v>1</v>
      </c>
      <c r="R87" s="197">
        <f t="shared" si="142"/>
        <v>0.26490084</v>
      </c>
      <c r="S87" s="10" t="str">
        <f t="shared" si="143"/>
        <v>26.49%</v>
      </c>
      <c r="T87" s="10" t="str">
        <f t="shared" si="144"/>
        <v>召喚煉獄</v>
      </c>
      <c r="U87" s="1"/>
      <c r="V87" s="183"/>
      <c r="W87" s="183"/>
      <c r="X87" s="205"/>
      <c r="Y87" s="120">
        <v>1.0</v>
      </c>
      <c r="Z87" s="194">
        <f t="shared" ref="Z87:Z101" si="146">E105</f>
        <v>5.241157176</v>
      </c>
      <c r="AA87" s="4">
        <f t="shared" ref="AA87:AA101" si="147">LOG(Z87)</f>
        <v>0.7194271839</v>
      </c>
      <c r="AB87" s="1">
        <f t="shared" ref="AB87:AB101" si="148">FLOOR(AA87,1)</f>
        <v>0</v>
      </c>
      <c r="AC87" s="194">
        <f>IF(AA87&lt;3,ROUND(Z87,2),ROUND(10^(AA87-AB87),2)&amp;"e"&amp;AB87)</f>
        <v>5.24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ht="16.5" customHeight="1">
      <c r="A88" s="181">
        <v>1.0</v>
      </c>
      <c r="B88" s="1">
        <f>ROUND('特殊技能效益'!AF25,0)</f>
        <v>0</v>
      </c>
      <c r="C88" s="2">
        <f>IF(B88&gt;0, VLOOKUP(B88,'2.8 LS'!B$5:Q$504,A88+1,FALSE),1)</f>
        <v>1</v>
      </c>
      <c r="D88" s="4">
        <f t="shared" ref="D88:D102" si="149">LOG(C88)</f>
        <v>0</v>
      </c>
      <c r="E88" s="1">
        <f t="shared" ref="E88:E102" si="150">FLOOR(D88,1)</f>
        <v>0</v>
      </c>
      <c r="F88" s="206">
        <f t="shared" ref="F88:F102" si="151">IF(D88&lt;3,ROUND(C88,2),ROUND(10^(D88-E88),2)&amp;"e"&amp;E88)</f>
        <v>1</v>
      </c>
      <c r="G88" s="201">
        <v>6.0</v>
      </c>
      <c r="H88" s="202">
        <v>9.2</v>
      </c>
      <c r="I88" s="201"/>
      <c r="J88" s="4"/>
      <c r="K88" s="4"/>
      <c r="L88" s="4"/>
      <c r="M88" s="10">
        <f t="shared" si="145"/>
        <v>10</v>
      </c>
      <c r="N88" s="10" t="str">
        <f t="shared" si="140"/>
        <v>指揮官大師</v>
      </c>
      <c r="O88" s="10" t="str">
        <f>'技能模擬器'!N30</f>
        <v>9.54%</v>
      </c>
      <c r="P88" s="197">
        <f t="shared" si="141"/>
        <v>0.09540088</v>
      </c>
      <c r="Q88" s="197">
        <f>IF('技能模擬器'!C48="是",1,0)</f>
        <v>1</v>
      </c>
      <c r="R88" s="197">
        <f t="shared" si="142"/>
        <v>0.25990087</v>
      </c>
      <c r="S88" s="10" t="str">
        <f t="shared" si="143"/>
        <v>25.99%</v>
      </c>
      <c r="T88" s="10" t="str">
        <f t="shared" si="144"/>
        <v>閃電瞬移</v>
      </c>
      <c r="U88" s="1"/>
      <c r="V88" s="183"/>
      <c r="W88" s="183"/>
      <c r="X88" s="205"/>
      <c r="Y88" s="120">
        <v>2.0</v>
      </c>
      <c r="Z88" s="194">
        <f t="shared" si="146"/>
        <v>14.9839644</v>
      </c>
      <c r="AA88" s="4">
        <f t="shared" si="147"/>
        <v>1.175626732</v>
      </c>
      <c r="AB88" s="1">
        <f t="shared" si="148"/>
        <v>1</v>
      </c>
      <c r="AC88" s="194">
        <f t="shared" ref="AC88:AC101" si="152">IF(AA88&lt;3,Z88,ROUND(10^(AA88-AB88),2)&amp;"e"&amp;AB88)</f>
        <v>14.9839644</v>
      </c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ht="16.5" customHeight="1">
      <c r="A89" s="181">
        <v>2.0</v>
      </c>
      <c r="B89" s="1">
        <f>ROUND('特殊技能效益'!AF26,0)</f>
        <v>0</v>
      </c>
      <c r="C89" s="2">
        <f>IF(B89&gt;0, VLOOKUP(B89,'2.8 LS'!B$5:Q$504,A89+1,FALSE),1)</f>
        <v>1</v>
      </c>
      <c r="D89" s="4">
        <f t="shared" si="149"/>
        <v>0</v>
      </c>
      <c r="E89" s="1">
        <f t="shared" si="150"/>
        <v>0</v>
      </c>
      <c r="F89" s="206">
        <f t="shared" si="151"/>
        <v>1</v>
      </c>
      <c r="G89" s="201">
        <v>7.0</v>
      </c>
      <c r="H89" s="202">
        <v>11.6</v>
      </c>
      <c r="I89" s="201"/>
      <c r="J89" s="4"/>
      <c r="K89" s="4"/>
      <c r="L89" s="4"/>
      <c r="M89" s="10">
        <f t="shared" si="145"/>
        <v>11</v>
      </c>
      <c r="N89" s="10" t="str">
        <f t="shared" si="140"/>
        <v>戰利品</v>
      </c>
      <c r="O89" s="10" t="str">
        <f>'技能模擬器'!I36</f>
        <v>0%</v>
      </c>
      <c r="P89" s="197">
        <f t="shared" si="141"/>
        <v>0.00000089</v>
      </c>
      <c r="Q89" s="197">
        <f>IF('技能模擬器'!C49="是",1,0)</f>
        <v>1</v>
      </c>
      <c r="R89" s="197">
        <f t="shared" si="142"/>
        <v>0.2247009</v>
      </c>
      <c r="S89" s="10" t="str">
        <f t="shared" si="143"/>
        <v>22.47%</v>
      </c>
      <c r="T89" s="10" t="str">
        <f t="shared" si="144"/>
        <v>英雄神力</v>
      </c>
      <c r="U89" s="1"/>
      <c r="V89" s="183"/>
      <c r="W89" s="183"/>
      <c r="X89" s="205"/>
      <c r="Y89" s="120">
        <v>3.0</v>
      </c>
      <c r="Z89" s="194">
        <f t="shared" si="146"/>
        <v>50.3225848</v>
      </c>
      <c r="AA89" s="4">
        <f t="shared" si="147"/>
        <v>1.70176294</v>
      </c>
      <c r="AB89" s="1">
        <f t="shared" si="148"/>
        <v>1</v>
      </c>
      <c r="AC89" s="194">
        <f t="shared" si="152"/>
        <v>50.3225848</v>
      </c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ht="16.5" customHeight="1">
      <c r="A90" s="181">
        <v>3.0</v>
      </c>
      <c r="B90" s="1">
        <f>ROUND('特殊技能效益'!AF27,0)</f>
        <v>0</v>
      </c>
      <c r="C90" s="2">
        <f>IF(B90&gt;0, VLOOKUP(B90,'2.8 LS'!B$5:Q$504,A90+1,FALSE),1)</f>
        <v>1</v>
      </c>
      <c r="D90" s="4">
        <f t="shared" si="149"/>
        <v>0</v>
      </c>
      <c r="E90" s="1">
        <f t="shared" si="150"/>
        <v>0</v>
      </c>
      <c r="F90" s="206">
        <f t="shared" si="151"/>
        <v>1</v>
      </c>
      <c r="G90" s="201">
        <v>8.0</v>
      </c>
      <c r="H90" s="202">
        <v>14.3</v>
      </c>
      <c r="I90" s="201"/>
      <c r="J90" s="4"/>
      <c r="K90" s="4"/>
      <c r="L90" s="4"/>
      <c r="M90" s="10">
        <f t="shared" si="145"/>
        <v>12</v>
      </c>
      <c r="N90" s="10" t="str">
        <f t="shared" si="140"/>
        <v>英雄神力</v>
      </c>
      <c r="O90" s="10" t="str">
        <f>'技能模擬器'!N36</f>
        <v>22.47%</v>
      </c>
      <c r="P90" s="197">
        <f t="shared" si="141"/>
        <v>0.2247009</v>
      </c>
      <c r="Q90" s="197">
        <f>IF('技能模擬器'!C50="是",1,0)</f>
        <v>1</v>
      </c>
      <c r="R90" s="197">
        <f t="shared" si="142"/>
        <v>0.22470085</v>
      </c>
      <c r="S90" s="10" t="str">
        <f t="shared" si="143"/>
        <v>22.47%</v>
      </c>
      <c r="T90" s="10" t="str">
        <f t="shared" si="144"/>
        <v>閃電爆破</v>
      </c>
      <c r="U90" s="1"/>
      <c r="V90" s="183"/>
      <c r="W90" s="183"/>
      <c r="X90" s="205"/>
      <c r="Y90" s="120">
        <v>4.0</v>
      </c>
      <c r="Z90" s="194">
        <f t="shared" si="146"/>
        <v>229.3756314</v>
      </c>
      <c r="AA90" s="4">
        <f t="shared" si="147"/>
        <v>2.360547277</v>
      </c>
      <c r="AB90" s="1">
        <f t="shared" si="148"/>
        <v>2</v>
      </c>
      <c r="AC90" s="194">
        <f t="shared" si="152"/>
        <v>229.3756314</v>
      </c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ht="16.5" customHeight="1">
      <c r="A91" s="181">
        <v>4.0</v>
      </c>
      <c r="B91" s="1">
        <f>ROUND('特殊技能效益'!AF28,0)</f>
        <v>0</v>
      </c>
      <c r="C91" s="2">
        <f>IF(B91&gt;0, VLOOKUP(B91,'2.8 LS'!B$5:Q$504,A91+1,FALSE),1)</f>
        <v>1</v>
      </c>
      <c r="D91" s="4">
        <f t="shared" si="149"/>
        <v>0</v>
      </c>
      <c r="E91" s="1">
        <f t="shared" si="150"/>
        <v>0</v>
      </c>
      <c r="F91" s="206">
        <f t="shared" si="151"/>
        <v>1</v>
      </c>
      <c r="G91" s="201">
        <v>9.0</v>
      </c>
      <c r="H91" s="202">
        <v>17.1</v>
      </c>
      <c r="I91" s="202"/>
      <c r="J91" s="4"/>
      <c r="K91" s="4"/>
      <c r="L91" s="4"/>
      <c r="M91" s="10">
        <f t="shared" si="145"/>
        <v>13</v>
      </c>
      <c r="N91" s="10" t="str">
        <f t="shared" si="140"/>
        <v>空中突擊</v>
      </c>
      <c r="O91" s="10" t="str">
        <f>'技能模擬器'!S36</f>
        <v>0%</v>
      </c>
      <c r="P91" s="197">
        <f t="shared" si="141"/>
        <v>0.00000091</v>
      </c>
      <c r="Q91" s="197">
        <f>IF('技能模擬器'!C51="是",1,0)</f>
        <v>1</v>
      </c>
      <c r="R91" s="197">
        <f t="shared" si="142"/>
        <v>0.21620092</v>
      </c>
      <c r="S91" s="10" t="str">
        <f t="shared" si="143"/>
        <v>21.62%</v>
      </c>
      <c r="T91" s="10" t="str">
        <f t="shared" si="144"/>
        <v>洞察戰術</v>
      </c>
      <c r="U91" s="1"/>
      <c r="V91" s="183"/>
      <c r="W91" s="183"/>
      <c r="X91" s="205"/>
      <c r="Y91" s="120">
        <v>5.0</v>
      </c>
      <c r="Z91" s="194" t="str">
        <f t="shared" si="146"/>
        <v>1.39e3</v>
      </c>
      <c r="AA91" s="4">
        <f t="shared" si="147"/>
        <v>3.1430148</v>
      </c>
      <c r="AB91" s="1">
        <f t="shared" si="148"/>
        <v>3</v>
      </c>
      <c r="AC91" s="10" t="str">
        <f t="shared" si="152"/>
        <v>1.39e3</v>
      </c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ht="16.5" customHeight="1">
      <c r="A92" s="181">
        <v>5.0</v>
      </c>
      <c r="B92" s="1">
        <f>ROUND('特殊技能效益'!AF29,0)</f>
        <v>0</v>
      </c>
      <c r="C92" s="2">
        <f>IF(B92&gt;0, VLOOKUP(B92,'2.8 LS'!B$5:Q$504,A92+1,FALSE),1)</f>
        <v>1</v>
      </c>
      <c r="D92" s="4">
        <f t="shared" si="149"/>
        <v>0</v>
      </c>
      <c r="E92" s="1">
        <f t="shared" si="150"/>
        <v>0</v>
      </c>
      <c r="F92" s="206">
        <f t="shared" si="151"/>
        <v>1</v>
      </c>
      <c r="G92" s="201">
        <v>10.0</v>
      </c>
      <c r="H92" s="202">
        <v>20.2</v>
      </c>
      <c r="I92" s="202"/>
      <c r="J92" s="4"/>
      <c r="K92" s="4"/>
      <c r="L92" s="4"/>
      <c r="M92" s="10">
        <f t="shared" si="145"/>
        <v>14</v>
      </c>
      <c r="N92" s="10" t="str">
        <f t="shared" si="140"/>
        <v>洞察戰術</v>
      </c>
      <c r="O92" s="10" t="str">
        <f>'技能模擬器'!I42</f>
        <v>21.62%</v>
      </c>
      <c r="P92" s="197">
        <f t="shared" si="141"/>
        <v>0.21620092</v>
      </c>
      <c r="Q92" s="197">
        <f>IF('技能模擬器'!C52="是",1,0)</f>
        <v>1</v>
      </c>
      <c r="R92" s="197">
        <f t="shared" si="142"/>
        <v>0.20000079</v>
      </c>
      <c r="S92" s="10" t="str">
        <f t="shared" si="143"/>
        <v>20%</v>
      </c>
      <c r="T92" s="10" t="str">
        <f t="shared" si="144"/>
        <v>騎士勇氣</v>
      </c>
      <c r="U92" s="1"/>
      <c r="V92" s="183"/>
      <c r="W92" s="183"/>
      <c r="X92" s="205"/>
      <c r="Y92" s="120">
        <v>6.0</v>
      </c>
      <c r="Z92" s="10" t="str">
        <f t="shared" si="146"/>
        <v>1.25e4</v>
      </c>
      <c r="AA92" s="4">
        <f t="shared" si="147"/>
        <v>4.096910013</v>
      </c>
      <c r="AB92" s="1">
        <f t="shared" si="148"/>
        <v>4</v>
      </c>
      <c r="AC92" s="10" t="str">
        <f t="shared" si="152"/>
        <v>1.25e4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ht="16.5" customHeight="1">
      <c r="A93" s="181">
        <v>6.0</v>
      </c>
      <c r="B93" s="1">
        <f>ROUND('特殊技能效益'!AF30,0)</f>
        <v>0</v>
      </c>
      <c r="C93" s="2">
        <f>IF(B93&gt;0, VLOOKUP(B93,'2.8 LS'!B$5:Q$504,A93+1,FALSE),1)</f>
        <v>1</v>
      </c>
      <c r="D93" s="4">
        <f t="shared" si="149"/>
        <v>0</v>
      </c>
      <c r="E93" s="1">
        <f t="shared" si="150"/>
        <v>0</v>
      </c>
      <c r="F93" s="206">
        <f t="shared" si="151"/>
        <v>1</v>
      </c>
      <c r="G93" s="201">
        <v>11.0</v>
      </c>
      <c r="H93" s="202">
        <v>23.4</v>
      </c>
      <c r="I93" s="202"/>
      <c r="J93" s="4"/>
      <c r="K93" s="4"/>
      <c r="L93" s="4"/>
      <c r="M93" s="10">
        <f t="shared" si="145"/>
        <v>15</v>
      </c>
      <c r="N93" s="10" t="str">
        <f t="shared" si="140"/>
        <v>灼熱之光</v>
      </c>
      <c r="O93" s="10" t="str">
        <f>'技能模擬器'!N42</f>
        <v>0%</v>
      </c>
      <c r="P93" s="197">
        <f t="shared" si="141"/>
        <v>0.00000093</v>
      </c>
      <c r="Q93" s="197">
        <f>IF('技能模擬器'!C53="是",1,0)</f>
        <v>1</v>
      </c>
      <c r="R93" s="197">
        <f t="shared" si="142"/>
        <v>0.17220095</v>
      </c>
      <c r="S93" s="10" t="str">
        <f t="shared" si="143"/>
        <v>17.22%</v>
      </c>
      <c r="T93" s="10" t="str">
        <f t="shared" si="144"/>
        <v>星體覺醒</v>
      </c>
      <c r="U93" s="1"/>
      <c r="V93" s="183"/>
      <c r="W93" s="183"/>
      <c r="X93" s="205"/>
      <c r="Y93" s="120">
        <v>7.0</v>
      </c>
      <c r="Z93" s="10" t="str">
        <f t="shared" si="146"/>
        <v>1.84e5</v>
      </c>
      <c r="AA93" s="4">
        <f t="shared" si="147"/>
        <v>5.264817823</v>
      </c>
      <c r="AB93" s="1">
        <f t="shared" si="148"/>
        <v>5</v>
      </c>
      <c r="AC93" s="10" t="str">
        <f t="shared" si="152"/>
        <v>1.84e5</v>
      </c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ht="16.5" customHeight="1">
      <c r="A94" s="181">
        <v>7.0</v>
      </c>
      <c r="B94" s="1">
        <f>ROUND('特殊技能效益'!AF31,0)</f>
        <v>0</v>
      </c>
      <c r="C94" s="2">
        <f>IF(B94&gt;0, VLOOKUP(B94,'2.8 LS'!B$5:Q$504,A94+1,FALSE),1)</f>
        <v>1</v>
      </c>
      <c r="D94" s="4">
        <f t="shared" si="149"/>
        <v>0</v>
      </c>
      <c r="E94" s="1">
        <f t="shared" si="150"/>
        <v>0</v>
      </c>
      <c r="F94" s="206">
        <f t="shared" si="151"/>
        <v>1</v>
      </c>
      <c r="G94" s="201">
        <v>12.0</v>
      </c>
      <c r="H94" s="202">
        <v>26.8</v>
      </c>
      <c r="I94" s="202"/>
      <c r="J94" s="4"/>
      <c r="K94" s="4"/>
      <c r="L94" s="4"/>
      <c r="M94" s="10">
        <f t="shared" si="145"/>
        <v>16</v>
      </c>
      <c r="N94" s="10" t="str">
        <f t="shared" si="140"/>
        <v>聯合進擊</v>
      </c>
      <c r="O94" s="10" t="str">
        <f>'技能模擬器'!S42</f>
        <v>15.83%</v>
      </c>
      <c r="P94" s="197">
        <f t="shared" si="141"/>
        <v>0.15830094</v>
      </c>
      <c r="Q94" s="197">
        <f>IF('技能模擬器'!C54="是",1,0)</f>
        <v>1</v>
      </c>
      <c r="R94" s="197">
        <f t="shared" si="142"/>
        <v>0.17060106</v>
      </c>
      <c r="S94" s="10" t="str">
        <f t="shared" si="143"/>
        <v>17.06%</v>
      </c>
      <c r="T94" s="10" t="str">
        <f t="shared" si="144"/>
        <v>次元轉移</v>
      </c>
      <c r="U94" s="1"/>
      <c r="V94" s="183"/>
      <c r="W94" s="183"/>
      <c r="X94" s="205"/>
      <c r="Y94" s="120">
        <v>8.0</v>
      </c>
      <c r="Z94" s="10" t="str">
        <f t="shared" si="146"/>
        <v>4.77e6</v>
      </c>
      <c r="AA94" s="4">
        <f t="shared" si="147"/>
        <v>6.678518379</v>
      </c>
      <c r="AB94" s="1">
        <f t="shared" si="148"/>
        <v>6</v>
      </c>
      <c r="AC94" s="10" t="str">
        <f t="shared" si="152"/>
        <v>4.77e6</v>
      </c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ht="16.5" customHeight="1">
      <c r="A95" s="181">
        <v>8.0</v>
      </c>
      <c r="B95" s="1">
        <f>ROUND('特殊技能效益'!AF32,0)</f>
        <v>0</v>
      </c>
      <c r="C95" s="2">
        <f>IF(B95&gt;0, VLOOKUP(B95,'2.8 LS'!B$5:Q$504,A95+1,FALSE),1)</f>
        <v>1</v>
      </c>
      <c r="D95" s="4">
        <f t="shared" si="149"/>
        <v>0</v>
      </c>
      <c r="E95" s="1">
        <f t="shared" si="150"/>
        <v>0</v>
      </c>
      <c r="F95" s="206">
        <f t="shared" si="151"/>
        <v>1</v>
      </c>
      <c r="G95" s="201">
        <v>13.0</v>
      </c>
      <c r="H95" s="202">
        <v>30.4</v>
      </c>
      <c r="I95" s="202"/>
      <c r="J95" s="4"/>
      <c r="K95" s="4"/>
      <c r="L95" s="4"/>
      <c r="M95" s="10">
        <f t="shared" si="145"/>
        <v>17</v>
      </c>
      <c r="N95" s="10" t="str">
        <f t="shared" si="140"/>
        <v>星體覺醒</v>
      </c>
      <c r="O95" s="10" t="str">
        <f>'技能模擬器'!I48</f>
        <v>17.22%</v>
      </c>
      <c r="P95" s="197">
        <f t="shared" si="141"/>
        <v>0.17220095</v>
      </c>
      <c r="Q95" s="197">
        <f>IF('技能模擬器'!C55="是",1,0)</f>
        <v>1</v>
      </c>
      <c r="R95" s="197">
        <f t="shared" si="142"/>
        <v>0.15830094</v>
      </c>
      <c r="S95" s="10" t="str">
        <f t="shared" si="143"/>
        <v>15.83%</v>
      </c>
      <c r="T95" s="10" t="str">
        <f t="shared" si="144"/>
        <v>聯合進擊</v>
      </c>
      <c r="U95" s="1"/>
      <c r="V95" s="183"/>
      <c r="W95" s="183"/>
      <c r="X95" s="205"/>
      <c r="Y95" s="120">
        <v>9.0</v>
      </c>
      <c r="Z95" s="10" t="str">
        <f t="shared" si="146"/>
        <v>2.31e8</v>
      </c>
      <c r="AA95" s="4">
        <f t="shared" si="147"/>
        <v>8.36361198</v>
      </c>
      <c r="AB95" s="1">
        <f t="shared" si="148"/>
        <v>8</v>
      </c>
      <c r="AC95" s="10" t="str">
        <f t="shared" si="152"/>
        <v>2.31e8</v>
      </c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ht="16.5" customHeight="1">
      <c r="A96" s="181">
        <v>9.0</v>
      </c>
      <c r="B96" s="1">
        <f>ROUND('特殊技能效益'!AF33,0)</f>
        <v>0</v>
      </c>
      <c r="C96" s="2">
        <f>IF(B96&gt;0, VLOOKUP(B96,'2.8 LS'!B$5:Q$504,A96+1,FALSE),1)</f>
        <v>1</v>
      </c>
      <c r="D96" s="4">
        <f t="shared" si="149"/>
        <v>0</v>
      </c>
      <c r="E96" s="1">
        <f t="shared" si="150"/>
        <v>0</v>
      </c>
      <c r="F96" s="206">
        <f t="shared" si="151"/>
        <v>1</v>
      </c>
      <c r="G96" s="201">
        <v>14.0</v>
      </c>
      <c r="H96" s="202">
        <v>34.2</v>
      </c>
      <c r="I96" s="202"/>
      <c r="J96" s="4"/>
      <c r="K96" s="4"/>
      <c r="L96" s="4"/>
      <c r="M96" s="10">
        <f t="shared" si="145"/>
        <v>18</v>
      </c>
      <c r="N96" s="10" t="str">
        <f t="shared" si="140"/>
        <v>禁錮射擊</v>
      </c>
      <c r="O96" s="10" t="str">
        <f>'技能模擬器'!S48</f>
        <v>51.83%</v>
      </c>
      <c r="P96" s="197">
        <f t="shared" si="141"/>
        <v>0.51830096</v>
      </c>
      <c r="Q96" s="197">
        <f>IF('技能模擬器'!C56="是",1,0)</f>
        <v>1</v>
      </c>
      <c r="R96" s="197">
        <f t="shared" si="142"/>
        <v>0.09540088</v>
      </c>
      <c r="S96" s="10" t="str">
        <f t="shared" si="143"/>
        <v>9.54%</v>
      </c>
      <c r="T96" s="10" t="str">
        <f t="shared" si="144"/>
        <v>指揮官大師</v>
      </c>
      <c r="U96" s="1"/>
      <c r="V96" s="183"/>
      <c r="W96" s="183"/>
      <c r="X96" s="205"/>
      <c r="Y96" s="120">
        <v>10.0</v>
      </c>
      <c r="Z96" s="10" t="str">
        <f t="shared" si="146"/>
        <v>2.41e10</v>
      </c>
      <c r="AA96" s="4">
        <f t="shared" si="147"/>
        <v>10.38201704</v>
      </c>
      <c r="AB96" s="1">
        <f t="shared" si="148"/>
        <v>10</v>
      </c>
      <c r="AC96" s="10" t="str">
        <f t="shared" si="152"/>
        <v>2.41e10</v>
      </c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ht="16.5" customHeight="1">
      <c r="A97" s="181">
        <v>10.0</v>
      </c>
      <c r="B97" s="1">
        <f>ROUND('特殊技能效益'!AF34,0)</f>
        <v>0</v>
      </c>
      <c r="C97" s="2">
        <f>IF(B97&gt;0, VLOOKUP(B97,'2.8 LS'!B$5:Q$504,A97+1,FALSE),1)</f>
        <v>1</v>
      </c>
      <c r="D97" s="4">
        <f t="shared" si="149"/>
        <v>0</v>
      </c>
      <c r="E97" s="1">
        <f t="shared" si="150"/>
        <v>0</v>
      </c>
      <c r="F97" s="206">
        <f t="shared" si="151"/>
        <v>1</v>
      </c>
      <c r="G97" s="201">
        <v>15.0</v>
      </c>
      <c r="H97" s="202">
        <v>38.2</v>
      </c>
      <c r="I97" s="202"/>
      <c r="J97" s="4"/>
      <c r="K97" s="4"/>
      <c r="L97" s="4"/>
      <c r="M97" s="10">
        <f t="shared" si="145"/>
        <v>19</v>
      </c>
      <c r="N97" s="10" t="str">
        <f t="shared" si="140"/>
        <v>界限突破</v>
      </c>
      <c r="O97" s="203">
        <v>0.0</v>
      </c>
      <c r="P97" s="197">
        <f t="shared" si="141"/>
        <v>0.00000097</v>
      </c>
      <c r="Q97" s="197">
        <f>IF('技能模擬器'!C57="是",1,0)</f>
        <v>1</v>
      </c>
      <c r="R97" s="197">
        <f t="shared" si="142"/>
        <v>0.00000113</v>
      </c>
      <c r="S97" s="10" t="str">
        <f t="shared" si="143"/>
        <v>0%</v>
      </c>
      <c r="T97" s="10" t="str">
        <f t="shared" si="144"/>
        <v>闇影殺手</v>
      </c>
      <c r="U97" s="1"/>
      <c r="V97" s="183"/>
      <c r="W97" s="183"/>
      <c r="X97" s="205"/>
      <c r="Y97" s="120">
        <v>11.0</v>
      </c>
      <c r="Z97" s="10" t="str">
        <f t="shared" si="146"/>
        <v>6.88e12</v>
      </c>
      <c r="AA97" s="4">
        <f t="shared" si="147"/>
        <v>12.83758844</v>
      </c>
      <c r="AB97" s="1">
        <f t="shared" si="148"/>
        <v>12</v>
      </c>
      <c r="AC97" s="10" t="str">
        <f t="shared" si="152"/>
        <v>6.88e12</v>
      </c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ht="16.5" customHeight="1">
      <c r="A98" s="181">
        <v>11.0</v>
      </c>
      <c r="B98" s="1">
        <f>ROUND('特殊技能效益'!AF35,0)</f>
        <v>0</v>
      </c>
      <c r="C98" s="2">
        <f>IF(B98&gt;0, VLOOKUP(B98,'2.8 LS'!B$5:Q$504,A98+1,FALSE),1)</f>
        <v>1</v>
      </c>
      <c r="D98" s="4">
        <f t="shared" si="149"/>
        <v>0</v>
      </c>
      <c r="E98" s="1">
        <f t="shared" si="150"/>
        <v>0</v>
      </c>
      <c r="F98" s="206">
        <f t="shared" si="151"/>
        <v>1</v>
      </c>
      <c r="G98" s="201">
        <v>16.0</v>
      </c>
      <c r="H98" s="202">
        <v>42.2</v>
      </c>
      <c r="I98" s="202"/>
      <c r="J98" s="4"/>
      <c r="K98" s="4"/>
      <c r="L98" s="4"/>
      <c r="M98" s="10">
        <f t="shared" si="145"/>
        <v>20</v>
      </c>
      <c r="N98" s="10" t="str">
        <f t="shared" si="140"/>
        <v>終極米達斯</v>
      </c>
      <c r="O98" s="10" t="str">
        <f>'技能模擬器'!Y11</f>
        <v>55.4%</v>
      </c>
      <c r="P98" s="197">
        <f t="shared" si="141"/>
        <v>0.55400098</v>
      </c>
      <c r="Q98" s="197">
        <f>IF('技能模擬器'!C58="是",1,0)</f>
        <v>1</v>
      </c>
      <c r="R98" s="197">
        <f t="shared" si="142"/>
        <v>0.00000112</v>
      </c>
      <c r="S98" s="10" t="str">
        <f t="shared" si="143"/>
        <v>0%</v>
      </c>
      <c r="T98" s="10" t="str">
        <f t="shared" si="144"/>
        <v>幽靈船</v>
      </c>
      <c r="U98" s="1"/>
      <c r="V98" s="183"/>
      <c r="W98" s="183"/>
      <c r="X98" s="205"/>
      <c r="Y98" s="120">
        <v>12.0</v>
      </c>
      <c r="Z98" s="10" t="str">
        <f t="shared" si="146"/>
        <v>6.46e15</v>
      </c>
      <c r="AA98" s="4">
        <f t="shared" si="147"/>
        <v>15.81023252</v>
      </c>
      <c r="AB98" s="1">
        <f t="shared" si="148"/>
        <v>15</v>
      </c>
      <c r="AC98" s="10" t="str">
        <f t="shared" si="152"/>
        <v>6.46e15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ht="16.5" customHeight="1">
      <c r="A99" s="181">
        <v>12.0</v>
      </c>
      <c r="B99" s="1">
        <f>ROUND('特殊技能效益'!AF36,0)</f>
        <v>0</v>
      </c>
      <c r="C99" s="2">
        <f>IF(B99&gt;0, VLOOKUP(B99,'2.8 LS'!B$5:Q$504,A99+1,FALSE),1)</f>
        <v>1</v>
      </c>
      <c r="D99" s="4">
        <f t="shared" si="149"/>
        <v>0</v>
      </c>
      <c r="E99" s="1">
        <f t="shared" si="150"/>
        <v>0</v>
      </c>
      <c r="F99" s="206">
        <f t="shared" si="151"/>
        <v>1</v>
      </c>
      <c r="G99" s="201">
        <v>17.0</v>
      </c>
      <c r="H99" s="202">
        <v>46.4</v>
      </c>
      <c r="I99" s="202"/>
      <c r="J99" s="4"/>
      <c r="K99" s="4"/>
      <c r="L99" s="4"/>
      <c r="M99" s="10">
        <f t="shared" si="145"/>
        <v>21</v>
      </c>
      <c r="N99" s="10" t="str">
        <f t="shared" si="140"/>
        <v>天使光輝</v>
      </c>
      <c r="O99" s="10" t="str">
        <f>'技能模擬器'!AD11</f>
        <v>0%</v>
      </c>
      <c r="P99" s="197">
        <f t="shared" si="141"/>
        <v>0.00000099</v>
      </c>
      <c r="Q99" s="197">
        <f>IF('技能模擬器'!C59="是",1,0)</f>
        <v>1</v>
      </c>
      <c r="R99" s="197">
        <f t="shared" si="142"/>
        <v>0.00000109</v>
      </c>
      <c r="S99" s="10" t="str">
        <f t="shared" si="143"/>
        <v>0%</v>
      </c>
      <c r="T99" s="10" t="str">
        <f t="shared" si="144"/>
        <v>沉默行軍</v>
      </c>
      <c r="U99" s="4"/>
      <c r="V99" s="192"/>
      <c r="W99" s="192"/>
      <c r="X99" s="192"/>
      <c r="Y99" s="120">
        <v>13.0</v>
      </c>
      <c r="Z99" s="10" t="str">
        <f t="shared" si="146"/>
        <v>2.65e19</v>
      </c>
      <c r="AA99" s="4">
        <f t="shared" si="147"/>
        <v>19.42324587</v>
      </c>
      <c r="AB99" s="1">
        <f t="shared" si="148"/>
        <v>19</v>
      </c>
      <c r="AC99" s="10" t="str">
        <f t="shared" si="152"/>
        <v>2.65e19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ht="16.5" customHeight="1">
      <c r="A100" s="181">
        <v>13.0</v>
      </c>
      <c r="B100" s="1">
        <f>ROUND('特殊技能效益'!AF37,0)</f>
        <v>0</v>
      </c>
      <c r="C100" s="2">
        <f>IF(B100&gt;0, VLOOKUP(B100,'2.8 LS'!B$5:Q$504,A100+1,FALSE),1)</f>
        <v>1</v>
      </c>
      <c r="D100" s="4">
        <f t="shared" si="149"/>
        <v>0</v>
      </c>
      <c r="E100" s="1">
        <f t="shared" si="150"/>
        <v>0</v>
      </c>
      <c r="F100" s="206">
        <f t="shared" si="151"/>
        <v>1</v>
      </c>
      <c r="G100" s="201">
        <v>18.0</v>
      </c>
      <c r="H100" s="202">
        <v>50.8</v>
      </c>
      <c r="I100" s="202"/>
      <c r="J100" s="4"/>
      <c r="K100" s="4"/>
      <c r="L100" s="4"/>
      <c r="M100" s="10">
        <f t="shared" si="145"/>
        <v>22</v>
      </c>
      <c r="N100" s="10" t="str">
        <f t="shared" si="140"/>
        <v>幻影復仇</v>
      </c>
      <c r="O100" s="10" t="str">
        <f>'技能模擬器'!AI11</f>
        <v>0%</v>
      </c>
      <c r="P100" s="197">
        <f t="shared" si="141"/>
        <v>0.000001</v>
      </c>
      <c r="Q100" s="197">
        <f>IF('技能模擬器'!C60="是",1,0)</f>
        <v>1</v>
      </c>
      <c r="R100" s="197">
        <f t="shared" si="142"/>
        <v>0.00000108</v>
      </c>
      <c r="S100" s="10" t="str">
        <f t="shared" si="143"/>
        <v>0%</v>
      </c>
      <c r="T100" s="10" t="str">
        <f t="shared" si="144"/>
        <v>暗殺</v>
      </c>
      <c r="U100" s="4"/>
      <c r="V100" s="192"/>
      <c r="W100" s="192"/>
      <c r="X100" s="192"/>
      <c r="Y100" s="120">
        <v>14.0</v>
      </c>
      <c r="Z100" s="10" t="str">
        <f t="shared" si="146"/>
        <v>6.93e23</v>
      </c>
      <c r="AA100" s="4">
        <f t="shared" si="147"/>
        <v>23.84073323</v>
      </c>
      <c r="AB100" s="1">
        <f t="shared" si="148"/>
        <v>23</v>
      </c>
      <c r="AC100" s="10" t="str">
        <f t="shared" si="152"/>
        <v>6.93e23</v>
      </c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ht="16.5" customHeight="1">
      <c r="A101" s="181">
        <v>14.0</v>
      </c>
      <c r="B101" s="1">
        <f>ROUND('特殊技能效益'!AF38,0)</f>
        <v>0</v>
      </c>
      <c r="C101" s="2">
        <f>IF(B101&gt;0, VLOOKUP(B101,'2.8 LS'!B$5:Q$504,A101+1,FALSE),1)</f>
        <v>1</v>
      </c>
      <c r="D101" s="4">
        <f t="shared" si="149"/>
        <v>0</v>
      </c>
      <c r="E101" s="1">
        <f t="shared" si="150"/>
        <v>0</v>
      </c>
      <c r="F101" s="206">
        <f t="shared" si="151"/>
        <v>1</v>
      </c>
      <c r="G101" s="201">
        <v>19.0</v>
      </c>
      <c r="H101" s="202">
        <v>55.3</v>
      </c>
      <c r="I101" s="202"/>
      <c r="J101" s="4"/>
      <c r="K101" s="4"/>
      <c r="L101" s="4"/>
      <c r="M101" s="10">
        <f t="shared" si="145"/>
        <v>23</v>
      </c>
      <c r="N101" s="10" t="str">
        <f t="shared" si="140"/>
        <v>妖精魅力</v>
      </c>
      <c r="O101" s="120" t="s">
        <v>52</v>
      </c>
      <c r="P101" s="197">
        <f t="shared" si="141"/>
        <v>-0.99999899</v>
      </c>
      <c r="Q101" s="197">
        <f>IF('技能模擬器'!C61="是",1,0)</f>
        <v>1</v>
      </c>
      <c r="R101" s="197">
        <f t="shared" si="142"/>
        <v>0.000001</v>
      </c>
      <c r="S101" s="10" t="str">
        <f t="shared" si="143"/>
        <v>0%</v>
      </c>
      <c r="T101" s="10" t="str">
        <f t="shared" si="144"/>
        <v>幻影復仇</v>
      </c>
      <c r="U101" s="4"/>
      <c r="V101" s="192"/>
      <c r="W101" s="192"/>
      <c r="X101" s="192"/>
      <c r="Y101" s="120">
        <v>15.0</v>
      </c>
      <c r="Z101" s="10" t="str">
        <f t="shared" si="146"/>
        <v>2.04e29</v>
      </c>
      <c r="AA101" s="4">
        <f t="shared" si="147"/>
        <v>29.30963017</v>
      </c>
      <c r="AB101" s="1">
        <f t="shared" si="148"/>
        <v>29</v>
      </c>
      <c r="AC101" s="10" t="str">
        <f t="shared" si="152"/>
        <v>2.04e29</v>
      </c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ht="16.5" customHeight="1">
      <c r="A102" s="181">
        <v>15.0</v>
      </c>
      <c r="B102" s="1">
        <f>ROUND('特殊技能效益'!AF39,0)</f>
        <v>0</v>
      </c>
      <c r="C102" s="2">
        <f>IF(B102&gt;0, VLOOKUP(B102,'2.8 LS'!B$5:Q$504,A102+1,FALSE),1)</f>
        <v>1</v>
      </c>
      <c r="D102" s="4">
        <f t="shared" si="149"/>
        <v>0</v>
      </c>
      <c r="E102" s="1">
        <f t="shared" si="150"/>
        <v>0</v>
      </c>
      <c r="F102" s="206">
        <f t="shared" si="151"/>
        <v>1</v>
      </c>
      <c r="G102" s="201">
        <v>20.0</v>
      </c>
      <c r="H102" s="207">
        <v>60.3</v>
      </c>
      <c r="I102" s="202"/>
      <c r="J102" s="4"/>
      <c r="K102" s="4"/>
      <c r="L102" s="4"/>
      <c r="M102" s="10">
        <f t="shared" si="145"/>
        <v>24</v>
      </c>
      <c r="N102" s="10" t="str">
        <f t="shared" si="140"/>
        <v>魔力抽取</v>
      </c>
      <c r="O102" s="120" t="s">
        <v>52</v>
      </c>
      <c r="P102" s="197">
        <f t="shared" si="141"/>
        <v>-0.99999898</v>
      </c>
      <c r="Q102" s="197">
        <f>IF('技能模擬器'!C62="是",1,0)</f>
        <v>1</v>
      </c>
      <c r="R102" s="197">
        <f t="shared" si="142"/>
        <v>0.00000099</v>
      </c>
      <c r="S102" s="10" t="str">
        <f t="shared" si="143"/>
        <v>0%</v>
      </c>
      <c r="T102" s="10" t="str">
        <f t="shared" si="144"/>
        <v>天使光輝</v>
      </c>
      <c r="U102" s="4"/>
      <c r="V102" s="192"/>
      <c r="W102" s="192"/>
      <c r="X102" s="192"/>
      <c r="Y102" s="183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ht="16.5" customHeight="1">
      <c r="A103" s="1"/>
      <c r="B103" s="4"/>
      <c r="C103" s="199"/>
      <c r="D103" s="4"/>
      <c r="E103" s="4"/>
      <c r="F103" s="192"/>
      <c r="G103" s="20">
        <v>21.0</v>
      </c>
      <c r="H103" s="16">
        <v>64.8</v>
      </c>
      <c r="I103" s="202"/>
      <c r="J103" s="4"/>
      <c r="K103" s="4"/>
      <c r="L103" s="4"/>
      <c r="M103" s="10">
        <f t="shared" si="145"/>
        <v>25</v>
      </c>
      <c r="N103" s="10" t="str">
        <f t="shared" si="140"/>
        <v>永恆黑暗</v>
      </c>
      <c r="O103" s="120" t="s">
        <v>52</v>
      </c>
      <c r="P103" s="197">
        <f t="shared" si="141"/>
        <v>-0.99999897</v>
      </c>
      <c r="Q103" s="197">
        <f>IF('技能模擬器'!C63="是",1,0)</f>
        <v>1</v>
      </c>
      <c r="R103" s="197">
        <f t="shared" si="142"/>
        <v>0.00000097</v>
      </c>
      <c r="S103" s="10" t="str">
        <f t="shared" si="143"/>
        <v>0%</v>
      </c>
      <c r="T103" s="10" t="str">
        <f t="shared" si="144"/>
        <v>界限突破</v>
      </c>
      <c r="U103" s="4"/>
      <c r="V103" s="192"/>
      <c r="W103" s="192"/>
      <c r="X103" s="192"/>
      <c r="Y103" s="183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ht="16.5" customHeight="1">
      <c r="A104" s="1"/>
      <c r="B104" s="4"/>
      <c r="C104" s="199"/>
      <c r="D104" s="4"/>
      <c r="E104" s="4"/>
      <c r="F104" s="4"/>
      <c r="G104" s="20">
        <v>22.0</v>
      </c>
      <c r="H104" s="16">
        <v>69.5</v>
      </c>
      <c r="I104" s="202"/>
      <c r="J104" s="4"/>
      <c r="K104" s="4"/>
      <c r="L104" s="4"/>
      <c r="M104" s="10">
        <f t="shared" si="145"/>
        <v>26</v>
      </c>
      <c r="N104" s="10" t="str">
        <f t="shared" si="140"/>
        <v>魔力瑪尼</v>
      </c>
      <c r="O104" s="120" t="s">
        <v>52</v>
      </c>
      <c r="P104" s="197">
        <f t="shared" si="141"/>
        <v>-0.99999896</v>
      </c>
      <c r="Q104" s="197">
        <f>IF('技能模擬器'!C64="是",1,0)</f>
        <v>1</v>
      </c>
      <c r="R104" s="197">
        <f t="shared" si="142"/>
        <v>0.00000093</v>
      </c>
      <c r="S104" s="10" t="str">
        <f t="shared" si="143"/>
        <v>0%</v>
      </c>
      <c r="T104" s="10" t="str">
        <f t="shared" si="144"/>
        <v>灼熱之光</v>
      </c>
      <c r="U104" s="4"/>
      <c r="V104" s="192"/>
      <c r="W104" s="192"/>
      <c r="X104" s="192"/>
      <c r="Y104" s="183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ht="16.5" customHeight="1">
      <c r="A105" s="20">
        <v>1.0</v>
      </c>
      <c r="B105" s="208">
        <f>'2.8 LS'!C504</f>
        <v>5.241157176</v>
      </c>
      <c r="C105" s="4">
        <f t="shared" ref="C105:C119" si="153">LOG(B105)</f>
        <v>0.7194271839</v>
      </c>
      <c r="D105" s="1">
        <f t="shared" ref="D105:D119" si="154">FLOOR(C105,1)</f>
        <v>0</v>
      </c>
      <c r="E105" s="209">
        <f t="shared" ref="E105:E119" si="155">IF(C105&lt;3,B105,ROUND(10^(C105-D105),2)&amp;"e"&amp;D105)</f>
        <v>5.241157176</v>
      </c>
      <c r="F105" s="1"/>
      <c r="G105" s="20">
        <v>23.0</v>
      </c>
      <c r="H105" s="16">
        <v>74.2</v>
      </c>
      <c r="I105" s="202"/>
      <c r="J105" s="4"/>
      <c r="K105" s="4"/>
      <c r="L105" s="4"/>
      <c r="M105" s="10">
        <f t="shared" si="145"/>
        <v>27</v>
      </c>
      <c r="N105" s="10" t="str">
        <f t="shared" si="140"/>
        <v>閃電雷擊</v>
      </c>
      <c r="O105" s="120" t="s">
        <v>52</v>
      </c>
      <c r="P105" s="197">
        <f t="shared" si="141"/>
        <v>-0.99999895</v>
      </c>
      <c r="Q105" s="197">
        <f>IF('技能模擬器'!C65="是",1,0)</f>
        <v>1</v>
      </c>
      <c r="R105" s="197">
        <f t="shared" si="142"/>
        <v>0.00000091</v>
      </c>
      <c r="S105" s="10" t="str">
        <f t="shared" si="143"/>
        <v>0%</v>
      </c>
      <c r="T105" s="10" t="str">
        <f t="shared" si="144"/>
        <v>空中突擊</v>
      </c>
      <c r="U105" s="4"/>
      <c r="V105" s="192"/>
      <c r="W105" s="192"/>
      <c r="X105" s="192"/>
      <c r="Y105" s="183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ht="16.5" customHeight="1">
      <c r="A106" s="20">
        <v>2.0</v>
      </c>
      <c r="B106" s="208">
        <f>'2.8 LS'!D504</f>
        <v>14.9839644</v>
      </c>
      <c r="C106" s="4">
        <f t="shared" si="153"/>
        <v>1.175626732</v>
      </c>
      <c r="D106" s="1">
        <f t="shared" si="154"/>
        <v>1</v>
      </c>
      <c r="E106" s="209">
        <f t="shared" si="155"/>
        <v>14.9839644</v>
      </c>
      <c r="F106" s="4"/>
      <c r="G106" s="20">
        <v>24.0</v>
      </c>
      <c r="H106" s="16">
        <v>79.0</v>
      </c>
      <c r="I106" s="202"/>
      <c r="J106" s="4"/>
      <c r="K106" s="4"/>
      <c r="L106" s="4"/>
      <c r="M106" s="10">
        <f t="shared" si="145"/>
        <v>28</v>
      </c>
      <c r="N106" s="10" t="str">
        <f t="shared" si="140"/>
        <v>次元轉移</v>
      </c>
      <c r="O106" s="10" t="str">
        <f>'技能模擬器'!AI23</f>
        <v>17.06%</v>
      </c>
      <c r="P106" s="197">
        <f t="shared" si="141"/>
        <v>0.17060106</v>
      </c>
      <c r="Q106" s="197">
        <f>IF('技能模擬器'!C66="是",1,0)</f>
        <v>1</v>
      </c>
      <c r="R106" s="197">
        <f t="shared" si="142"/>
        <v>0.00000089</v>
      </c>
      <c r="S106" s="10" t="str">
        <f t="shared" si="143"/>
        <v>0%</v>
      </c>
      <c r="T106" s="10" t="str">
        <f t="shared" si="144"/>
        <v>戰利品</v>
      </c>
      <c r="U106" s="4"/>
      <c r="V106" s="192"/>
      <c r="W106" s="192"/>
      <c r="X106" s="192"/>
      <c r="Y106" s="183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ht="16.5" customHeight="1">
      <c r="A107" s="20">
        <v>3.0</v>
      </c>
      <c r="B107" s="208">
        <f>'2.8 LS'!E504</f>
        <v>50.3225848</v>
      </c>
      <c r="C107" s="4">
        <f t="shared" si="153"/>
        <v>1.70176294</v>
      </c>
      <c r="D107" s="1">
        <f t="shared" si="154"/>
        <v>1</v>
      </c>
      <c r="E107" s="209">
        <f t="shared" si="155"/>
        <v>50.3225848</v>
      </c>
      <c r="F107" s="4"/>
      <c r="G107" s="20">
        <v>25.0</v>
      </c>
      <c r="H107" s="16">
        <v>84.0</v>
      </c>
      <c r="I107" s="202"/>
      <c r="J107" s="4"/>
      <c r="K107" s="4"/>
      <c r="L107" s="4"/>
      <c r="M107" s="10">
        <f t="shared" si="145"/>
        <v>29</v>
      </c>
      <c r="N107" s="10" t="str">
        <f t="shared" si="140"/>
        <v>竊盜大師</v>
      </c>
      <c r="O107" s="10" t="str">
        <f>'技能模擬器'!AD30</f>
        <v>42.26%</v>
      </c>
      <c r="P107" s="197">
        <f t="shared" si="141"/>
        <v>0.42260107</v>
      </c>
      <c r="Q107" s="197">
        <f>IF('技能模擬器'!C67="是",1,0)</f>
        <v>1</v>
      </c>
      <c r="R107" s="197">
        <f t="shared" si="142"/>
        <v>0.00000083</v>
      </c>
      <c r="S107" s="10" t="str">
        <f t="shared" si="143"/>
        <v>0%</v>
      </c>
      <c r="T107" s="10" t="str">
        <f t="shared" si="144"/>
        <v>劈斬</v>
      </c>
      <c r="U107" s="4"/>
      <c r="V107" s="192"/>
      <c r="W107" s="192"/>
      <c r="X107" s="192"/>
      <c r="Y107" s="183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ht="16.5" customHeight="1">
      <c r="A108" s="20">
        <v>4.0</v>
      </c>
      <c r="B108" s="208">
        <f>'2.8 LS'!F504</f>
        <v>229.3756314</v>
      </c>
      <c r="C108" s="4">
        <f t="shared" si="153"/>
        <v>2.360547277</v>
      </c>
      <c r="D108" s="1">
        <f t="shared" si="154"/>
        <v>2</v>
      </c>
      <c r="E108" s="209">
        <f t="shared" si="155"/>
        <v>229.3756314</v>
      </c>
      <c r="F108" s="4"/>
      <c r="G108" s="201"/>
      <c r="H108" s="202"/>
      <c r="I108" s="202"/>
      <c r="J108" s="4"/>
      <c r="K108" s="4"/>
      <c r="L108" s="4"/>
      <c r="M108" s="10">
        <f t="shared" si="145"/>
        <v>30</v>
      </c>
      <c r="N108" s="10" t="str">
        <f t="shared" si="140"/>
        <v>暗殺</v>
      </c>
      <c r="O108" s="10" t="str">
        <f>'技能模擬器'!Y36</f>
        <v>0%</v>
      </c>
      <c r="P108" s="197">
        <f t="shared" si="141"/>
        <v>0.00000108</v>
      </c>
      <c r="Q108" s="197">
        <f>IF('技能模擬器'!C68="是",1,0)</f>
        <v>1</v>
      </c>
      <c r="R108" s="197">
        <f t="shared" si="142"/>
        <v>-0.9999989</v>
      </c>
      <c r="S108" s="10" t="str">
        <f t="shared" si="143"/>
        <v>-100%</v>
      </c>
      <c r="T108" s="10" t="str">
        <f t="shared" si="144"/>
        <v>伏擊</v>
      </c>
      <c r="U108" s="4"/>
      <c r="V108" s="192"/>
      <c r="W108" s="192"/>
      <c r="X108" s="192"/>
      <c r="Y108" s="183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ht="16.5" customHeight="1">
      <c r="A109" s="20">
        <v>5.0</v>
      </c>
      <c r="B109" s="208">
        <f>'2.8 LS'!G504</f>
        <v>1385.331269</v>
      </c>
      <c r="C109" s="4">
        <f t="shared" si="153"/>
        <v>3.141553637</v>
      </c>
      <c r="D109" s="1">
        <f t="shared" si="154"/>
        <v>3</v>
      </c>
      <c r="E109" s="209" t="str">
        <f t="shared" si="155"/>
        <v>1.39e3</v>
      </c>
      <c r="F109" s="1"/>
      <c r="G109" s="1"/>
      <c r="H109" s="1"/>
      <c r="I109" s="1"/>
      <c r="J109" s="1"/>
      <c r="K109" s="1"/>
      <c r="L109" s="4"/>
      <c r="M109" s="10">
        <f t="shared" si="145"/>
        <v>31</v>
      </c>
      <c r="N109" s="10" t="str">
        <f t="shared" si="140"/>
        <v>沉默行軍</v>
      </c>
      <c r="O109" s="10" t="str">
        <f>'技能模擬器'!AD36</f>
        <v>0%</v>
      </c>
      <c r="P109" s="197">
        <f t="shared" si="141"/>
        <v>0.00000109</v>
      </c>
      <c r="Q109" s="197">
        <f>IF('技能模擬器'!C69="是",1,0)</f>
        <v>1</v>
      </c>
      <c r="R109" s="197">
        <f t="shared" si="142"/>
        <v>-0.99999895</v>
      </c>
      <c r="S109" s="10" t="str">
        <f t="shared" si="143"/>
        <v>-100%</v>
      </c>
      <c r="T109" s="10" t="str">
        <f t="shared" si="144"/>
        <v>閃電雷擊</v>
      </c>
      <c r="U109" s="4"/>
      <c r="V109" s="192"/>
      <c r="W109" s="192"/>
      <c r="X109" s="192"/>
      <c r="Y109" s="183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ht="16.5" customHeight="1">
      <c r="A110" s="20">
        <v>6.0</v>
      </c>
      <c r="B110" s="208">
        <f>'2.8 LS'!H504</f>
        <v>12487.18447</v>
      </c>
      <c r="C110" s="4">
        <f t="shared" si="153"/>
        <v>4.096464527</v>
      </c>
      <c r="D110" s="1">
        <f t="shared" si="154"/>
        <v>4</v>
      </c>
      <c r="E110" s="191" t="str">
        <f t="shared" si="155"/>
        <v>1.25e4</v>
      </c>
      <c r="F110" s="1"/>
      <c r="G110" s="1"/>
      <c r="H110" s="1"/>
      <c r="I110" s="201"/>
      <c r="J110" s="4"/>
      <c r="K110" s="4"/>
      <c r="L110" s="4"/>
      <c r="M110" s="10">
        <f t="shared" si="145"/>
        <v>32</v>
      </c>
      <c r="N110" s="10" t="str">
        <f t="shared" si="140"/>
        <v>伏擊</v>
      </c>
      <c r="O110" s="120" t="s">
        <v>52</v>
      </c>
      <c r="P110" s="197">
        <f t="shared" si="141"/>
        <v>-0.9999989</v>
      </c>
      <c r="Q110" s="197">
        <f>IF('技能模擬器'!C70="是",1,0)</f>
        <v>1</v>
      </c>
      <c r="R110" s="197">
        <f t="shared" si="142"/>
        <v>-0.99999896</v>
      </c>
      <c r="S110" s="10" t="str">
        <f t="shared" si="143"/>
        <v>-100%</v>
      </c>
      <c r="T110" s="10" t="str">
        <f t="shared" si="144"/>
        <v>魔力瑪尼</v>
      </c>
      <c r="U110" s="4"/>
      <c r="V110" s="192"/>
      <c r="W110" s="192"/>
      <c r="X110" s="192"/>
      <c r="Y110" s="183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ht="16.5" customHeight="1">
      <c r="A111" s="20">
        <v>7.0</v>
      </c>
      <c r="B111" s="208">
        <f>'2.8 LS'!I504</f>
        <v>183967.9579</v>
      </c>
      <c r="C111" s="4">
        <f t="shared" si="153"/>
        <v>5.264742188</v>
      </c>
      <c r="D111" s="1">
        <f t="shared" si="154"/>
        <v>5</v>
      </c>
      <c r="E111" s="191" t="str">
        <f t="shared" si="155"/>
        <v>1.84e5</v>
      </c>
      <c r="F111" s="1"/>
      <c r="G111" s="1"/>
      <c r="H111" s="1"/>
      <c r="I111" s="1"/>
      <c r="J111" s="1"/>
      <c r="K111" s="1"/>
      <c r="L111" s="1"/>
      <c r="M111" s="10">
        <f t="shared" si="145"/>
        <v>33</v>
      </c>
      <c r="N111" s="10" t="str">
        <f t="shared" si="140"/>
        <v>暮色面紗</v>
      </c>
      <c r="O111" s="10" t="str">
        <f>'技能模擬器'!Y42</f>
        <v>740.9%</v>
      </c>
      <c r="P111" s="197">
        <f t="shared" si="141"/>
        <v>7.40900111</v>
      </c>
      <c r="Q111" s="197">
        <f>IF('技能模擬器'!C71="是",1,0)</f>
        <v>1</v>
      </c>
      <c r="R111" s="197">
        <f t="shared" si="142"/>
        <v>-0.99999897</v>
      </c>
      <c r="S111" s="10" t="str">
        <f t="shared" si="143"/>
        <v>-100%</v>
      </c>
      <c r="T111" s="10" t="str">
        <f t="shared" si="144"/>
        <v>永恆黑暗</v>
      </c>
      <c r="U111" s="4"/>
      <c r="V111" s="192"/>
      <c r="W111" s="192"/>
      <c r="X111" s="192"/>
      <c r="Y111" s="183"/>
      <c r="Z111" s="10"/>
      <c r="AA111" s="4"/>
      <c r="AB111" s="1"/>
      <c r="AC111" s="4"/>
      <c r="AD111" s="10"/>
      <c r="AE111" s="1"/>
      <c r="AF111" s="210"/>
      <c r="AG111" s="69"/>
      <c r="AH111" s="10"/>
      <c r="AI111" s="10"/>
      <c r="AJ111" s="10"/>
      <c r="AK111" s="1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ht="16.5" customHeight="1">
      <c r="A112" s="20">
        <v>8.0</v>
      </c>
      <c r="B112" s="208">
        <f>'2.8 LS'!J504</f>
        <v>4766292.27</v>
      </c>
      <c r="C112" s="4">
        <f t="shared" si="153"/>
        <v>6.67818067</v>
      </c>
      <c r="D112" s="1">
        <f t="shared" si="154"/>
        <v>6</v>
      </c>
      <c r="E112" s="191" t="str">
        <f t="shared" si="155"/>
        <v>4.77e6</v>
      </c>
      <c r="F112" s="1"/>
      <c r="G112" s="1"/>
      <c r="H112" s="1"/>
      <c r="I112" s="1"/>
      <c r="J112" s="1"/>
      <c r="K112" s="1"/>
      <c r="L112" s="1"/>
      <c r="M112" s="10">
        <f t="shared" si="145"/>
        <v>34</v>
      </c>
      <c r="N112" s="10" t="str">
        <f t="shared" si="140"/>
        <v>幽靈船</v>
      </c>
      <c r="O112" s="10" t="str">
        <f>'技能模擬器'!AD42</f>
        <v>0%</v>
      </c>
      <c r="P112" s="197">
        <f t="shared" si="141"/>
        <v>0.00000112</v>
      </c>
      <c r="Q112" s="197">
        <f>IF('技能模擬器'!C72="是",1,0)</f>
        <v>1</v>
      </c>
      <c r="R112" s="197">
        <f t="shared" si="142"/>
        <v>-0.99999898</v>
      </c>
      <c r="S112" s="10" t="str">
        <f t="shared" si="143"/>
        <v>-100%</v>
      </c>
      <c r="T112" s="10" t="str">
        <f t="shared" si="144"/>
        <v>魔力抽取</v>
      </c>
      <c r="U112" s="4"/>
      <c r="V112" s="192"/>
      <c r="W112" s="192"/>
      <c r="X112" s="192"/>
      <c r="Y112" s="183"/>
      <c r="Z112" s="10"/>
      <c r="AA112" s="4"/>
      <c r="AB112" s="1"/>
      <c r="AC112" s="4"/>
      <c r="AD112" s="10"/>
      <c r="AE112" s="1"/>
      <c r="AF112" s="210"/>
      <c r="AG112" s="69"/>
      <c r="AH112" s="10"/>
      <c r="AI112" s="10"/>
      <c r="AJ112" s="10"/>
      <c r="AK112" s="1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ht="16.5" customHeight="1">
      <c r="A113" s="20">
        <v>9.0</v>
      </c>
      <c r="B113" s="208">
        <f>'2.8 LS'!K504</f>
        <v>230569235.1</v>
      </c>
      <c r="C113" s="4">
        <f t="shared" si="153"/>
        <v>8.362801359</v>
      </c>
      <c r="D113" s="1">
        <f t="shared" si="154"/>
        <v>8</v>
      </c>
      <c r="E113" s="191" t="str">
        <f t="shared" si="155"/>
        <v>2.31e8</v>
      </c>
      <c r="F113" s="1"/>
      <c r="G113" s="1"/>
      <c r="H113" s="1"/>
      <c r="I113" s="1"/>
      <c r="J113" s="1"/>
      <c r="K113" s="1"/>
      <c r="L113" s="1"/>
      <c r="M113" s="10">
        <f t="shared" si="145"/>
        <v>35</v>
      </c>
      <c r="N113" s="120" t="s">
        <v>150</v>
      </c>
      <c r="O113" s="10" t="str">
        <f>'技能模擬器'!AI42</f>
        <v>0%</v>
      </c>
      <c r="P113" s="197">
        <f t="shared" si="141"/>
        <v>0.00000113</v>
      </c>
      <c r="Q113" s="197">
        <f>IF('技能模擬器'!C73="是",1,0)</f>
        <v>1</v>
      </c>
      <c r="R113" s="197">
        <f t="shared" si="142"/>
        <v>-0.99999899</v>
      </c>
      <c r="S113" s="10" t="str">
        <f t="shared" si="143"/>
        <v>-100%</v>
      </c>
      <c r="T113" s="10" t="str">
        <f t="shared" si="144"/>
        <v>妖精魅力</v>
      </c>
      <c r="U113" s="4"/>
      <c r="V113" s="192"/>
      <c r="W113" s="192"/>
      <c r="X113" s="192"/>
      <c r="Y113" s="183"/>
      <c r="Z113" s="10"/>
      <c r="AA113" s="4"/>
      <c r="AB113" s="1"/>
      <c r="AC113" s="4"/>
      <c r="AD113" s="10"/>
      <c r="AE113" s="1"/>
      <c r="AF113" s="210"/>
      <c r="AG113" s="69"/>
      <c r="AH113" s="10"/>
      <c r="AI113" s="10"/>
      <c r="AJ113" s="10"/>
      <c r="AK113" s="1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ht="16.5" customHeight="1">
      <c r="A114" s="20">
        <v>10.0</v>
      </c>
      <c r="B114" s="208">
        <f>'2.8 LS'!L504</f>
        <v>24143618776</v>
      </c>
      <c r="C114" s="4">
        <f t="shared" si="153"/>
        <v>10.38280237</v>
      </c>
      <c r="D114" s="1">
        <f t="shared" si="154"/>
        <v>10</v>
      </c>
      <c r="E114" s="191" t="str">
        <f t="shared" si="155"/>
        <v>2.41e10</v>
      </c>
      <c r="F114" s="1"/>
      <c r="G114" s="1"/>
      <c r="H114" s="1"/>
      <c r="I114" s="1"/>
      <c r="J114" s="1"/>
      <c r="K114" s="1"/>
      <c r="L114" s="1"/>
      <c r="M114" s="4"/>
      <c r="N114" s="10"/>
      <c r="O114" s="4"/>
      <c r="P114" s="20"/>
      <c r="Q114" s="69"/>
      <c r="R114" s="10"/>
      <c r="S114" s="10"/>
      <c r="T114" s="10"/>
      <c r="U114" s="4"/>
      <c r="V114" s="192"/>
      <c r="W114" s="192"/>
      <c r="X114" s="192"/>
      <c r="Y114" s="183"/>
      <c r="Z114" s="10"/>
      <c r="AA114" s="4"/>
      <c r="AB114" s="1"/>
      <c r="AC114" s="4"/>
      <c r="AD114" s="10"/>
      <c r="AE114" s="1"/>
      <c r="AF114" s="210"/>
      <c r="AG114" s="69"/>
      <c r="AH114" s="10"/>
      <c r="AI114" s="10"/>
      <c r="AJ114" s="10"/>
      <c r="AK114" s="1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ht="16.5" customHeight="1">
      <c r="A115" s="20">
        <v>11.0</v>
      </c>
      <c r="B115" s="208">
        <f>'2.8 LS'!M504</f>
        <v>6877878529036</v>
      </c>
      <c r="C115" s="4">
        <f t="shared" si="153"/>
        <v>12.8374545</v>
      </c>
      <c r="D115" s="1">
        <f t="shared" si="154"/>
        <v>12</v>
      </c>
      <c r="E115" s="191" t="str">
        <f t="shared" si="155"/>
        <v>6.88e12</v>
      </c>
      <c r="F115" s="1"/>
      <c r="G115" s="1"/>
      <c r="H115" s="1"/>
      <c r="I115" s="1"/>
      <c r="J115" s="1"/>
      <c r="K115" s="1"/>
      <c r="L115" s="1"/>
      <c r="M115" s="4"/>
      <c r="N115" s="10"/>
      <c r="O115" s="4"/>
      <c r="P115" s="20"/>
      <c r="Q115" s="69"/>
      <c r="R115" s="10"/>
      <c r="S115" s="10"/>
      <c r="T115" s="10"/>
      <c r="U115" s="4"/>
      <c r="V115" s="192"/>
      <c r="W115" s="192"/>
      <c r="X115" s="192"/>
      <c r="Y115" s="183"/>
      <c r="Z115" s="10"/>
      <c r="AA115" s="4"/>
      <c r="AB115" s="1"/>
      <c r="AC115" s="4"/>
      <c r="AD115" s="10"/>
      <c r="AE115" s="1"/>
      <c r="AF115" s="210"/>
      <c r="AG115" s="69"/>
      <c r="AH115" s="10"/>
      <c r="AI115" s="10"/>
      <c r="AJ115" s="10"/>
      <c r="AK115" s="1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ht="16.5" customHeight="1">
      <c r="A116" s="20">
        <v>12.0</v>
      </c>
      <c r="B116" s="208">
        <f>'2.8 LS'!N504</f>
        <v>6.46476E+15</v>
      </c>
      <c r="C116" s="4">
        <f t="shared" si="153"/>
        <v>15.8105524</v>
      </c>
      <c r="D116" s="1">
        <f t="shared" si="154"/>
        <v>15</v>
      </c>
      <c r="E116" s="191" t="str">
        <f t="shared" si="155"/>
        <v>6.46e15</v>
      </c>
      <c r="F116" s="1"/>
      <c r="G116" s="1"/>
      <c r="H116" s="1"/>
      <c r="I116" s="1"/>
      <c r="J116" s="1"/>
      <c r="K116" s="1"/>
      <c r="L116" s="1"/>
      <c r="M116" s="4"/>
      <c r="N116" s="10"/>
      <c r="O116" s="4"/>
      <c r="P116" s="20"/>
      <c r="Q116" s="69"/>
      <c r="R116" s="10"/>
      <c r="S116" s="10"/>
      <c r="T116" s="10"/>
      <c r="U116" s="4"/>
      <c r="V116" s="192"/>
      <c r="W116" s="192"/>
      <c r="X116" s="192"/>
      <c r="Y116" s="183"/>
      <c r="Z116" s="10"/>
      <c r="AA116" s="4"/>
      <c r="AB116" s="1"/>
      <c r="AC116" s="4"/>
      <c r="AD116" s="10"/>
      <c r="AE116" s="1"/>
      <c r="AF116" s="210"/>
      <c r="AG116" s="69"/>
      <c r="AH116" s="10"/>
      <c r="AI116" s="10"/>
      <c r="AJ116" s="10"/>
      <c r="AK116" s="1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ht="16.5" customHeight="1">
      <c r="A117" s="20">
        <v>13.0</v>
      </c>
      <c r="B117" s="208">
        <f>'2.8 LS'!O504</f>
        <v>2.65104E+19</v>
      </c>
      <c r="C117" s="4">
        <f t="shared" si="153"/>
        <v>19.42341572</v>
      </c>
      <c r="D117" s="1">
        <f t="shared" si="154"/>
        <v>19</v>
      </c>
      <c r="E117" s="191" t="str">
        <f t="shared" si="155"/>
        <v>2.65e19</v>
      </c>
      <c r="F117" s="1"/>
      <c r="G117" s="1"/>
      <c r="H117" s="1"/>
      <c r="I117" s="1"/>
      <c r="J117" s="1"/>
      <c r="K117" s="1"/>
      <c r="L117" s="1"/>
      <c r="M117" s="4"/>
      <c r="N117" s="10"/>
      <c r="O117" s="4"/>
      <c r="P117" s="20"/>
      <c r="Q117" s="69"/>
      <c r="R117" s="10"/>
      <c r="S117" s="10"/>
      <c r="T117" s="10"/>
      <c r="U117" s="4"/>
      <c r="V117" s="192"/>
      <c r="W117" s="192"/>
      <c r="X117" s="192"/>
      <c r="Y117" s="183"/>
      <c r="Z117" s="10"/>
      <c r="AA117" s="4"/>
      <c r="AB117" s="1"/>
      <c r="AC117" s="4"/>
      <c r="AD117" s="10"/>
      <c r="AE117" s="1"/>
      <c r="AF117" s="210"/>
      <c r="AG117" s="69"/>
      <c r="AH117" s="10"/>
      <c r="AI117" s="10"/>
      <c r="AJ117" s="10"/>
      <c r="AK117" s="1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ht="16.5" customHeight="1">
      <c r="A118" s="20">
        <v>14.0</v>
      </c>
      <c r="B118" s="208">
        <f>'2.8 LS'!P504</f>
        <v>6.93028E+23</v>
      </c>
      <c r="C118" s="4">
        <f t="shared" si="153"/>
        <v>23.84075081</v>
      </c>
      <c r="D118" s="1">
        <f t="shared" si="154"/>
        <v>23</v>
      </c>
      <c r="E118" s="191" t="str">
        <f t="shared" si="155"/>
        <v>6.93e23</v>
      </c>
      <c r="F118" s="1"/>
      <c r="G118" s="1"/>
      <c r="H118" s="1"/>
      <c r="I118" s="1"/>
      <c r="J118" s="1"/>
      <c r="K118" s="1"/>
      <c r="L118" s="1"/>
      <c r="M118" s="4"/>
      <c r="N118" s="10"/>
      <c r="O118" s="4"/>
      <c r="P118" s="20"/>
      <c r="Q118" s="69"/>
      <c r="R118" s="10"/>
      <c r="S118" s="10"/>
      <c r="T118" s="10"/>
      <c r="U118" s="4"/>
      <c r="V118" s="192"/>
      <c r="W118" s="192"/>
      <c r="X118" s="192"/>
      <c r="Y118" s="183"/>
      <c r="Z118" s="10"/>
      <c r="AA118" s="4"/>
      <c r="AB118" s="1"/>
      <c r="AC118" s="4"/>
      <c r="AD118" s="10"/>
      <c r="AE118" s="1"/>
      <c r="AF118" s="210"/>
      <c r="AG118" s="69"/>
      <c r="AH118" s="10"/>
      <c r="AI118" s="10"/>
      <c r="AJ118" s="10"/>
      <c r="AK118" s="1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ht="16.5" customHeight="1">
      <c r="A119" s="20">
        <v>15.0</v>
      </c>
      <c r="B119" s="208">
        <f>'2.8 LS'!Q504</f>
        <v>2.04232E+29</v>
      </c>
      <c r="C119" s="4">
        <f t="shared" si="153"/>
        <v>29.31012445</v>
      </c>
      <c r="D119" s="1">
        <f t="shared" si="154"/>
        <v>29</v>
      </c>
      <c r="E119" s="191" t="str">
        <f t="shared" si="155"/>
        <v>2.04e29</v>
      </c>
      <c r="F119" s="1"/>
      <c r="G119" s="1"/>
      <c r="H119" s="1"/>
      <c r="I119" s="1"/>
      <c r="J119" s="1"/>
      <c r="K119" s="1"/>
      <c r="L119" s="1"/>
      <c r="M119" s="4"/>
      <c r="N119" s="10"/>
      <c r="O119" s="4"/>
      <c r="P119" s="20"/>
      <c r="Q119" s="69"/>
      <c r="R119" s="10"/>
      <c r="S119" s="10"/>
      <c r="T119" s="10"/>
      <c r="U119" s="4"/>
      <c r="V119" s="192"/>
      <c r="W119" s="192"/>
      <c r="X119" s="192"/>
      <c r="Y119" s="183"/>
      <c r="Z119" s="10"/>
      <c r="AA119" s="4"/>
      <c r="AB119" s="1"/>
      <c r="AC119" s="4"/>
      <c r="AD119" s="10"/>
      <c r="AE119" s="1"/>
      <c r="AF119" s="210"/>
      <c r="AG119" s="69"/>
      <c r="AH119" s="10"/>
      <c r="AI119" s="10"/>
      <c r="AJ119" s="10"/>
      <c r="AK119" s="1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"/>
      <c r="N120" s="10"/>
      <c r="O120" s="4"/>
      <c r="P120" s="20"/>
      <c r="Q120" s="69"/>
      <c r="R120" s="10"/>
      <c r="S120" s="10"/>
      <c r="T120" s="10"/>
      <c r="U120" s="4"/>
      <c r="V120" s="192"/>
      <c r="W120" s="192"/>
      <c r="X120" s="192"/>
      <c r="Y120" s="183"/>
      <c r="Z120" s="10"/>
      <c r="AA120" s="4"/>
      <c r="AB120" s="1"/>
      <c r="AC120" s="4"/>
      <c r="AD120" s="10"/>
      <c r="AE120" s="1"/>
      <c r="AF120" s="210"/>
      <c r="AG120" s="69"/>
      <c r="AH120" s="10"/>
      <c r="AI120" s="10"/>
      <c r="AJ120" s="10"/>
      <c r="AK120" s="1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4"/>
      <c r="N121" s="10"/>
      <c r="O121" s="4"/>
      <c r="P121" s="20"/>
      <c r="Q121" s="69"/>
      <c r="R121" s="10"/>
      <c r="S121" s="10"/>
      <c r="T121" s="10"/>
      <c r="U121" s="4"/>
      <c r="V121" s="192"/>
      <c r="W121" s="192"/>
      <c r="X121" s="192"/>
      <c r="Y121" s="183"/>
      <c r="Z121" s="10"/>
      <c r="AA121" s="4"/>
      <c r="AB121" s="1"/>
      <c r="AC121" s="4"/>
      <c r="AD121" s="10"/>
      <c r="AE121" s="1"/>
      <c r="AF121" s="210"/>
      <c r="AG121" s="69"/>
      <c r="AH121" s="10"/>
      <c r="AI121" s="10"/>
      <c r="AJ121" s="10"/>
      <c r="AK121" s="1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f>IF('技能模擬器'!D18="開啟",1,0)</f>
        <v>1</v>
      </c>
      <c r="M122" s="4"/>
      <c r="N122" s="10"/>
      <c r="O122" s="4"/>
      <c r="P122" s="20">
        <v>0.0</v>
      </c>
      <c r="Q122" s="211" t="str">
        <f>IF(P122=0,'技能模擬器'!N2,0)</f>
        <v/>
      </c>
      <c r="R122" s="10"/>
      <c r="S122" s="10"/>
      <c r="T122" s="10"/>
      <c r="U122" s="4"/>
      <c r="V122" s="192"/>
      <c r="W122" s="192"/>
      <c r="X122" s="192"/>
      <c r="Y122" s="183"/>
      <c r="Z122" s="10"/>
      <c r="AA122" s="4"/>
      <c r="AB122" s="1">
        <f>L122</f>
        <v>1</v>
      </c>
      <c r="AC122" s="4"/>
      <c r="AD122" s="10"/>
      <c r="AE122" s="1"/>
      <c r="AF122" s="210">
        <v>0.0</v>
      </c>
      <c r="AG122" s="211" t="str">
        <f>IF(AF122=0,'技能模擬器'!AD2,0)</f>
        <v/>
      </c>
      <c r="AH122" s="10"/>
      <c r="AI122" s="10"/>
      <c r="AJ122" s="10"/>
      <c r="AK122" s="1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92"/>
      <c r="W123" s="192"/>
      <c r="X123" s="192"/>
      <c r="Y123" s="183"/>
      <c r="Z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92"/>
      <c r="W124" s="192"/>
      <c r="X124" s="192"/>
      <c r="Y124" s="183"/>
      <c r="Z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92"/>
      <c r="W125" s="192"/>
      <c r="X125" s="192"/>
      <c r="Y125" s="183"/>
      <c r="Z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20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92"/>
      <c r="W126" s="192"/>
      <c r="X126" s="192"/>
      <c r="Y126" s="183"/>
      <c r="Z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ht="16.5" customHeight="1">
      <c r="A127" s="181" t="s">
        <v>261</v>
      </c>
      <c r="B127" s="1"/>
      <c r="C127" s="199"/>
      <c r="D127" s="4"/>
      <c r="E127" s="4"/>
      <c r="F127" s="4"/>
      <c r="G127" s="201"/>
      <c r="H127" s="20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92"/>
      <c r="W127" s="192"/>
      <c r="X127" s="192"/>
      <c r="Y127" s="183"/>
      <c r="Z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ht="16.5" customHeight="1">
      <c r="A128" s="1"/>
      <c r="B128" s="4"/>
      <c r="C128" s="199"/>
      <c r="D128" s="4"/>
      <c r="E128" s="4"/>
      <c r="F128" s="4"/>
      <c r="G128" s="201"/>
      <c r="H128" s="201"/>
      <c r="I128" s="1"/>
      <c r="J128" s="1"/>
      <c r="K128" s="1">
        <f>(IF(E129&gt;0,0,1)+IF($H129&gt;=3,0,2))*L122</f>
        <v>3</v>
      </c>
      <c r="L128" s="211">
        <f>IF(K128=0,'技能模擬器'!I8,0)</f>
        <v>0</v>
      </c>
      <c r="M128" s="4"/>
      <c r="N128" s="10"/>
      <c r="O128" s="1"/>
      <c r="P128" s="1">
        <f>(IF(F129&gt;0,0,1)+IF($H129&gt;=3,0,2))*L122</f>
        <v>3</v>
      </c>
      <c r="Q128" s="211">
        <f>IF(P128=0,'技能模擬器'!N8,0)</f>
        <v>0</v>
      </c>
      <c r="R128" s="10"/>
      <c r="S128" s="10"/>
      <c r="T128" s="10"/>
      <c r="U128" s="1">
        <f>(IF(G129&gt;0,0,1)+IF($H129&gt;=3,0,2))*L122</f>
        <v>3</v>
      </c>
      <c r="V128" s="211">
        <f>IF(U128=0,'技能模擬器'!S8,0)</f>
        <v>0</v>
      </c>
      <c r="W128" s="192"/>
      <c r="X128" s="192"/>
      <c r="Y128" s="183"/>
      <c r="Z128" s="10"/>
      <c r="AA128" s="210">
        <f>(IF(E139&gt;0,0,1)+IF($H139&gt;=3,0,2))*AB122</f>
        <v>3</v>
      </c>
      <c r="AB128" s="211">
        <f>IF(AA128=0,'技能模擬器'!Y8,0)</f>
        <v>0</v>
      </c>
      <c r="AC128" s="4"/>
      <c r="AD128" s="10"/>
      <c r="AE128" s="1"/>
      <c r="AF128" s="210">
        <f>(IF(F139&gt;0,0,1)+IF($H139&gt;=3,0,2))*AB122</f>
        <v>3</v>
      </c>
      <c r="AG128" s="211">
        <f>IF(AF128=0,'技能模擬器'!AD8,0)</f>
        <v>0</v>
      </c>
      <c r="AH128" s="10"/>
      <c r="AI128" s="10"/>
      <c r="AJ128" s="10"/>
      <c r="AK128" s="210">
        <f>(IF(G139&gt;0,0,1)+IF($H139&gt;=3,0,2))*AB122</f>
        <v>3</v>
      </c>
      <c r="AL128" s="211">
        <f>IF(AK128=0,'技能模擬器'!AI8,0)</f>
        <v>0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ht="16.5" customHeight="1">
      <c r="A129" s="4"/>
      <c r="B129" s="4">
        <f>'技能模擬器'!P2</f>
        <v>0</v>
      </c>
      <c r="C129" s="4"/>
      <c r="D129" s="4"/>
      <c r="E129" s="4">
        <f>F129</f>
        <v>0</v>
      </c>
      <c r="F129" s="4">
        <f>B129</f>
        <v>0</v>
      </c>
      <c r="G129" s="4">
        <f>F129</f>
        <v>0</v>
      </c>
      <c r="H129" s="201">
        <f>F129</f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92"/>
      <c r="W129" s="192"/>
      <c r="X129" s="192"/>
      <c r="Y129" s="183"/>
      <c r="Z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ht="16.5" customHeight="1">
      <c r="A130" s="4">
        <f>'技能模擬器'!K8</f>
        <v>0</v>
      </c>
      <c r="B130" s="4">
        <f>'技能模擬器'!P8</f>
        <v>0</v>
      </c>
      <c r="C130" s="4">
        <f>'技能模擬器'!U8</f>
        <v>0</v>
      </c>
      <c r="D130" s="4"/>
      <c r="E130" s="4">
        <f>IF(K128=0,A130,0)</f>
        <v>0</v>
      </c>
      <c r="F130" s="4">
        <f>IF(P128=0,B130,0)</f>
        <v>0</v>
      </c>
      <c r="G130" s="4">
        <f>IF(U128=0,C130,0)</f>
        <v>0</v>
      </c>
      <c r="H130" s="201">
        <f t="shared" ref="H130:H132" si="156">G130+F130+E130+H129</f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92"/>
      <c r="W130" s="192"/>
      <c r="X130" s="192"/>
      <c r="Y130" s="183"/>
      <c r="Z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ht="16.5" customHeight="1">
      <c r="A131" s="4">
        <f>'技能模擬器'!K14</f>
        <v>0</v>
      </c>
      <c r="B131" s="4">
        <f>'技能模擬器'!P14</f>
        <v>0</v>
      </c>
      <c r="C131" s="4">
        <f>'技能模擬器'!U14</f>
        <v>0</v>
      </c>
      <c r="D131" s="4"/>
      <c r="E131" s="4">
        <f>IF(K134=0,A131,0)</f>
        <v>0</v>
      </c>
      <c r="F131" s="4">
        <f>IF(P134=0,B131,0)</f>
        <v>0</v>
      </c>
      <c r="G131" s="4">
        <f>IF(U134=0,C131,0)</f>
        <v>0</v>
      </c>
      <c r="H131" s="201">
        <f t="shared" si="156"/>
        <v>0</v>
      </c>
      <c r="I131" s="20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92"/>
      <c r="W131" s="192"/>
      <c r="X131" s="192"/>
      <c r="Y131" s="183"/>
      <c r="Z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ht="16.5" customHeight="1">
      <c r="A132" s="4">
        <f>'技能模擬器'!K20</f>
        <v>0</v>
      </c>
      <c r="B132" s="199"/>
      <c r="C132" s="4">
        <f>'技能模擬器'!U20</f>
        <v>0</v>
      </c>
      <c r="D132" s="4"/>
      <c r="E132" s="4">
        <f>IF(K140=0,A132,0)</f>
        <v>0</v>
      </c>
      <c r="F132" s="4"/>
      <c r="G132" s="4">
        <f>IF(U140=0,C132,0)</f>
        <v>0</v>
      </c>
      <c r="H132" s="201">
        <f t="shared" si="156"/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92"/>
      <c r="W132" s="192"/>
      <c r="X132" s="192"/>
      <c r="Y132" s="183"/>
      <c r="Z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ht="16.5" customHeight="1">
      <c r="A133" s="20" t="s">
        <v>262</v>
      </c>
      <c r="B133" s="4"/>
      <c r="C133" s="199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92"/>
      <c r="W133" s="192"/>
      <c r="X133" s="192"/>
      <c r="Y133" s="183"/>
      <c r="Z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ht="16.5" customHeight="1">
      <c r="A134" s="1"/>
      <c r="B134" s="1">
        <f>'技能模擬器'!P27</f>
        <v>0</v>
      </c>
      <c r="C134" s="199"/>
      <c r="D134" s="4"/>
      <c r="E134" s="4">
        <f>F134</f>
        <v>0</v>
      </c>
      <c r="F134" s="4">
        <f>B134</f>
        <v>0</v>
      </c>
      <c r="G134" s="4">
        <f>F134</f>
        <v>0</v>
      </c>
      <c r="H134" s="201">
        <f>F134</f>
        <v>0</v>
      </c>
      <c r="I134" s="1"/>
      <c r="J134" s="1"/>
      <c r="K134" s="1">
        <f>(IF(E130&gt;0,0,1)+IF($H130&gt;=20,0,2))*L122</f>
        <v>3</v>
      </c>
      <c r="L134" s="211">
        <f>IF(K134=0,'技能模擬器'!I14,0)</f>
        <v>0</v>
      </c>
      <c r="M134" s="4"/>
      <c r="N134" s="10"/>
      <c r="O134" s="1"/>
      <c r="P134" s="1">
        <f>(IF(F130&gt;0,0,1)+IF($H130&gt;=20,0,2))*L122</f>
        <v>3</v>
      </c>
      <c r="Q134" s="211">
        <f>IF(P134=0,'技能模擬器'!N14,0)</f>
        <v>0</v>
      </c>
      <c r="R134" s="10"/>
      <c r="S134" s="10"/>
      <c r="T134" s="10"/>
      <c r="U134" s="1">
        <f>(IF(G130&gt;0,0,1)+IF($H130&gt;=20,0,2))*L122</f>
        <v>3</v>
      </c>
      <c r="V134" s="211">
        <f>IF(U134=0,'技能模擬器'!S14,0)</f>
        <v>0</v>
      </c>
      <c r="W134" s="192"/>
      <c r="X134" s="212"/>
      <c r="Y134" s="205"/>
      <c r="Z134" s="213"/>
      <c r="AA134" s="210">
        <f>(IF(E140&gt;0,0,1)+IF($H140&gt;=20,0,2))*AB122</f>
        <v>3</v>
      </c>
      <c r="AB134" s="211">
        <f>IF(AA134=0,'技能模擬器'!Y14,0)</f>
        <v>0</v>
      </c>
      <c r="AC134" s="1"/>
      <c r="AD134" s="10"/>
      <c r="AE134" s="1"/>
      <c r="AF134" s="210">
        <f>(IF(F140&gt;0,0,1)+IF($H140&gt;=20,0,2))*AB122</f>
        <v>3</v>
      </c>
      <c r="AG134" s="211">
        <f>IF(AF134=0,'技能模擬器'!AD14,0)</f>
        <v>0</v>
      </c>
      <c r="AH134" s="10"/>
      <c r="AI134" s="10"/>
      <c r="AJ134" s="10"/>
      <c r="AK134" s="210">
        <f>(IF(G140&gt;0,0,1)+IF($H140&gt;=20,0,2))*AB122</f>
        <v>3</v>
      </c>
      <c r="AL134" s="211">
        <f>IF(AK134=0,'技能模擬器'!AI14,0)</f>
        <v>0</v>
      </c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ht="16.5" customHeight="1">
      <c r="A135" s="1">
        <f>'技能模擬器'!K33</f>
        <v>0</v>
      </c>
      <c r="B135" s="1">
        <f>'技能模擬器'!P33</f>
        <v>0</v>
      </c>
      <c r="C135" s="1">
        <f>'技能模擬器'!U33</f>
        <v>0</v>
      </c>
      <c r="D135" s="4"/>
      <c r="E135" s="4">
        <f>IF(K153=0,A135,0)</f>
        <v>0</v>
      </c>
      <c r="F135" s="4">
        <f>IF(P153=0,B135,0)</f>
        <v>0</v>
      </c>
      <c r="G135" s="4">
        <f>IF(U153=0,C135,0)</f>
        <v>0</v>
      </c>
      <c r="H135" s="201">
        <f t="shared" ref="H135:H137" si="157">G135+F135+E135+H134</f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92"/>
      <c r="W135" s="192"/>
      <c r="X135" s="205"/>
      <c r="Y135" s="205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ht="16.5" customHeight="1">
      <c r="A136" s="1">
        <f>'技能模擬器'!K39</f>
        <v>0</v>
      </c>
      <c r="B136" s="1">
        <f>'技能模擬器'!P39</f>
        <v>0</v>
      </c>
      <c r="C136" s="1">
        <f>'技能模擬器'!U39</f>
        <v>0</v>
      </c>
      <c r="D136" s="4"/>
      <c r="E136" s="4">
        <f>IF(K159=0,A136,0)</f>
        <v>0</v>
      </c>
      <c r="F136" s="4">
        <f>IF(P159=0,B136,0)</f>
        <v>0</v>
      </c>
      <c r="G136" s="4">
        <f>IF(U159=0,C136,0)</f>
        <v>0</v>
      </c>
      <c r="H136" s="201">
        <f t="shared" si="157"/>
        <v>0</v>
      </c>
      <c r="I136" s="20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92"/>
      <c r="W136" s="192"/>
      <c r="X136" s="205"/>
      <c r="Y136" s="205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ht="16.5" customHeight="1">
      <c r="A137" s="1">
        <f>'技能模擬器'!K45</f>
        <v>0</v>
      </c>
      <c r="B137" s="4"/>
      <c r="C137" s="1">
        <f>'技能模擬器'!U45</f>
        <v>0</v>
      </c>
      <c r="D137" s="4"/>
      <c r="E137" s="4">
        <f>IF(K165=0,A137,0)</f>
        <v>0</v>
      </c>
      <c r="F137" s="4"/>
      <c r="G137" s="4">
        <f>IF(U165=0,C137,0)</f>
        <v>0</v>
      </c>
      <c r="H137" s="201">
        <f t="shared" si="157"/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92"/>
      <c r="W137" s="192"/>
      <c r="X137" s="205"/>
      <c r="Y137" s="205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ht="16.5" customHeight="1">
      <c r="A138" s="181" t="s">
        <v>263</v>
      </c>
      <c r="B138" s="4"/>
      <c r="C138" s="4"/>
      <c r="D138" s="4"/>
      <c r="E138" s="4"/>
      <c r="F138" s="1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92"/>
      <c r="W138" s="192"/>
      <c r="X138" s="205"/>
      <c r="Y138" s="205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ht="16.5" customHeight="1">
      <c r="A139" s="4"/>
      <c r="B139" s="1">
        <f>'技能模擬器'!AF2</f>
        <v>0</v>
      </c>
      <c r="C139" s="4"/>
      <c r="D139" s="4"/>
      <c r="E139" s="4">
        <f>F139</f>
        <v>0</v>
      </c>
      <c r="F139" s="4">
        <f>B139</f>
        <v>0</v>
      </c>
      <c r="G139" s="4">
        <f>F139</f>
        <v>0</v>
      </c>
      <c r="H139" s="201">
        <f>F139</f>
        <v>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92"/>
      <c r="W139" s="192"/>
      <c r="X139" s="212"/>
      <c r="Y139" s="205"/>
      <c r="Z139" s="213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ht="16.5" customHeight="1">
      <c r="A140" s="1">
        <f>'技能模擬器'!AA8</f>
        <v>0</v>
      </c>
      <c r="B140" s="1">
        <f>'技能模擬器'!AF8</f>
        <v>0</v>
      </c>
      <c r="C140" s="1">
        <f>'技能模擬器'!AK8</f>
        <v>0</v>
      </c>
      <c r="D140" s="1"/>
      <c r="E140" s="4">
        <f>IF(AA128=0,A140,0)</f>
        <v>0</v>
      </c>
      <c r="F140" s="4">
        <f>IF(AF128=0,B140,0)</f>
        <v>0</v>
      </c>
      <c r="G140" s="4">
        <f>IF(AK128=0,C140,0)</f>
        <v>0</v>
      </c>
      <c r="H140" s="201">
        <f t="shared" ref="H140:H142" si="158">G140+F140+E140+H139</f>
        <v>0</v>
      </c>
      <c r="I140" s="1"/>
      <c r="J140" s="210"/>
      <c r="K140" s="1">
        <f>(IF(E131&gt;0,0,1)+IF($H131&gt;=50,0,2))*L122</f>
        <v>3</v>
      </c>
      <c r="L140" s="211">
        <f>IF(K140=0,'技能模擬器'!I20,0)</f>
        <v>0</v>
      </c>
      <c r="M140" s="4"/>
      <c r="N140" s="10"/>
      <c r="O140" s="1"/>
      <c r="P140" s="1"/>
      <c r="Q140" s="1"/>
      <c r="R140" s="10"/>
      <c r="S140" s="10"/>
      <c r="T140" s="10"/>
      <c r="U140" s="1">
        <f>(IF(G131&gt;0,0,1)+IF($H131&gt;=50,0,2))*L122</f>
        <v>3</v>
      </c>
      <c r="V140" s="211">
        <f>IF(U140=0,'技能模擬器'!S20,0)</f>
        <v>0</v>
      </c>
      <c r="W140" s="192"/>
      <c r="X140" s="205"/>
      <c r="Y140" s="205"/>
      <c r="Z140" s="1"/>
      <c r="AA140" s="210">
        <f>(IF(E141&gt;0,0,1)+IF($H141&gt;=50,0,2))*AB122</f>
        <v>3</v>
      </c>
      <c r="AB140" s="211">
        <f>IF(AA140=0,'技能模擬器'!Y20,0)</f>
        <v>0</v>
      </c>
      <c r="AC140" s="4"/>
      <c r="AD140" s="10"/>
      <c r="AE140" s="1"/>
      <c r="AF140" s="210">
        <f>(IF(F141&gt;0,0,1)+IF($H141&gt;=50,0,2))*AB122</f>
        <v>3</v>
      </c>
      <c r="AG140" s="211">
        <f>IF(AF140=0,'技能模擬器'!AD20,0)</f>
        <v>0</v>
      </c>
      <c r="AH140" s="10"/>
      <c r="AI140" s="10"/>
      <c r="AJ140" s="10"/>
      <c r="AK140" s="210">
        <f>(IF(G141&gt;0,0,1)+IF($H141&gt;=50,0,2))*AB122</f>
        <v>3</v>
      </c>
      <c r="AL140" s="211">
        <f>IF(AK140=0,'技能模擬器'!AI20,0)</f>
        <v>0</v>
      </c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ht="16.5" customHeight="1">
      <c r="A141" s="1">
        <f>'技能模擬器'!AA14</f>
        <v>0</v>
      </c>
      <c r="B141" s="1">
        <f>'技能模擬器'!AF14</f>
        <v>0</v>
      </c>
      <c r="C141" s="1">
        <f>'技能模擬器'!AK14</f>
        <v>0</v>
      </c>
      <c r="D141" s="4"/>
      <c r="E141" s="4">
        <f>IF(AA134=0,A141,0)</f>
        <v>0</v>
      </c>
      <c r="F141" s="4">
        <f>IF(AF134=0,B141,0)</f>
        <v>0</v>
      </c>
      <c r="G141" s="4">
        <f>IF(AK134=0,C141,0)</f>
        <v>0</v>
      </c>
      <c r="H141" s="201">
        <f t="shared" si="158"/>
        <v>0</v>
      </c>
      <c r="I141" s="1"/>
      <c r="J141" s="1"/>
      <c r="K141" s="4"/>
      <c r="L141" s="1"/>
      <c r="M141" s="4"/>
      <c r="N141" s="10"/>
      <c r="O141" s="1"/>
      <c r="P141" s="4"/>
      <c r="Q141" s="1"/>
      <c r="R141" s="10"/>
      <c r="S141" s="10"/>
      <c r="T141" s="10"/>
      <c r="U141" s="4"/>
      <c r="V141" s="192"/>
      <c r="W141" s="192"/>
      <c r="X141" s="205"/>
      <c r="Y141" s="205"/>
      <c r="Z141" s="1"/>
      <c r="AA141" s="4"/>
      <c r="AB141" s="1"/>
      <c r="AC141" s="4"/>
      <c r="AD141" s="10"/>
      <c r="AE141" s="1"/>
      <c r="AF141" s="1"/>
      <c r="AG141" s="1"/>
      <c r="AH141" s="10"/>
      <c r="AI141" s="10"/>
      <c r="AJ141" s="10"/>
      <c r="AK141" s="4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ht="16.5" customHeight="1">
      <c r="A142" s="1">
        <f>'技能模擬器'!AA20</f>
        <v>0</v>
      </c>
      <c r="B142" s="1">
        <f>'技能模擬器'!AF20</f>
        <v>0</v>
      </c>
      <c r="C142" s="1">
        <f>'技能模擬器'!AK20</f>
        <v>0</v>
      </c>
      <c r="D142" s="4"/>
      <c r="E142" s="4">
        <f>IF(AA140=0,A142,0)</f>
        <v>0</v>
      </c>
      <c r="F142" s="4">
        <f>IF(AF140=0,B142,0)</f>
        <v>0</v>
      </c>
      <c r="G142" s="4">
        <f>IF(AK140=0,C142,0)</f>
        <v>0</v>
      </c>
      <c r="H142" s="201">
        <f t="shared" si="158"/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92"/>
      <c r="W142" s="192"/>
      <c r="X142" s="192"/>
      <c r="Y142" s="183"/>
      <c r="Z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ht="16.5" customHeight="1">
      <c r="A143" s="20" t="s">
        <v>264</v>
      </c>
      <c r="B143" s="4"/>
      <c r="C143" s="4"/>
      <c r="D143" s="4"/>
      <c r="E143" s="4"/>
      <c r="F143" s="1"/>
      <c r="G143" s="201"/>
      <c r="H143" s="20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92"/>
      <c r="W143" s="192"/>
      <c r="X143" s="192"/>
      <c r="Y143" s="183"/>
      <c r="Z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ht="16.5" customHeight="1">
      <c r="A144" s="1"/>
      <c r="B144" s="1">
        <f>'技能模擬器'!AF27</f>
        <v>0</v>
      </c>
      <c r="C144" s="4"/>
      <c r="D144" s="4"/>
      <c r="E144" s="4">
        <f>F144</f>
        <v>0</v>
      </c>
      <c r="F144" s="4">
        <f>B144</f>
        <v>0</v>
      </c>
      <c r="G144" s="4">
        <f>F144</f>
        <v>0</v>
      </c>
      <c r="H144" s="201">
        <f>F144</f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92"/>
      <c r="W144" s="192"/>
      <c r="X144" s="192"/>
      <c r="Y144" s="183"/>
      <c r="Z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ht="16.5" customHeight="1">
      <c r="A145" s="1">
        <f>'技能模擬器'!AA33</f>
        <v>0</v>
      </c>
      <c r="B145" s="1">
        <f>'技能模擬器'!AF33</f>
        <v>0</v>
      </c>
      <c r="C145" s="1">
        <f>'技能模擬器'!AK33</f>
        <v>0</v>
      </c>
      <c r="D145" s="1"/>
      <c r="E145" s="4">
        <f>IF(AA153=0,A145,0)</f>
        <v>0</v>
      </c>
      <c r="F145" s="4">
        <f>IF(AF153=0,B145,0)</f>
        <v>0</v>
      </c>
      <c r="G145" s="4">
        <f>IF(AK153=0,C145,0)</f>
        <v>0</v>
      </c>
      <c r="H145" s="201">
        <f t="shared" ref="H145:H146" si="159">G145+F145+E145+H144</f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92"/>
      <c r="W145" s="192"/>
      <c r="X145" s="192"/>
      <c r="Y145" s="183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ht="16.5" customHeight="1">
      <c r="A146" s="1">
        <f>'技能模擬器'!AA39</f>
        <v>0</v>
      </c>
      <c r="B146" s="1">
        <f>'技能模擬器'!AF39</f>
        <v>0</v>
      </c>
      <c r="C146" s="1">
        <f>'技能模擬器'!AK39</f>
        <v>0</v>
      </c>
      <c r="D146" s="1"/>
      <c r="E146" s="4">
        <f>IF(AA159=0,A146,0)</f>
        <v>0</v>
      </c>
      <c r="F146" s="4">
        <f>IF(AF159=0,B146,0)</f>
        <v>0</v>
      </c>
      <c r="G146" s="4">
        <f>IF(AK159=0,C146,0)</f>
        <v>0</v>
      </c>
      <c r="H146" s="201">
        <f t="shared" si="159"/>
        <v>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92"/>
      <c r="W146" s="192"/>
      <c r="X146" s="192"/>
      <c r="Y146" s="183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4"/>
      <c r="L147" s="1">
        <f>L122</f>
        <v>1</v>
      </c>
      <c r="M147" s="4"/>
      <c r="N147" s="10"/>
      <c r="O147" s="1"/>
      <c r="P147" s="20">
        <v>0.0</v>
      </c>
      <c r="Q147" s="211" t="str">
        <f>IF(P147=0,'技能模擬器'!N27,0)</f>
        <v/>
      </c>
      <c r="R147" s="10"/>
      <c r="S147" s="10"/>
      <c r="T147" s="10"/>
      <c r="U147" s="1"/>
      <c r="V147" s="205"/>
      <c r="W147" s="205"/>
      <c r="X147" s="205"/>
      <c r="Y147" s="183"/>
      <c r="Z147" s="10"/>
      <c r="AA147" s="4"/>
      <c r="AB147" s="1">
        <f>L122</f>
        <v>1</v>
      </c>
      <c r="AC147" s="4"/>
      <c r="AD147" s="10"/>
      <c r="AE147" s="1"/>
      <c r="AF147" s="210">
        <v>0.0</v>
      </c>
      <c r="AG147" s="211" t="str">
        <f>IF(AF147=0,'技能模擬器'!AD27,0)</f>
        <v/>
      </c>
      <c r="AH147" s="10"/>
      <c r="AI147" s="10"/>
      <c r="AJ147" s="10"/>
      <c r="AK147" s="1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05"/>
      <c r="W148" s="205"/>
      <c r="X148" s="205"/>
      <c r="Y148" s="183"/>
      <c r="Z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05"/>
      <c r="W149" s="205"/>
      <c r="X149" s="205"/>
      <c r="Y149" s="183"/>
      <c r="Z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05"/>
      <c r="W150" s="205"/>
      <c r="X150" s="205"/>
      <c r="Y150" s="183"/>
      <c r="Z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ht="16.5" customHeight="1">
      <c r="A151" s="1"/>
      <c r="B151" s="1"/>
      <c r="C151" s="199"/>
      <c r="D151" s="1"/>
      <c r="E151" s="1"/>
      <c r="F151" s="1"/>
      <c r="G151" s="19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05"/>
      <c r="W151" s="205"/>
      <c r="X151" s="205"/>
      <c r="Y151" s="183"/>
      <c r="Z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ht="16.5" customHeight="1">
      <c r="A152" s="1"/>
      <c r="B152" s="1"/>
      <c r="C152" s="199"/>
      <c r="D152" s="1"/>
      <c r="E152" s="1"/>
      <c r="F152" s="1"/>
      <c r="G152" s="19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05"/>
      <c r="W152" s="205"/>
      <c r="X152" s="205"/>
      <c r="Y152" s="183"/>
      <c r="Z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ht="16.5" customHeight="1">
      <c r="A153" s="1"/>
      <c r="B153" s="1"/>
      <c r="C153" s="199"/>
      <c r="D153" s="1"/>
      <c r="E153" s="1"/>
      <c r="F153" s="1"/>
      <c r="G153" s="199"/>
      <c r="H153" s="1"/>
      <c r="I153" s="1"/>
      <c r="J153" s="1"/>
      <c r="K153" s="1">
        <f>(IF(E134&gt;0,0,1)+IF($H134&gt;=3,0,2))*L147</f>
        <v>3</v>
      </c>
      <c r="L153" s="211">
        <f>IF(K153=0,'技能模擬器'!I33,0)</f>
        <v>0</v>
      </c>
      <c r="M153" s="1"/>
      <c r="N153" s="10"/>
      <c r="O153" s="1"/>
      <c r="P153" s="1">
        <f>(IF(F134&gt;0,0,1)+IF($H134&gt;=3,0,2))*L147</f>
        <v>3</v>
      </c>
      <c r="Q153" s="211">
        <f>IF(P153=0,'技能模擬器'!N33,0)</f>
        <v>0</v>
      </c>
      <c r="R153" s="10"/>
      <c r="S153" s="10"/>
      <c r="T153" s="10"/>
      <c r="U153" s="1">
        <f>(IF(G134&gt;0,0,1)+IF($H134&gt;=3,0,2))*L147</f>
        <v>3</v>
      </c>
      <c r="V153" s="211">
        <f>IF(U153=0,'技能模擬器'!S33,0)</f>
        <v>0</v>
      </c>
      <c r="W153" s="205"/>
      <c r="X153" s="205"/>
      <c r="Y153" s="183"/>
      <c r="Z153" s="10"/>
      <c r="AA153" s="210">
        <f>(IF(E144&gt;0,0,1)+IF($H144&gt;=3,0,2))*AB147</f>
        <v>3</v>
      </c>
      <c r="AB153" s="211">
        <f>IF(AA153=0,'技能模擬器'!Y33,0)</f>
        <v>0</v>
      </c>
      <c r="AC153" s="4"/>
      <c r="AD153" s="10"/>
      <c r="AE153" s="1"/>
      <c r="AF153" s="210">
        <f>(IF(F144&gt;0,0,1)+IF($H144&gt;=3,0,2))*AB147</f>
        <v>3</v>
      </c>
      <c r="AG153" s="211">
        <f>IF(AF153=0,'技能模擬器'!AD33,0)</f>
        <v>0</v>
      </c>
      <c r="AH153" s="10"/>
      <c r="AI153" s="10"/>
      <c r="AJ153" s="10"/>
      <c r="AK153" s="210">
        <f>(IF(G144&gt;0,0,1)+IF($H144&gt;=3,0,2))*AB147</f>
        <v>3</v>
      </c>
      <c r="AL153" s="211">
        <f>IF(AK153=0,'技能模擬器'!AI33,0)</f>
        <v>0</v>
      </c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ht="16.5" customHeight="1">
      <c r="A154" s="1"/>
      <c r="B154" s="1"/>
      <c r="C154" s="199"/>
      <c r="D154" s="1"/>
      <c r="E154" s="1"/>
      <c r="F154" s="1"/>
      <c r="G154" s="19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05"/>
      <c r="W154" s="205"/>
      <c r="X154" s="205"/>
      <c r="Y154" s="183"/>
      <c r="Z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ht="16.5" customHeight="1">
      <c r="A155" s="1"/>
      <c r="B155" s="1"/>
      <c r="C155" s="199"/>
      <c r="D155" s="1"/>
      <c r="E155" s="1"/>
      <c r="F155" s="1"/>
      <c r="G155" s="19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05"/>
      <c r="W155" s="205"/>
      <c r="X155" s="205"/>
      <c r="Y155" s="183"/>
      <c r="Z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ht="16.5" customHeight="1">
      <c r="A156" s="1"/>
      <c r="B156" s="1"/>
      <c r="C156" s="199"/>
      <c r="D156" s="1"/>
      <c r="E156" s="1"/>
      <c r="F156" s="1"/>
      <c r="G156" s="19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05"/>
      <c r="W156" s="205"/>
      <c r="X156" s="205"/>
      <c r="Y156" s="183"/>
      <c r="Z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ht="16.5" customHeight="1">
      <c r="A157" s="1"/>
      <c r="B157" s="1"/>
      <c r="C157" s="199"/>
      <c r="D157" s="1"/>
      <c r="E157" s="1"/>
      <c r="F157" s="1"/>
      <c r="G157" s="19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05"/>
      <c r="W157" s="205"/>
      <c r="X157" s="205"/>
      <c r="Y157" s="183"/>
      <c r="Z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ht="16.5" customHeight="1">
      <c r="A158" s="1"/>
      <c r="B158" s="1"/>
      <c r="C158" s="199"/>
      <c r="D158" s="1"/>
      <c r="E158" s="1"/>
      <c r="F158" s="1"/>
      <c r="G158" s="19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05"/>
      <c r="W158" s="205"/>
      <c r="X158" s="205"/>
      <c r="Y158" s="205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ht="16.5" customHeight="1">
      <c r="A159" s="1"/>
      <c r="B159" s="1"/>
      <c r="C159" s="199"/>
      <c r="D159" s="1"/>
      <c r="E159" s="1"/>
      <c r="F159" s="1"/>
      <c r="G159" s="199"/>
      <c r="H159" s="1"/>
      <c r="I159" s="1"/>
      <c r="J159" s="1"/>
      <c r="K159" s="1">
        <f>(IF(E135&gt;0,0,1)+IF($H135&gt;=20,0,2))*L147</f>
        <v>3</v>
      </c>
      <c r="L159" s="211">
        <f>IF(K159=0,'技能模擬器'!I39,0)</f>
        <v>0</v>
      </c>
      <c r="M159" s="4"/>
      <c r="N159" s="10"/>
      <c r="O159" s="1"/>
      <c r="P159" s="1">
        <f>(IF(F135&gt;0,0,1)+IF($H135&gt;=20,0,2))*L147</f>
        <v>3</v>
      </c>
      <c r="Q159" s="211">
        <f>IF(P159=0,'技能模擬器'!N39,0)</f>
        <v>0</v>
      </c>
      <c r="R159" s="10"/>
      <c r="S159" s="10"/>
      <c r="T159" s="10"/>
      <c r="U159" s="1">
        <f>(IF(G135&gt;0,0,1)+IF($H135&gt;=20,0,2))*L147</f>
        <v>3</v>
      </c>
      <c r="V159" s="211">
        <f>IF(U159=0,'技能模擬器'!S39,0)</f>
        <v>0</v>
      </c>
      <c r="W159" s="205"/>
      <c r="X159" s="205"/>
      <c r="Y159" s="183"/>
      <c r="Z159" s="10"/>
      <c r="AA159" s="210">
        <f>(IF(E145&gt;0,0,1)+IF($H145&gt;=20,0,2))*AB147</f>
        <v>3</v>
      </c>
      <c r="AB159" s="211">
        <f>IF(AA159=0,'技能模擬器'!Y39,0)</f>
        <v>0</v>
      </c>
      <c r="AC159" s="4"/>
      <c r="AD159" s="10"/>
      <c r="AE159" s="1"/>
      <c r="AF159" s="210">
        <f>(IF(F145&gt;0,0,1)+IF($H145&gt;=20,0,2))*AB147</f>
        <v>3</v>
      </c>
      <c r="AG159" s="211">
        <f>IF(AF159=0,'技能模擬器'!AD39,0)</f>
        <v>0</v>
      </c>
      <c r="AH159" s="10"/>
      <c r="AI159" s="10"/>
      <c r="AJ159" s="10"/>
      <c r="AK159" s="210">
        <f>(IF(G145&gt;0,0,1)+IF($H145&gt;=20,0,2))*AB147</f>
        <v>3</v>
      </c>
      <c r="AL159" s="211">
        <f>IF(AK159=0,'技能模擬器'!AI39,0)</f>
        <v>0</v>
      </c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ht="16.5" customHeight="1">
      <c r="A160" s="1"/>
      <c r="B160" s="1"/>
      <c r="C160" s="199"/>
      <c r="D160" s="1"/>
      <c r="E160" s="1"/>
      <c r="F160" s="1"/>
      <c r="G160" s="19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05"/>
      <c r="W160" s="205"/>
      <c r="X160" s="205"/>
      <c r="Y160" s="183"/>
      <c r="Z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ht="16.5" customHeight="1">
      <c r="A161" s="1"/>
      <c r="B161" s="1"/>
      <c r="C161" s="199"/>
      <c r="D161" s="1"/>
      <c r="E161" s="1"/>
      <c r="F161" s="1"/>
      <c r="G161" s="19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05"/>
      <c r="W161" s="205"/>
      <c r="X161" s="205"/>
      <c r="Y161" s="183"/>
      <c r="Z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ht="16.5" customHeight="1">
      <c r="A162" s="1"/>
      <c r="B162" s="1"/>
      <c r="C162" s="199"/>
      <c r="D162" s="1"/>
      <c r="E162" s="1"/>
      <c r="F162" s="1"/>
      <c r="G162" s="19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05"/>
      <c r="W162" s="205"/>
      <c r="X162" s="205"/>
      <c r="Y162" s="183"/>
      <c r="Z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ht="16.5" customHeight="1">
      <c r="A163" s="1"/>
      <c r="B163" s="1"/>
      <c r="C163" s="199"/>
      <c r="D163" s="1"/>
      <c r="E163" s="1"/>
      <c r="F163" s="1"/>
      <c r="G163" s="19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05"/>
      <c r="W163" s="205"/>
      <c r="X163" s="205"/>
      <c r="Y163" s="183"/>
      <c r="Z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ht="16.5" customHeight="1">
      <c r="A164" s="1"/>
      <c r="B164" s="1"/>
      <c r="C164" s="199"/>
      <c r="D164" s="1"/>
      <c r="E164" s="1"/>
      <c r="F164" s="1"/>
      <c r="G164" s="19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05"/>
      <c r="W164" s="205"/>
      <c r="X164" s="205"/>
      <c r="Y164" s="183"/>
      <c r="Z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ht="16.5" customHeight="1">
      <c r="A165" s="1"/>
      <c r="B165" s="1"/>
      <c r="C165" s="199"/>
      <c r="D165" s="1"/>
      <c r="E165" s="1"/>
      <c r="F165" s="1"/>
      <c r="G165" s="199"/>
      <c r="H165" s="1"/>
      <c r="I165" s="1"/>
      <c r="J165" s="1"/>
      <c r="K165" s="1">
        <f>(IF(E136&gt;0,0,1)+IF($H136&gt;=50,0,2))*L147</f>
        <v>3</v>
      </c>
      <c r="L165" s="211">
        <f>IF(K165=0,'技能模擬器'!I45,0)</f>
        <v>0</v>
      </c>
      <c r="M165" s="4"/>
      <c r="N165" s="10"/>
      <c r="O165" s="1"/>
      <c r="P165" s="1"/>
      <c r="Q165" s="1"/>
      <c r="R165" s="10"/>
      <c r="S165" s="10"/>
      <c r="T165" s="10"/>
      <c r="U165" s="1">
        <f>(IF(G136&gt;0,0,1)+IF($H136&gt;=50,0,2))*L147</f>
        <v>3</v>
      </c>
      <c r="V165" s="211">
        <f>IF(U165=0,'技能模擬器'!S45,0)</f>
        <v>0</v>
      </c>
      <c r="W165" s="205"/>
      <c r="X165" s="205"/>
      <c r="Y165" s="183"/>
      <c r="Z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ht="16.5" customHeight="1">
      <c r="A166" s="1"/>
      <c r="B166" s="1"/>
      <c r="C166" s="199"/>
      <c r="D166" s="1"/>
      <c r="E166" s="1"/>
      <c r="F166" s="1"/>
      <c r="G166" s="19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05"/>
      <c r="W166" s="205"/>
      <c r="X166" s="205"/>
      <c r="Y166" s="183"/>
      <c r="Z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ht="16.5" customHeight="1">
      <c r="A167" s="1"/>
      <c r="B167" s="1"/>
      <c r="C167" s="199"/>
      <c r="D167" s="1"/>
      <c r="E167" s="1"/>
      <c r="F167" s="1"/>
      <c r="G167" s="19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05"/>
      <c r="W167" s="205"/>
      <c r="X167" s="205"/>
      <c r="Y167" s="183"/>
      <c r="Z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ht="16.5" customHeight="1">
      <c r="A168" s="1"/>
      <c r="B168" s="1"/>
      <c r="C168" s="199"/>
      <c r="D168" s="1"/>
      <c r="E168" s="1"/>
      <c r="F168" s="1"/>
      <c r="G168" s="19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05"/>
      <c r="W168" s="205"/>
      <c r="X168" s="205"/>
      <c r="Y168" s="183"/>
      <c r="Z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ht="16.5" customHeight="1">
      <c r="A169" s="1"/>
      <c r="B169" s="1"/>
      <c r="C169" s="199"/>
      <c r="D169" s="1"/>
      <c r="E169" s="1"/>
      <c r="F169" s="1"/>
      <c r="G169" s="19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05"/>
      <c r="W169" s="205"/>
      <c r="X169" s="205"/>
      <c r="Y169" s="183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ht="16.5" customHeight="1">
      <c r="A170" s="1"/>
      <c r="B170" s="1"/>
      <c r="C170" s="199"/>
      <c r="D170" s="1"/>
      <c r="E170" s="1"/>
      <c r="F170" s="1"/>
      <c r="G170" s="19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05"/>
      <c r="W170" s="205"/>
      <c r="X170" s="205"/>
      <c r="Y170" s="183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ht="16.5" customHeight="1">
      <c r="A171" s="1"/>
      <c r="B171" s="1"/>
      <c r="C171" s="199"/>
      <c r="D171" s="1"/>
      <c r="E171" s="1"/>
      <c r="F171" s="1"/>
      <c r="G171" s="19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05"/>
      <c r="W171" s="205"/>
      <c r="X171" s="205"/>
      <c r="Y171" s="183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ht="16.5" customHeight="1">
      <c r="A172" s="1"/>
      <c r="B172" s="1"/>
      <c r="C172" s="199"/>
      <c r="D172" s="1"/>
      <c r="E172" s="1"/>
      <c r="F172" s="1"/>
      <c r="G172" s="19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05"/>
      <c r="W172" s="205"/>
      <c r="X172" s="205"/>
      <c r="Y172" s="183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ht="16.5" customHeight="1">
      <c r="A173" s="1"/>
      <c r="B173" s="1"/>
      <c r="C173" s="199"/>
      <c r="D173" s="1"/>
      <c r="E173" s="1"/>
      <c r="F173" s="1"/>
      <c r="G173" s="19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05"/>
      <c r="W173" s="205"/>
      <c r="X173" s="205"/>
      <c r="Y173" s="183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ht="16.5" customHeight="1">
      <c r="A174" s="1"/>
      <c r="B174" s="1"/>
      <c r="C174" s="199"/>
      <c r="D174" s="1"/>
      <c r="E174" s="1"/>
      <c r="F174" s="1"/>
      <c r="G174" s="199"/>
      <c r="H174" s="1"/>
      <c r="I174" s="1"/>
      <c r="J174" s="1"/>
      <c r="K174" s="1"/>
      <c r="L174" s="1"/>
      <c r="M174" s="1"/>
      <c r="N174" s="10"/>
      <c r="O174" s="10"/>
      <c r="P174" s="10"/>
      <c r="Q174" s="10"/>
      <c r="R174" s="10"/>
      <c r="S174" s="10"/>
      <c r="T174" s="10"/>
      <c r="U174" s="1"/>
      <c r="V174" s="205"/>
      <c r="W174" s="205"/>
      <c r="X174" s="205"/>
      <c r="Y174" s="183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ht="16.5" customHeight="1">
      <c r="A175" s="1"/>
      <c r="B175" s="1"/>
      <c r="C175" s="199"/>
      <c r="D175" s="1"/>
      <c r="E175" s="1"/>
      <c r="F175" s="1"/>
      <c r="G175" s="199"/>
      <c r="H175" s="1"/>
      <c r="I175" s="1"/>
      <c r="J175" s="1"/>
      <c r="K175" s="1"/>
      <c r="L175" s="1"/>
      <c r="M175" s="1"/>
      <c r="N175" s="10"/>
      <c r="O175" s="10"/>
      <c r="P175" s="10"/>
      <c r="Q175" s="10"/>
      <c r="R175" s="10"/>
      <c r="S175" s="10"/>
      <c r="T175" s="10"/>
      <c r="U175" s="1"/>
      <c r="V175" s="205"/>
      <c r="W175" s="205"/>
      <c r="X175" s="205"/>
      <c r="Y175" s="183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ht="16.5" customHeight="1">
      <c r="A176" s="1"/>
      <c r="B176" s="1"/>
      <c r="C176" s="199"/>
      <c r="D176" s="1"/>
      <c r="E176" s="1"/>
      <c r="F176" s="1"/>
      <c r="G176" s="199"/>
      <c r="H176" s="1"/>
      <c r="I176" s="1"/>
      <c r="J176" s="1"/>
      <c r="K176" s="1"/>
      <c r="L176" s="1"/>
      <c r="M176" s="1"/>
      <c r="N176" s="10"/>
      <c r="O176" s="10"/>
      <c r="P176" s="10"/>
      <c r="Q176" s="10"/>
      <c r="R176" s="10"/>
      <c r="S176" s="10"/>
      <c r="T176" s="10"/>
      <c r="U176" s="1"/>
      <c r="V176" s="205"/>
      <c r="W176" s="205"/>
      <c r="X176" s="205"/>
      <c r="Y176" s="183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ht="16.5" customHeight="1">
      <c r="A177" s="1"/>
      <c r="B177" s="1"/>
      <c r="C177" s="199"/>
      <c r="D177" s="1"/>
      <c r="E177" s="1"/>
      <c r="F177" s="1"/>
      <c r="G177" s="199"/>
      <c r="H177" s="1"/>
      <c r="I177" s="1"/>
      <c r="J177" s="1"/>
      <c r="K177" s="1"/>
      <c r="L177" s="1"/>
      <c r="M177" s="1"/>
      <c r="N177" s="10"/>
      <c r="O177" s="10"/>
      <c r="P177" s="10"/>
      <c r="Q177" s="10"/>
      <c r="R177" s="10"/>
      <c r="S177" s="10"/>
      <c r="T177" s="10"/>
      <c r="U177" s="1"/>
      <c r="V177" s="205"/>
      <c r="W177" s="205"/>
      <c r="X177" s="205"/>
      <c r="Y177" s="183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ht="16.5" customHeight="1">
      <c r="A178" s="1"/>
      <c r="B178" s="1"/>
      <c r="C178" s="199"/>
      <c r="D178" s="1"/>
      <c r="E178" s="1"/>
      <c r="F178" s="1"/>
      <c r="G178" s="199"/>
      <c r="H178" s="1"/>
      <c r="I178" s="1"/>
      <c r="J178" s="1"/>
      <c r="K178" s="1"/>
      <c r="L178" s="1"/>
      <c r="M178" s="1"/>
      <c r="N178" s="10"/>
      <c r="O178" s="10"/>
      <c r="P178" s="10"/>
      <c r="Q178" s="10"/>
      <c r="R178" s="10"/>
      <c r="S178" s="10"/>
      <c r="T178" s="10"/>
      <c r="U178" s="1"/>
      <c r="V178" s="205"/>
      <c r="W178" s="205"/>
      <c r="X178" s="205"/>
      <c r="Y178" s="183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ht="16.5" customHeight="1">
      <c r="A179" s="1"/>
      <c r="B179" s="1"/>
      <c r="C179" s="199"/>
      <c r="D179" s="1"/>
      <c r="E179" s="1"/>
      <c r="F179" s="1"/>
      <c r="G179" s="199"/>
      <c r="H179" s="1"/>
      <c r="I179" s="1"/>
      <c r="J179" s="1"/>
      <c r="K179" s="1"/>
      <c r="L179" s="1"/>
      <c r="M179" s="1"/>
      <c r="N179" s="10"/>
      <c r="O179" s="10"/>
      <c r="P179" s="10"/>
      <c r="Q179" s="10"/>
      <c r="R179" s="10"/>
      <c r="S179" s="10"/>
      <c r="T179" s="10"/>
      <c r="U179" s="1"/>
      <c r="V179" s="205"/>
      <c r="W179" s="205"/>
      <c r="X179" s="205"/>
      <c r="Y179" s="183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ht="16.5" customHeight="1">
      <c r="A180" s="1"/>
      <c r="B180" s="1"/>
      <c r="C180" s="199"/>
      <c r="D180" s="1"/>
      <c r="E180" s="1"/>
      <c r="F180" s="1"/>
      <c r="G180" s="199"/>
      <c r="H180" s="1"/>
      <c r="I180" s="1"/>
      <c r="J180" s="1"/>
      <c r="K180" s="1"/>
      <c r="L180" s="1"/>
      <c r="M180" s="1"/>
      <c r="N180" s="10"/>
      <c r="O180" s="10"/>
      <c r="P180" s="10"/>
      <c r="Q180" s="10"/>
      <c r="R180" s="10"/>
      <c r="S180" s="10"/>
      <c r="T180" s="10"/>
      <c r="U180" s="1"/>
      <c r="V180" s="205"/>
      <c r="W180" s="205"/>
      <c r="X180" s="205"/>
      <c r="Y180" s="183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ht="16.5" customHeight="1">
      <c r="A181" s="1"/>
      <c r="B181" s="1"/>
      <c r="C181" s="199"/>
      <c r="D181" s="1"/>
      <c r="E181" s="1"/>
      <c r="F181" s="1"/>
      <c r="G181" s="199"/>
      <c r="H181" s="1"/>
      <c r="I181" s="1"/>
      <c r="J181" s="1"/>
      <c r="K181" s="1"/>
      <c r="L181" s="1"/>
      <c r="M181" s="1"/>
      <c r="N181" s="10"/>
      <c r="O181" s="10"/>
      <c r="P181" s="10"/>
      <c r="Q181" s="10"/>
      <c r="R181" s="10"/>
      <c r="S181" s="10"/>
      <c r="T181" s="10"/>
      <c r="U181" s="1"/>
      <c r="V181" s="205"/>
      <c r="W181" s="205"/>
      <c r="X181" s="205"/>
      <c r="Y181" s="183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 ht="16.5" customHeight="1">
      <c r="A182" s="1"/>
      <c r="B182" s="1"/>
      <c r="C182" s="199"/>
      <c r="D182" s="1"/>
      <c r="E182" s="1"/>
      <c r="F182" s="1"/>
      <c r="G182" s="199"/>
      <c r="H182" s="1"/>
      <c r="I182" s="1"/>
      <c r="J182" s="1"/>
      <c r="K182" s="1"/>
      <c r="L182" s="1"/>
      <c r="M182" s="1"/>
      <c r="N182" s="10"/>
      <c r="O182" s="10"/>
      <c r="P182" s="10"/>
      <c r="Q182" s="10"/>
      <c r="R182" s="10"/>
      <c r="S182" s="10"/>
      <c r="T182" s="10"/>
      <c r="U182" s="1"/>
      <c r="V182" s="205"/>
      <c r="W182" s="205"/>
      <c r="X182" s="205"/>
      <c r="Y182" s="183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ht="16.5" customHeight="1">
      <c r="A183" s="1"/>
      <c r="B183" s="1"/>
      <c r="C183" s="199"/>
      <c r="D183" s="1"/>
      <c r="E183" s="1"/>
      <c r="F183" s="1"/>
      <c r="G183" s="199"/>
      <c r="H183" s="1"/>
      <c r="I183" s="1"/>
      <c r="J183" s="1"/>
      <c r="K183" s="1"/>
      <c r="L183" s="1"/>
      <c r="M183" s="1"/>
      <c r="N183" s="10"/>
      <c r="O183" s="10"/>
      <c r="P183" s="10"/>
      <c r="Q183" s="10"/>
      <c r="R183" s="10"/>
      <c r="S183" s="10"/>
      <c r="T183" s="10"/>
      <c r="U183" s="1"/>
      <c r="V183" s="205"/>
      <c r="W183" s="205"/>
      <c r="X183" s="205"/>
      <c r="Y183" s="183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ht="16.5" customHeight="1">
      <c r="A184" s="1"/>
      <c r="B184" s="1"/>
      <c r="C184" s="199"/>
      <c r="D184" s="1"/>
      <c r="E184" s="1"/>
      <c r="F184" s="1"/>
      <c r="G184" s="199"/>
      <c r="H184" s="1"/>
      <c r="I184" s="1"/>
      <c r="J184" s="1"/>
      <c r="K184" s="1"/>
      <c r="L184" s="1"/>
      <c r="M184" s="1"/>
      <c r="N184" s="10"/>
      <c r="O184" s="10"/>
      <c r="P184" s="10"/>
      <c r="Q184" s="10"/>
      <c r="R184" s="10"/>
      <c r="S184" s="10"/>
      <c r="T184" s="10"/>
      <c r="U184" s="1"/>
      <c r="V184" s="205"/>
      <c r="W184" s="205"/>
      <c r="X184" s="205"/>
      <c r="Y184" s="183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ht="16.5" customHeight="1">
      <c r="A185" s="1"/>
      <c r="B185" s="1"/>
      <c r="C185" s="199"/>
      <c r="D185" s="1"/>
      <c r="E185" s="1"/>
      <c r="F185" s="1"/>
      <c r="G185" s="199"/>
      <c r="H185" s="1"/>
      <c r="I185" s="1"/>
      <c r="J185" s="1"/>
      <c r="K185" s="1"/>
      <c r="L185" s="1"/>
      <c r="M185" s="1"/>
      <c r="N185" s="10"/>
      <c r="O185" s="10"/>
      <c r="P185" s="10"/>
      <c r="Q185" s="10"/>
      <c r="R185" s="10"/>
      <c r="S185" s="10"/>
      <c r="T185" s="10"/>
      <c r="U185" s="1"/>
      <c r="V185" s="205"/>
      <c r="W185" s="205"/>
      <c r="X185" s="205"/>
      <c r="Y185" s="183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ht="16.5" customHeight="1">
      <c r="A186" s="1"/>
      <c r="B186" s="1"/>
      <c r="C186" s="199"/>
      <c r="D186" s="1"/>
      <c r="E186" s="1"/>
      <c r="F186" s="1"/>
      <c r="G186" s="199"/>
      <c r="H186" s="1"/>
      <c r="I186" s="1"/>
      <c r="J186" s="1"/>
      <c r="K186" s="1"/>
      <c r="L186" s="1"/>
      <c r="M186" s="1"/>
      <c r="N186" s="10"/>
      <c r="O186" s="10"/>
      <c r="P186" s="10"/>
      <c r="Q186" s="10"/>
      <c r="R186" s="10"/>
      <c r="S186" s="10"/>
      <c r="T186" s="10"/>
      <c r="U186" s="1"/>
      <c r="V186" s="205"/>
      <c r="W186" s="205"/>
      <c r="X186" s="205"/>
      <c r="Y186" s="183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 ht="16.5" customHeight="1">
      <c r="A187" s="1"/>
      <c r="B187" s="1"/>
      <c r="C187" s="199"/>
      <c r="D187" s="1"/>
      <c r="E187" s="1"/>
      <c r="F187" s="1"/>
      <c r="G187" s="199"/>
      <c r="H187" s="1"/>
      <c r="I187" s="1"/>
      <c r="J187" s="1"/>
      <c r="K187" s="1"/>
      <c r="L187" s="1"/>
      <c r="M187" s="1"/>
      <c r="N187" s="10"/>
      <c r="O187" s="10"/>
      <c r="P187" s="10"/>
      <c r="Q187" s="10"/>
      <c r="R187" s="10"/>
      <c r="S187" s="10"/>
      <c r="T187" s="10"/>
      <c r="U187" s="1"/>
      <c r="V187" s="205"/>
      <c r="W187" s="205"/>
      <c r="X187" s="205"/>
      <c r="Y187" s="183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ht="16.5" customHeight="1">
      <c r="A188" s="1"/>
      <c r="B188" s="1"/>
      <c r="C188" s="199"/>
      <c r="D188" s="1"/>
      <c r="E188" s="1"/>
      <c r="F188" s="1"/>
      <c r="G188" s="199"/>
      <c r="H188" s="1"/>
      <c r="I188" s="1"/>
      <c r="J188" s="1"/>
      <c r="K188" s="1"/>
      <c r="L188" s="1"/>
      <c r="M188" s="1"/>
      <c r="N188" s="10"/>
      <c r="O188" s="10"/>
      <c r="P188" s="10"/>
      <c r="Q188" s="10"/>
      <c r="R188" s="10"/>
      <c r="S188" s="10"/>
      <c r="T188" s="10"/>
      <c r="U188" s="1"/>
      <c r="V188" s="205"/>
      <c r="W188" s="205"/>
      <c r="X188" s="205"/>
      <c r="Y188" s="183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ht="16.5" customHeight="1">
      <c r="A189" s="1"/>
      <c r="B189" s="1"/>
      <c r="C189" s="199"/>
      <c r="D189" s="1"/>
      <c r="E189" s="1"/>
      <c r="F189" s="1"/>
      <c r="G189" s="199"/>
      <c r="H189" s="1"/>
      <c r="I189" s="1"/>
      <c r="J189" s="1"/>
      <c r="K189" s="1"/>
      <c r="L189" s="1"/>
      <c r="M189" s="1"/>
      <c r="N189" s="10"/>
      <c r="O189" s="10"/>
      <c r="P189" s="10"/>
      <c r="Q189" s="10"/>
      <c r="R189" s="10"/>
      <c r="S189" s="10"/>
      <c r="T189" s="10"/>
      <c r="U189" s="1"/>
      <c r="V189" s="205"/>
      <c r="W189" s="205"/>
      <c r="X189" s="205"/>
      <c r="Y189" s="183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ht="16.5" customHeight="1">
      <c r="A190" s="1"/>
      <c r="B190" s="1"/>
      <c r="C190" s="199"/>
      <c r="D190" s="1"/>
      <c r="E190" s="1"/>
      <c r="F190" s="1"/>
      <c r="G190" s="199"/>
      <c r="H190" s="1"/>
      <c r="I190" s="1"/>
      <c r="J190" s="1"/>
      <c r="K190" s="1"/>
      <c r="L190" s="1"/>
      <c r="M190" s="1"/>
      <c r="N190" s="10"/>
      <c r="O190" s="10"/>
      <c r="P190" s="10"/>
      <c r="Q190" s="10"/>
      <c r="R190" s="10"/>
      <c r="S190" s="10"/>
      <c r="T190" s="10"/>
      <c r="U190" s="1"/>
      <c r="V190" s="205"/>
      <c r="W190" s="205"/>
      <c r="X190" s="205"/>
      <c r="Y190" s="183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ht="16.5" customHeight="1">
      <c r="A191" s="1"/>
      <c r="B191" s="1"/>
      <c r="C191" s="199"/>
      <c r="D191" s="1"/>
      <c r="E191" s="1"/>
      <c r="F191" s="1"/>
      <c r="G191" s="199"/>
      <c r="H191" s="1"/>
      <c r="I191" s="1"/>
      <c r="J191" s="1"/>
      <c r="K191" s="1"/>
      <c r="L191" s="1"/>
      <c r="M191" s="1"/>
      <c r="N191" s="10"/>
      <c r="O191" s="10"/>
      <c r="P191" s="10"/>
      <c r="Q191" s="10"/>
      <c r="R191" s="10"/>
      <c r="S191" s="10"/>
      <c r="T191" s="10"/>
      <c r="U191" s="1"/>
      <c r="V191" s="205"/>
      <c r="W191" s="205"/>
      <c r="X191" s="205"/>
      <c r="Y191" s="183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ht="16.5" customHeight="1">
      <c r="A192" s="1"/>
      <c r="B192" s="1"/>
      <c r="C192" s="199"/>
      <c r="D192" s="1"/>
      <c r="E192" s="1"/>
      <c r="F192" s="1"/>
      <c r="G192" s="199"/>
      <c r="H192" s="1"/>
      <c r="I192" s="1"/>
      <c r="J192" s="1"/>
      <c r="K192" s="1"/>
      <c r="L192" s="1"/>
      <c r="M192" s="1"/>
      <c r="N192" s="10"/>
      <c r="O192" s="10"/>
      <c r="P192" s="10"/>
      <c r="Q192" s="10"/>
      <c r="R192" s="10"/>
      <c r="S192" s="10"/>
      <c r="T192" s="10"/>
      <c r="U192" s="1"/>
      <c r="V192" s="205"/>
      <c r="W192" s="205"/>
      <c r="X192" s="205"/>
      <c r="Y192" s="183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ht="16.5" customHeight="1">
      <c r="A193" s="1"/>
      <c r="B193" s="1"/>
      <c r="C193" s="199"/>
      <c r="D193" s="1"/>
      <c r="E193" s="1"/>
      <c r="F193" s="1"/>
      <c r="G193" s="199"/>
      <c r="H193" s="1"/>
      <c r="I193" s="1"/>
      <c r="J193" s="1"/>
      <c r="K193" s="1"/>
      <c r="L193" s="1"/>
      <c r="M193" s="1"/>
      <c r="N193" s="10"/>
      <c r="O193" s="10"/>
      <c r="P193" s="10"/>
      <c r="Q193" s="10"/>
      <c r="R193" s="10"/>
      <c r="S193" s="10"/>
      <c r="T193" s="10"/>
      <c r="U193" s="1"/>
      <c r="V193" s="205"/>
      <c r="W193" s="205"/>
      <c r="X193" s="205"/>
      <c r="Y193" s="183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ht="16.5" customHeight="1">
      <c r="A194" s="1"/>
      <c r="B194" s="1"/>
      <c r="C194" s="199"/>
      <c r="D194" s="1"/>
      <c r="E194" s="1"/>
      <c r="F194" s="1"/>
      <c r="G194" s="199"/>
      <c r="H194" s="1"/>
      <c r="I194" s="1"/>
      <c r="J194" s="1"/>
      <c r="K194" s="1"/>
      <c r="L194" s="1"/>
      <c r="M194" s="1"/>
      <c r="N194" s="10"/>
      <c r="O194" s="10"/>
      <c r="P194" s="10"/>
      <c r="Q194" s="10"/>
      <c r="R194" s="10"/>
      <c r="S194" s="10"/>
      <c r="T194" s="10"/>
      <c r="U194" s="1"/>
      <c r="V194" s="205"/>
      <c r="W194" s="205"/>
      <c r="X194" s="205"/>
      <c r="Y194" s="183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ht="16.5" customHeight="1">
      <c r="A195" s="1"/>
      <c r="B195" s="1"/>
      <c r="C195" s="199"/>
      <c r="D195" s="1"/>
      <c r="E195" s="1"/>
      <c r="F195" s="1"/>
      <c r="G195" s="199"/>
      <c r="H195" s="1"/>
      <c r="I195" s="1"/>
      <c r="J195" s="1"/>
      <c r="K195" s="1"/>
      <c r="L195" s="1"/>
      <c r="M195" s="1"/>
      <c r="N195" s="10"/>
      <c r="O195" s="10"/>
      <c r="P195" s="10"/>
      <c r="Q195" s="10"/>
      <c r="R195" s="10"/>
      <c r="S195" s="10"/>
      <c r="T195" s="10"/>
      <c r="U195" s="1"/>
      <c r="V195" s="205"/>
      <c r="W195" s="205"/>
      <c r="X195" s="205"/>
      <c r="Y195" s="183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ht="16.5" customHeight="1">
      <c r="A196" s="1"/>
      <c r="B196" s="1"/>
      <c r="C196" s="199"/>
      <c r="D196" s="1"/>
      <c r="E196" s="1"/>
      <c r="F196" s="1"/>
      <c r="G196" s="199"/>
      <c r="H196" s="1"/>
      <c r="I196" s="1"/>
      <c r="J196" s="1"/>
      <c r="K196" s="1"/>
      <c r="L196" s="1"/>
      <c r="M196" s="1"/>
      <c r="N196" s="10"/>
      <c r="O196" s="10"/>
      <c r="P196" s="10"/>
      <c r="Q196" s="10"/>
      <c r="R196" s="10"/>
      <c r="S196" s="10"/>
      <c r="T196" s="10"/>
      <c r="U196" s="1"/>
      <c r="V196" s="205"/>
      <c r="W196" s="205"/>
      <c r="X196" s="205"/>
      <c r="Y196" s="183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ht="16.5" customHeight="1">
      <c r="A197" s="1"/>
      <c r="B197" s="1"/>
      <c r="C197" s="199"/>
      <c r="D197" s="1"/>
      <c r="E197" s="1"/>
      <c r="F197" s="1"/>
      <c r="G197" s="199"/>
      <c r="H197" s="1"/>
      <c r="I197" s="1"/>
      <c r="J197" s="1"/>
      <c r="K197" s="1"/>
      <c r="L197" s="1"/>
      <c r="M197" s="1"/>
      <c r="N197" s="10"/>
      <c r="O197" s="10"/>
      <c r="P197" s="10"/>
      <c r="Q197" s="10"/>
      <c r="R197" s="10"/>
      <c r="S197" s="10"/>
      <c r="T197" s="10"/>
      <c r="U197" s="1"/>
      <c r="V197" s="205"/>
      <c r="W197" s="205"/>
      <c r="X197" s="205"/>
      <c r="Y197" s="183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ht="16.5" customHeight="1">
      <c r="A198" s="1"/>
      <c r="B198" s="1"/>
      <c r="C198" s="199"/>
      <c r="D198" s="1"/>
      <c r="E198" s="1"/>
      <c r="F198" s="1"/>
      <c r="G198" s="199"/>
      <c r="H198" s="1"/>
      <c r="I198" s="1"/>
      <c r="J198" s="1"/>
      <c r="K198" s="1"/>
      <c r="L198" s="1"/>
      <c r="M198" s="1"/>
      <c r="N198" s="10"/>
      <c r="O198" s="10"/>
      <c r="P198" s="10"/>
      <c r="Q198" s="10"/>
      <c r="R198" s="10"/>
      <c r="S198" s="10"/>
      <c r="T198" s="10"/>
      <c r="U198" s="1"/>
      <c r="V198" s="205"/>
      <c r="W198" s="205"/>
      <c r="X198" s="205"/>
      <c r="Y198" s="183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ht="16.5" customHeight="1">
      <c r="A199" s="1"/>
      <c r="B199" s="1"/>
      <c r="C199" s="199"/>
      <c r="D199" s="1"/>
      <c r="E199" s="1"/>
      <c r="F199" s="1"/>
      <c r="G199" s="199"/>
      <c r="H199" s="1"/>
      <c r="I199" s="1"/>
      <c r="J199" s="1"/>
      <c r="K199" s="1"/>
      <c r="L199" s="1"/>
      <c r="M199" s="1"/>
      <c r="N199" s="10"/>
      <c r="O199" s="10"/>
      <c r="P199" s="10"/>
      <c r="Q199" s="10"/>
      <c r="R199" s="10"/>
      <c r="S199" s="10"/>
      <c r="T199" s="10"/>
      <c r="U199" s="1"/>
      <c r="V199" s="205"/>
      <c r="W199" s="205"/>
      <c r="X199" s="205"/>
      <c r="Y199" s="183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ht="16.5" customHeight="1">
      <c r="A200" s="1"/>
      <c r="B200" s="1"/>
      <c r="C200" s="199"/>
      <c r="D200" s="1"/>
      <c r="E200" s="1"/>
      <c r="F200" s="1"/>
      <c r="G200" s="199"/>
      <c r="H200" s="1"/>
      <c r="I200" s="1"/>
      <c r="J200" s="1"/>
      <c r="K200" s="1"/>
      <c r="L200" s="1"/>
      <c r="M200" s="1"/>
      <c r="N200" s="10"/>
      <c r="O200" s="10"/>
      <c r="P200" s="10"/>
      <c r="Q200" s="10"/>
      <c r="R200" s="10"/>
      <c r="S200" s="10"/>
      <c r="T200" s="10"/>
      <c r="U200" s="1"/>
      <c r="V200" s="205"/>
      <c r="W200" s="205"/>
      <c r="X200" s="205"/>
      <c r="Y200" s="183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ht="16.5" customHeight="1">
      <c r="A201" s="1"/>
      <c r="B201" s="1"/>
      <c r="C201" s="199"/>
      <c r="D201" s="1"/>
      <c r="E201" s="1"/>
      <c r="F201" s="1"/>
      <c r="G201" s="199"/>
      <c r="H201" s="1"/>
      <c r="I201" s="1"/>
      <c r="J201" s="1"/>
      <c r="K201" s="1"/>
      <c r="L201" s="1"/>
      <c r="M201" s="1"/>
      <c r="N201" s="10"/>
      <c r="O201" s="10"/>
      <c r="P201" s="10"/>
      <c r="Q201" s="10"/>
      <c r="R201" s="10"/>
      <c r="S201" s="10"/>
      <c r="T201" s="10"/>
      <c r="U201" s="1"/>
      <c r="V201" s="205"/>
      <c r="W201" s="205"/>
      <c r="X201" s="205"/>
      <c r="Y201" s="183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ht="16.5" customHeight="1">
      <c r="A202" s="1"/>
      <c r="B202" s="1"/>
      <c r="C202" s="199"/>
      <c r="D202" s="1"/>
      <c r="E202" s="1"/>
      <c r="F202" s="1"/>
      <c r="G202" s="199"/>
      <c r="H202" s="1"/>
      <c r="I202" s="1"/>
      <c r="J202" s="1"/>
      <c r="K202" s="1"/>
      <c r="L202" s="1"/>
      <c r="M202" s="1"/>
      <c r="N202" s="10"/>
      <c r="O202" s="10"/>
      <c r="P202" s="10"/>
      <c r="Q202" s="10"/>
      <c r="R202" s="10"/>
      <c r="S202" s="10"/>
      <c r="T202" s="10"/>
      <c r="U202" s="1"/>
      <c r="V202" s="205"/>
      <c r="W202" s="205"/>
      <c r="X202" s="205"/>
      <c r="Y202" s="183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ht="16.5" customHeight="1">
      <c r="A203" s="1"/>
      <c r="B203" s="1"/>
      <c r="C203" s="199"/>
      <c r="D203" s="1"/>
      <c r="E203" s="1"/>
      <c r="F203" s="1"/>
      <c r="G203" s="199"/>
      <c r="H203" s="1"/>
      <c r="I203" s="1"/>
      <c r="J203" s="1"/>
      <c r="K203" s="1"/>
      <c r="L203" s="1"/>
      <c r="M203" s="1"/>
      <c r="N203" s="10"/>
      <c r="O203" s="10"/>
      <c r="P203" s="10"/>
      <c r="Q203" s="10"/>
      <c r="R203" s="10"/>
      <c r="S203" s="10"/>
      <c r="T203" s="10"/>
      <c r="U203" s="1"/>
      <c r="V203" s="205"/>
      <c r="W203" s="205"/>
      <c r="X203" s="205"/>
      <c r="Y203" s="183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ht="16.5" customHeight="1">
      <c r="A204" s="1"/>
      <c r="B204" s="1"/>
      <c r="C204" s="199"/>
      <c r="D204" s="1"/>
      <c r="E204" s="1"/>
      <c r="F204" s="1"/>
      <c r="G204" s="199"/>
      <c r="H204" s="1"/>
      <c r="I204" s="1"/>
      <c r="J204" s="1"/>
      <c r="K204" s="1"/>
      <c r="L204" s="1"/>
      <c r="M204" s="1"/>
      <c r="N204" s="10"/>
      <c r="O204" s="10"/>
      <c r="P204" s="10"/>
      <c r="Q204" s="10"/>
      <c r="R204" s="10"/>
      <c r="S204" s="10"/>
      <c r="T204" s="10"/>
      <c r="U204" s="1"/>
      <c r="V204" s="205"/>
      <c r="W204" s="205"/>
      <c r="X204" s="205"/>
      <c r="Y204" s="183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ht="16.5" customHeight="1">
      <c r="A205" s="1"/>
      <c r="B205" s="1"/>
      <c r="C205" s="199"/>
      <c r="D205" s="1"/>
      <c r="E205" s="1"/>
      <c r="F205" s="1"/>
      <c r="G205" s="199"/>
      <c r="H205" s="1"/>
      <c r="I205" s="1"/>
      <c r="J205" s="1"/>
      <c r="K205" s="1"/>
      <c r="L205" s="1"/>
      <c r="M205" s="1"/>
      <c r="N205" s="10"/>
      <c r="O205" s="10"/>
      <c r="P205" s="10"/>
      <c r="Q205" s="10"/>
      <c r="R205" s="10"/>
      <c r="S205" s="10"/>
      <c r="T205" s="10"/>
      <c r="U205" s="1"/>
      <c r="V205" s="205"/>
      <c r="W205" s="205"/>
      <c r="X205" s="205"/>
      <c r="Y205" s="183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ht="16.5" customHeight="1">
      <c r="A206" s="1"/>
      <c r="B206" s="1"/>
      <c r="C206" s="199"/>
      <c r="D206" s="1"/>
      <c r="E206" s="1"/>
      <c r="F206" s="1"/>
      <c r="G206" s="199"/>
      <c r="H206" s="1"/>
      <c r="I206" s="1"/>
      <c r="J206" s="1"/>
      <c r="K206" s="1"/>
      <c r="L206" s="1"/>
      <c r="M206" s="1"/>
      <c r="N206" s="10"/>
      <c r="O206" s="10"/>
      <c r="P206" s="10"/>
      <c r="Q206" s="10"/>
      <c r="R206" s="10"/>
      <c r="S206" s="10"/>
      <c r="T206" s="10"/>
      <c r="U206" s="1"/>
      <c r="V206" s="205"/>
      <c r="W206" s="205"/>
      <c r="X206" s="205"/>
      <c r="Y206" s="183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ht="16.5" customHeight="1">
      <c r="A207" s="1"/>
      <c r="B207" s="1"/>
      <c r="C207" s="199"/>
      <c r="D207" s="1"/>
      <c r="E207" s="1"/>
      <c r="F207" s="1"/>
      <c r="G207" s="199"/>
      <c r="H207" s="1"/>
      <c r="I207" s="1"/>
      <c r="J207" s="1"/>
      <c r="K207" s="1"/>
      <c r="L207" s="1"/>
      <c r="M207" s="1"/>
      <c r="N207" s="10"/>
      <c r="O207" s="10"/>
      <c r="P207" s="10"/>
      <c r="Q207" s="10"/>
      <c r="R207" s="10"/>
      <c r="S207" s="10"/>
      <c r="T207" s="10"/>
      <c r="U207" s="1"/>
      <c r="V207" s="205"/>
      <c r="W207" s="205"/>
      <c r="X207" s="205"/>
      <c r="Y207" s="183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ht="16.5" customHeight="1">
      <c r="A208" s="1"/>
      <c r="B208" s="1"/>
      <c r="C208" s="199"/>
      <c r="D208" s="1"/>
      <c r="E208" s="1"/>
      <c r="F208" s="1"/>
      <c r="G208" s="199"/>
      <c r="H208" s="1"/>
      <c r="I208" s="1"/>
      <c r="J208" s="1"/>
      <c r="K208" s="1"/>
      <c r="L208" s="1"/>
      <c r="M208" s="1"/>
      <c r="N208" s="10"/>
      <c r="O208" s="10"/>
      <c r="P208" s="10"/>
      <c r="Q208" s="10"/>
      <c r="R208" s="10"/>
      <c r="S208" s="10"/>
      <c r="T208" s="10"/>
      <c r="U208" s="1"/>
      <c r="V208" s="205"/>
      <c r="W208" s="205"/>
      <c r="X208" s="205"/>
      <c r="Y208" s="183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ht="16.5" customHeight="1">
      <c r="A209" s="1"/>
      <c r="B209" s="1"/>
      <c r="C209" s="199"/>
      <c r="D209" s="1"/>
      <c r="E209" s="1"/>
      <c r="F209" s="1"/>
      <c r="G209" s="199"/>
      <c r="H209" s="1"/>
      <c r="I209" s="1"/>
      <c r="J209" s="1"/>
      <c r="K209" s="1"/>
      <c r="L209" s="1"/>
      <c r="M209" s="1"/>
      <c r="N209" s="10"/>
      <c r="O209" s="10"/>
      <c r="P209" s="10"/>
      <c r="Q209" s="10"/>
      <c r="R209" s="10"/>
      <c r="S209" s="10"/>
      <c r="T209" s="10"/>
      <c r="U209" s="1"/>
      <c r="V209" s="205"/>
      <c r="W209" s="205"/>
      <c r="X209" s="205"/>
      <c r="Y209" s="183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ht="16.5" customHeight="1">
      <c r="A210" s="1"/>
      <c r="B210" s="1"/>
      <c r="C210" s="199"/>
      <c r="D210" s="1"/>
      <c r="E210" s="1"/>
      <c r="F210" s="1"/>
      <c r="G210" s="199"/>
      <c r="H210" s="1"/>
      <c r="I210" s="1"/>
      <c r="J210" s="1"/>
      <c r="K210" s="1"/>
      <c r="L210" s="1"/>
      <c r="M210" s="1"/>
      <c r="N210" s="10"/>
      <c r="O210" s="10"/>
      <c r="P210" s="10"/>
      <c r="Q210" s="10"/>
      <c r="R210" s="10"/>
      <c r="S210" s="10"/>
      <c r="T210" s="10"/>
      <c r="U210" s="1"/>
      <c r="V210" s="205"/>
      <c r="W210" s="205"/>
      <c r="X210" s="205"/>
      <c r="Y210" s="183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ht="16.5" customHeight="1">
      <c r="A211" s="1"/>
      <c r="B211" s="1"/>
      <c r="C211" s="199"/>
      <c r="D211" s="1"/>
      <c r="E211" s="1"/>
      <c r="F211" s="1"/>
      <c r="G211" s="199"/>
      <c r="H211" s="1"/>
      <c r="I211" s="1"/>
      <c r="J211" s="1"/>
      <c r="K211" s="1"/>
      <c r="L211" s="1"/>
      <c r="M211" s="1"/>
      <c r="N211" s="10"/>
      <c r="O211" s="10"/>
      <c r="P211" s="10"/>
      <c r="Q211" s="10"/>
      <c r="R211" s="10"/>
      <c r="S211" s="10"/>
      <c r="T211" s="10"/>
      <c r="U211" s="1"/>
      <c r="V211" s="205"/>
      <c r="W211" s="205"/>
      <c r="X211" s="205"/>
      <c r="Y211" s="183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ht="16.5" customHeight="1">
      <c r="A212" s="1"/>
      <c r="B212" s="1"/>
      <c r="C212" s="199"/>
      <c r="D212" s="1"/>
      <c r="E212" s="1"/>
      <c r="F212" s="1"/>
      <c r="G212" s="199"/>
      <c r="H212" s="1"/>
      <c r="I212" s="1"/>
      <c r="J212" s="1"/>
      <c r="K212" s="1"/>
      <c r="L212" s="1"/>
      <c r="M212" s="1"/>
      <c r="N212" s="10"/>
      <c r="O212" s="10"/>
      <c r="P212" s="10"/>
      <c r="Q212" s="10"/>
      <c r="R212" s="10"/>
      <c r="S212" s="10"/>
      <c r="T212" s="10"/>
      <c r="U212" s="1"/>
      <c r="V212" s="205"/>
      <c r="W212" s="205"/>
      <c r="X212" s="205"/>
      <c r="Y212" s="183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ht="16.5" customHeight="1">
      <c r="A213" s="1"/>
      <c r="B213" s="1"/>
      <c r="C213" s="199"/>
      <c r="D213" s="1"/>
      <c r="E213" s="1"/>
      <c r="F213" s="1"/>
      <c r="G213" s="199"/>
      <c r="H213" s="1"/>
      <c r="I213" s="1"/>
      <c r="J213" s="1"/>
      <c r="K213" s="1"/>
      <c r="L213" s="1"/>
      <c r="M213" s="1"/>
      <c r="N213" s="10"/>
      <c r="O213" s="10"/>
      <c r="P213" s="10"/>
      <c r="Q213" s="10"/>
      <c r="R213" s="10"/>
      <c r="S213" s="10"/>
      <c r="T213" s="10"/>
      <c r="U213" s="1"/>
      <c r="V213" s="205"/>
      <c r="W213" s="205"/>
      <c r="X213" s="205"/>
      <c r="Y213" s="183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ht="16.5" customHeight="1">
      <c r="A214" s="1"/>
      <c r="B214" s="1"/>
      <c r="C214" s="199"/>
      <c r="D214" s="1"/>
      <c r="E214" s="1"/>
      <c r="F214" s="1"/>
      <c r="G214" s="199"/>
      <c r="H214" s="1"/>
      <c r="I214" s="1"/>
      <c r="J214" s="1"/>
      <c r="K214" s="1"/>
      <c r="L214" s="1"/>
      <c r="M214" s="1"/>
      <c r="N214" s="10"/>
      <c r="O214" s="10"/>
      <c r="P214" s="10"/>
      <c r="Q214" s="10"/>
      <c r="R214" s="10"/>
      <c r="S214" s="10"/>
      <c r="T214" s="10"/>
      <c r="U214" s="1"/>
      <c r="V214" s="205"/>
      <c r="W214" s="205"/>
      <c r="X214" s="205"/>
      <c r="Y214" s="183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 ht="16.5" customHeight="1">
      <c r="A215" s="1"/>
      <c r="B215" s="1"/>
      <c r="C215" s="199"/>
      <c r="D215" s="1"/>
      <c r="E215" s="1"/>
      <c r="F215" s="1"/>
      <c r="G215" s="199"/>
      <c r="H215" s="1"/>
      <c r="I215" s="1"/>
      <c r="J215" s="1"/>
      <c r="K215" s="1"/>
      <c r="L215" s="1"/>
      <c r="M215" s="1"/>
      <c r="N215" s="10"/>
      <c r="O215" s="10"/>
      <c r="P215" s="10"/>
      <c r="Q215" s="10"/>
      <c r="R215" s="10"/>
      <c r="S215" s="10"/>
      <c r="T215" s="10"/>
      <c r="U215" s="1"/>
      <c r="V215" s="205"/>
      <c r="W215" s="205"/>
      <c r="X215" s="205"/>
      <c r="Y215" s="183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ht="16.5" customHeight="1">
      <c r="A216" s="1"/>
      <c r="B216" s="1"/>
      <c r="C216" s="199"/>
      <c r="D216" s="1"/>
      <c r="E216" s="1"/>
      <c r="F216" s="1"/>
      <c r="G216" s="199"/>
      <c r="H216" s="1"/>
      <c r="I216" s="1"/>
      <c r="J216" s="1"/>
      <c r="K216" s="1"/>
      <c r="L216" s="1"/>
      <c r="M216" s="1"/>
      <c r="N216" s="10"/>
      <c r="O216" s="10"/>
      <c r="P216" s="10"/>
      <c r="Q216" s="10"/>
      <c r="R216" s="10"/>
      <c r="S216" s="10"/>
      <c r="T216" s="10"/>
      <c r="U216" s="1"/>
      <c r="V216" s="205"/>
      <c r="W216" s="205"/>
      <c r="X216" s="205"/>
      <c r="Y216" s="183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ht="16.5" customHeight="1">
      <c r="A217" s="1"/>
      <c r="B217" s="1"/>
      <c r="C217" s="199"/>
      <c r="D217" s="1"/>
      <c r="E217" s="1"/>
      <c r="F217" s="1"/>
      <c r="G217" s="199"/>
      <c r="H217" s="1"/>
      <c r="I217" s="1"/>
      <c r="J217" s="1"/>
      <c r="K217" s="1"/>
      <c r="L217" s="1"/>
      <c r="M217" s="1"/>
      <c r="N217" s="10"/>
      <c r="O217" s="10"/>
      <c r="P217" s="10"/>
      <c r="Q217" s="10"/>
      <c r="R217" s="10"/>
      <c r="S217" s="10"/>
      <c r="T217" s="10"/>
      <c r="U217" s="1"/>
      <c r="V217" s="205"/>
      <c r="W217" s="205"/>
      <c r="X217" s="205"/>
      <c r="Y217" s="183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ht="16.5" customHeight="1">
      <c r="A218" s="1"/>
      <c r="B218" s="1"/>
      <c r="C218" s="199"/>
      <c r="D218" s="1"/>
      <c r="E218" s="1"/>
      <c r="F218" s="1"/>
      <c r="G218" s="199"/>
      <c r="H218" s="1"/>
      <c r="I218" s="1"/>
      <c r="J218" s="1"/>
      <c r="K218" s="1"/>
      <c r="L218" s="1"/>
      <c r="M218" s="1"/>
      <c r="N218" s="10"/>
      <c r="O218" s="10"/>
      <c r="P218" s="10"/>
      <c r="Q218" s="10"/>
      <c r="R218" s="10"/>
      <c r="S218" s="10"/>
      <c r="T218" s="10"/>
      <c r="U218" s="1"/>
      <c r="V218" s="205"/>
      <c r="W218" s="205"/>
      <c r="X218" s="205"/>
      <c r="Y218" s="183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ht="16.5" customHeight="1">
      <c r="A219" s="1"/>
      <c r="B219" s="1"/>
      <c r="C219" s="199"/>
      <c r="D219" s="1"/>
      <c r="E219" s="1"/>
      <c r="F219" s="1"/>
      <c r="G219" s="199"/>
      <c r="H219" s="1"/>
      <c r="I219" s="1"/>
      <c r="J219" s="1"/>
      <c r="K219" s="1"/>
      <c r="L219" s="1"/>
      <c r="M219" s="1"/>
      <c r="N219" s="10"/>
      <c r="O219" s="10"/>
      <c r="P219" s="10"/>
      <c r="Q219" s="10"/>
      <c r="R219" s="10"/>
      <c r="S219" s="10"/>
      <c r="T219" s="10"/>
      <c r="U219" s="1"/>
      <c r="V219" s="205"/>
      <c r="W219" s="205"/>
      <c r="X219" s="205"/>
      <c r="Y219" s="183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ht="16.5" customHeight="1">
      <c r="A220" s="1"/>
      <c r="B220" s="1"/>
      <c r="C220" s="199"/>
      <c r="D220" s="1"/>
      <c r="E220" s="1"/>
      <c r="F220" s="1"/>
      <c r="G220" s="199"/>
      <c r="H220" s="1"/>
      <c r="I220" s="1"/>
      <c r="J220" s="1"/>
      <c r="K220" s="1"/>
      <c r="L220" s="1"/>
      <c r="M220" s="1"/>
      <c r="N220" s="10"/>
      <c r="O220" s="10"/>
      <c r="P220" s="10"/>
      <c r="Q220" s="10"/>
      <c r="R220" s="10"/>
      <c r="S220" s="10"/>
      <c r="T220" s="10"/>
      <c r="U220" s="1"/>
      <c r="V220" s="205"/>
      <c r="W220" s="205"/>
      <c r="X220" s="205"/>
      <c r="Y220" s="183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ht="16.5" customHeight="1">
      <c r="A221" s="1"/>
      <c r="B221" s="1"/>
      <c r="C221" s="199"/>
      <c r="D221" s="1"/>
      <c r="E221" s="1"/>
      <c r="F221" s="1"/>
      <c r="G221" s="199"/>
      <c r="H221" s="1"/>
      <c r="I221" s="1"/>
      <c r="J221" s="1"/>
      <c r="K221" s="1"/>
      <c r="L221" s="1"/>
      <c r="M221" s="1"/>
      <c r="N221" s="10"/>
      <c r="O221" s="10"/>
      <c r="P221" s="10"/>
      <c r="Q221" s="10"/>
      <c r="R221" s="10"/>
      <c r="S221" s="10"/>
      <c r="T221" s="10"/>
      <c r="U221" s="1"/>
      <c r="V221" s="205"/>
      <c r="W221" s="205"/>
      <c r="X221" s="205"/>
      <c r="Y221" s="183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ht="16.5" customHeight="1">
      <c r="A222" s="1"/>
      <c r="B222" s="1"/>
      <c r="C222" s="199"/>
      <c r="D222" s="1"/>
      <c r="E222" s="1"/>
      <c r="F222" s="1"/>
      <c r="G222" s="199"/>
      <c r="H222" s="1"/>
      <c r="I222" s="1"/>
      <c r="J222" s="1"/>
      <c r="K222" s="1"/>
      <c r="L222" s="1"/>
      <c r="M222" s="1"/>
      <c r="N222" s="10"/>
      <c r="O222" s="10"/>
      <c r="P222" s="10"/>
      <c r="Q222" s="10"/>
      <c r="R222" s="10"/>
      <c r="S222" s="10"/>
      <c r="T222" s="10"/>
      <c r="U222" s="1"/>
      <c r="V222" s="205"/>
      <c r="W222" s="205"/>
      <c r="X222" s="205"/>
      <c r="Y222" s="183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ht="16.5" customHeight="1">
      <c r="A223" s="1"/>
      <c r="B223" s="1"/>
      <c r="C223" s="199"/>
      <c r="D223" s="1"/>
      <c r="E223" s="1"/>
      <c r="F223" s="1"/>
      <c r="G223" s="199"/>
      <c r="H223" s="1"/>
      <c r="I223" s="1"/>
      <c r="J223" s="1"/>
      <c r="K223" s="1"/>
      <c r="L223" s="1"/>
      <c r="M223" s="1"/>
      <c r="N223" s="10"/>
      <c r="O223" s="10"/>
      <c r="P223" s="10"/>
      <c r="Q223" s="10"/>
      <c r="R223" s="10"/>
      <c r="S223" s="10"/>
      <c r="T223" s="10"/>
      <c r="U223" s="1"/>
      <c r="V223" s="205"/>
      <c r="W223" s="205"/>
      <c r="X223" s="205"/>
      <c r="Y223" s="183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ht="16.5" customHeight="1">
      <c r="A224" s="1"/>
      <c r="B224" s="1"/>
      <c r="C224" s="199"/>
      <c r="D224" s="1"/>
      <c r="E224" s="1"/>
      <c r="F224" s="1"/>
      <c r="G224" s="199"/>
      <c r="H224" s="1"/>
      <c r="I224" s="1"/>
      <c r="J224" s="1"/>
      <c r="K224" s="1"/>
      <c r="L224" s="1"/>
      <c r="M224" s="1"/>
      <c r="N224" s="10"/>
      <c r="O224" s="10"/>
      <c r="P224" s="10"/>
      <c r="Q224" s="10"/>
      <c r="R224" s="10"/>
      <c r="S224" s="10"/>
      <c r="T224" s="10"/>
      <c r="U224" s="1"/>
      <c r="V224" s="205"/>
      <c r="W224" s="205"/>
      <c r="X224" s="205"/>
      <c r="Y224" s="183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ht="16.5" customHeight="1">
      <c r="A225" s="1"/>
      <c r="B225" s="1"/>
      <c r="C225" s="199"/>
      <c r="D225" s="1"/>
      <c r="E225" s="1"/>
      <c r="F225" s="1"/>
      <c r="G225" s="199"/>
      <c r="H225" s="1"/>
      <c r="I225" s="1"/>
      <c r="J225" s="1"/>
      <c r="K225" s="1"/>
      <c r="L225" s="1"/>
      <c r="M225" s="1"/>
      <c r="N225" s="10"/>
      <c r="O225" s="10"/>
      <c r="P225" s="10"/>
      <c r="Q225" s="10"/>
      <c r="R225" s="10"/>
      <c r="S225" s="10"/>
      <c r="T225" s="10"/>
      <c r="U225" s="1"/>
      <c r="V225" s="205"/>
      <c r="W225" s="205"/>
      <c r="X225" s="205"/>
      <c r="Y225" s="183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 ht="16.5" customHeight="1">
      <c r="A226" s="1"/>
      <c r="B226" s="1"/>
      <c r="C226" s="199"/>
      <c r="D226" s="1"/>
      <c r="E226" s="1"/>
      <c r="F226" s="1"/>
      <c r="G226" s="199"/>
      <c r="H226" s="1"/>
      <c r="I226" s="1"/>
      <c r="J226" s="1"/>
      <c r="K226" s="1"/>
      <c r="L226" s="1"/>
      <c r="M226" s="1"/>
      <c r="N226" s="10"/>
      <c r="O226" s="10"/>
      <c r="P226" s="10"/>
      <c r="Q226" s="10"/>
      <c r="R226" s="10"/>
      <c r="S226" s="10"/>
      <c r="T226" s="10"/>
      <c r="U226" s="1"/>
      <c r="V226" s="205"/>
      <c r="W226" s="205"/>
      <c r="X226" s="205"/>
      <c r="Y226" s="183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 ht="16.5" customHeight="1">
      <c r="A227" s="1"/>
      <c r="B227" s="1"/>
      <c r="C227" s="199"/>
      <c r="D227" s="1"/>
      <c r="E227" s="1"/>
      <c r="F227" s="1"/>
      <c r="G227" s="199"/>
      <c r="H227" s="1"/>
      <c r="I227" s="1"/>
      <c r="J227" s="1"/>
      <c r="K227" s="1"/>
      <c r="L227" s="1"/>
      <c r="M227" s="1"/>
      <c r="N227" s="10"/>
      <c r="O227" s="10"/>
      <c r="P227" s="10"/>
      <c r="Q227" s="10"/>
      <c r="R227" s="10"/>
      <c r="S227" s="10"/>
      <c r="T227" s="10"/>
      <c r="U227" s="1"/>
      <c r="V227" s="205"/>
      <c r="W227" s="205"/>
      <c r="X227" s="205"/>
      <c r="Y227" s="183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 ht="16.5" customHeight="1">
      <c r="A228" s="1"/>
      <c r="B228" s="1"/>
      <c r="C228" s="199"/>
      <c r="D228" s="1"/>
      <c r="E228" s="1"/>
      <c r="F228" s="1"/>
      <c r="G228" s="199"/>
      <c r="H228" s="1"/>
      <c r="I228" s="1"/>
      <c r="J228" s="1"/>
      <c r="K228" s="1"/>
      <c r="L228" s="1"/>
      <c r="M228" s="1"/>
      <c r="N228" s="10"/>
      <c r="O228" s="10"/>
      <c r="P228" s="10"/>
      <c r="Q228" s="10"/>
      <c r="R228" s="10"/>
      <c r="S228" s="10"/>
      <c r="T228" s="10"/>
      <c r="U228" s="1"/>
      <c r="V228" s="205"/>
      <c r="W228" s="205"/>
      <c r="X228" s="205"/>
      <c r="Y228" s="183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ht="16.5" customHeight="1">
      <c r="A229" s="1"/>
      <c r="B229" s="1"/>
      <c r="C229" s="199"/>
      <c r="D229" s="1"/>
      <c r="E229" s="1"/>
      <c r="F229" s="1"/>
      <c r="G229" s="199"/>
      <c r="H229" s="1"/>
      <c r="I229" s="1"/>
      <c r="J229" s="1"/>
      <c r="K229" s="1"/>
      <c r="L229" s="1"/>
      <c r="M229" s="1"/>
      <c r="N229" s="10"/>
      <c r="O229" s="10"/>
      <c r="P229" s="10"/>
      <c r="Q229" s="10"/>
      <c r="R229" s="10"/>
      <c r="S229" s="10"/>
      <c r="T229" s="10"/>
      <c r="U229" s="1"/>
      <c r="V229" s="205"/>
      <c r="W229" s="205"/>
      <c r="X229" s="205"/>
      <c r="Y229" s="183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ht="16.5" customHeight="1">
      <c r="A230" s="1"/>
      <c r="B230" s="1"/>
      <c r="C230" s="199"/>
      <c r="D230" s="1"/>
      <c r="E230" s="1"/>
      <c r="F230" s="1"/>
      <c r="G230" s="199"/>
      <c r="H230" s="1"/>
      <c r="I230" s="1"/>
      <c r="J230" s="1"/>
      <c r="K230" s="1"/>
      <c r="L230" s="1"/>
      <c r="M230" s="1"/>
      <c r="N230" s="10"/>
      <c r="O230" s="10"/>
      <c r="P230" s="10"/>
      <c r="Q230" s="10"/>
      <c r="R230" s="10"/>
      <c r="S230" s="10"/>
      <c r="T230" s="10"/>
      <c r="U230" s="1"/>
      <c r="V230" s="205"/>
      <c r="W230" s="205"/>
      <c r="X230" s="205"/>
      <c r="Y230" s="183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ht="16.5" customHeight="1">
      <c r="A231" s="1"/>
      <c r="B231" s="1"/>
      <c r="C231" s="199"/>
      <c r="D231" s="1"/>
      <c r="E231" s="1"/>
      <c r="F231" s="1"/>
      <c r="G231" s="199"/>
      <c r="H231" s="1"/>
      <c r="I231" s="1"/>
      <c r="J231" s="1"/>
      <c r="K231" s="1"/>
      <c r="L231" s="1"/>
      <c r="M231" s="1"/>
      <c r="N231" s="10"/>
      <c r="O231" s="10"/>
      <c r="P231" s="10"/>
      <c r="Q231" s="10"/>
      <c r="R231" s="10"/>
      <c r="S231" s="10"/>
      <c r="T231" s="10"/>
      <c r="U231" s="1"/>
      <c r="V231" s="205"/>
      <c r="W231" s="205"/>
      <c r="X231" s="205"/>
      <c r="Y231" s="183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 ht="16.5" customHeight="1">
      <c r="A232" s="1"/>
      <c r="B232" s="1"/>
      <c r="C232" s="199"/>
      <c r="D232" s="1"/>
      <c r="E232" s="1"/>
      <c r="F232" s="1"/>
      <c r="G232" s="199"/>
      <c r="H232" s="1"/>
      <c r="I232" s="1"/>
      <c r="J232" s="1"/>
      <c r="K232" s="1"/>
      <c r="L232" s="1"/>
      <c r="M232" s="1"/>
      <c r="N232" s="10"/>
      <c r="O232" s="10"/>
      <c r="P232" s="10"/>
      <c r="Q232" s="10"/>
      <c r="R232" s="10"/>
      <c r="S232" s="10"/>
      <c r="T232" s="10"/>
      <c r="U232" s="1"/>
      <c r="V232" s="205"/>
      <c r="W232" s="205"/>
      <c r="X232" s="205"/>
      <c r="Y232" s="183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 ht="16.5" customHeight="1">
      <c r="A233" s="1"/>
      <c r="B233" s="1"/>
      <c r="C233" s="199"/>
      <c r="D233" s="1"/>
      <c r="E233" s="1"/>
      <c r="F233" s="1"/>
      <c r="G233" s="199"/>
      <c r="H233" s="1"/>
      <c r="I233" s="1"/>
      <c r="J233" s="1"/>
      <c r="K233" s="1"/>
      <c r="L233" s="1"/>
      <c r="M233" s="1"/>
      <c r="N233" s="10"/>
      <c r="O233" s="10"/>
      <c r="P233" s="10"/>
      <c r="Q233" s="10"/>
      <c r="R233" s="10"/>
      <c r="S233" s="10"/>
      <c r="T233" s="10"/>
      <c r="U233" s="1"/>
      <c r="V233" s="205"/>
      <c r="W233" s="205"/>
      <c r="X233" s="205"/>
      <c r="Y233" s="183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 ht="16.5" customHeight="1">
      <c r="A234" s="1"/>
      <c r="B234" s="1"/>
      <c r="C234" s="199"/>
      <c r="D234" s="1"/>
      <c r="E234" s="1"/>
      <c r="F234" s="1"/>
      <c r="G234" s="199"/>
      <c r="H234" s="1"/>
      <c r="I234" s="1"/>
      <c r="J234" s="1"/>
      <c r="K234" s="1"/>
      <c r="L234" s="1"/>
      <c r="M234" s="1"/>
      <c r="N234" s="10"/>
      <c r="O234" s="10"/>
      <c r="P234" s="10"/>
      <c r="Q234" s="10"/>
      <c r="R234" s="10"/>
      <c r="S234" s="10"/>
      <c r="T234" s="10"/>
      <c r="U234" s="1"/>
      <c r="V234" s="205"/>
      <c r="W234" s="205"/>
      <c r="X234" s="205"/>
      <c r="Y234" s="183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ht="16.5" customHeight="1">
      <c r="A235" s="1"/>
      <c r="B235" s="1"/>
      <c r="C235" s="199"/>
      <c r="D235" s="1"/>
      <c r="E235" s="1"/>
      <c r="F235" s="1"/>
      <c r="G235" s="199"/>
      <c r="H235" s="1"/>
      <c r="I235" s="1"/>
      <c r="J235" s="1"/>
      <c r="K235" s="1"/>
      <c r="L235" s="1"/>
      <c r="M235" s="1"/>
      <c r="N235" s="10"/>
      <c r="O235" s="10"/>
      <c r="P235" s="10"/>
      <c r="Q235" s="10"/>
      <c r="R235" s="10"/>
      <c r="S235" s="10"/>
      <c r="T235" s="10"/>
      <c r="U235" s="1"/>
      <c r="V235" s="205"/>
      <c r="W235" s="205"/>
      <c r="X235" s="205"/>
      <c r="Y235" s="183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ht="16.5" customHeight="1">
      <c r="A236" s="1"/>
      <c r="B236" s="1"/>
      <c r="C236" s="199"/>
      <c r="D236" s="1"/>
      <c r="E236" s="1"/>
      <c r="F236" s="1"/>
      <c r="G236" s="199"/>
      <c r="H236" s="1"/>
      <c r="I236" s="1"/>
      <c r="J236" s="1"/>
      <c r="K236" s="1"/>
      <c r="L236" s="1"/>
      <c r="M236" s="1"/>
      <c r="N236" s="10"/>
      <c r="O236" s="10"/>
      <c r="P236" s="10"/>
      <c r="Q236" s="10"/>
      <c r="R236" s="10"/>
      <c r="S236" s="10"/>
      <c r="T236" s="10"/>
      <c r="U236" s="1"/>
      <c r="V236" s="205"/>
      <c r="W236" s="205"/>
      <c r="X236" s="205"/>
      <c r="Y236" s="183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ht="16.5" customHeight="1">
      <c r="A237" s="1"/>
      <c r="B237" s="1"/>
      <c r="C237" s="199"/>
      <c r="D237" s="1"/>
      <c r="E237" s="1"/>
      <c r="F237" s="1"/>
      <c r="G237" s="199"/>
      <c r="H237" s="1"/>
      <c r="I237" s="1"/>
      <c r="J237" s="1"/>
      <c r="K237" s="1"/>
      <c r="L237" s="1"/>
      <c r="M237" s="1"/>
      <c r="N237" s="10"/>
      <c r="O237" s="10"/>
      <c r="P237" s="10"/>
      <c r="Q237" s="10"/>
      <c r="R237" s="10"/>
      <c r="S237" s="10"/>
      <c r="T237" s="10"/>
      <c r="U237" s="1"/>
      <c r="V237" s="205"/>
      <c r="W237" s="205"/>
      <c r="X237" s="205"/>
      <c r="Y237" s="183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ht="16.5" customHeight="1">
      <c r="A238" s="1"/>
      <c r="B238" s="1"/>
      <c r="C238" s="199"/>
      <c r="D238" s="1"/>
      <c r="E238" s="1"/>
      <c r="F238" s="1"/>
      <c r="G238" s="199"/>
      <c r="H238" s="1"/>
      <c r="I238" s="1"/>
      <c r="J238" s="1"/>
      <c r="K238" s="1"/>
      <c r="L238" s="1"/>
      <c r="M238" s="1"/>
      <c r="N238" s="10"/>
      <c r="O238" s="10"/>
      <c r="P238" s="10"/>
      <c r="Q238" s="10"/>
      <c r="R238" s="10"/>
      <c r="S238" s="10"/>
      <c r="T238" s="10"/>
      <c r="U238" s="1"/>
      <c r="V238" s="205"/>
      <c r="W238" s="205"/>
      <c r="X238" s="205"/>
      <c r="Y238" s="183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ht="16.5" customHeight="1">
      <c r="A239" s="1"/>
      <c r="B239" s="1"/>
      <c r="C239" s="199"/>
      <c r="D239" s="1"/>
      <c r="E239" s="1"/>
      <c r="F239" s="1"/>
      <c r="G239" s="199"/>
      <c r="H239" s="1"/>
      <c r="I239" s="1"/>
      <c r="J239" s="1"/>
      <c r="K239" s="1"/>
      <c r="L239" s="1"/>
      <c r="M239" s="1"/>
      <c r="N239" s="10"/>
      <c r="O239" s="10"/>
      <c r="P239" s="10"/>
      <c r="Q239" s="10"/>
      <c r="R239" s="10"/>
      <c r="S239" s="10"/>
      <c r="T239" s="10"/>
      <c r="U239" s="1"/>
      <c r="V239" s="205"/>
      <c r="W239" s="205"/>
      <c r="X239" s="205"/>
      <c r="Y239" s="183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ht="16.5" customHeight="1">
      <c r="A240" s="1"/>
      <c r="B240" s="1"/>
      <c r="C240" s="199"/>
      <c r="D240" s="1"/>
      <c r="E240" s="1"/>
      <c r="F240" s="1"/>
      <c r="G240" s="199"/>
      <c r="H240" s="1"/>
      <c r="I240" s="1"/>
      <c r="J240" s="1"/>
      <c r="K240" s="1"/>
      <c r="L240" s="1"/>
      <c r="M240" s="1"/>
      <c r="N240" s="10"/>
      <c r="O240" s="10"/>
      <c r="P240" s="10"/>
      <c r="Q240" s="10"/>
      <c r="R240" s="10"/>
      <c r="S240" s="10"/>
      <c r="T240" s="10"/>
      <c r="U240" s="1"/>
      <c r="V240" s="205"/>
      <c r="W240" s="205"/>
      <c r="X240" s="205"/>
      <c r="Y240" s="183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 ht="16.5" customHeight="1">
      <c r="A241" s="1"/>
      <c r="B241" s="1"/>
      <c r="C241" s="199"/>
      <c r="D241" s="1"/>
      <c r="E241" s="1"/>
      <c r="F241" s="1"/>
      <c r="G241" s="199"/>
      <c r="H241" s="1"/>
      <c r="I241" s="1"/>
      <c r="J241" s="1"/>
      <c r="K241" s="1"/>
      <c r="L241" s="1"/>
      <c r="M241" s="1"/>
      <c r="N241" s="10"/>
      <c r="O241" s="10"/>
      <c r="P241" s="10"/>
      <c r="Q241" s="10"/>
      <c r="R241" s="10"/>
      <c r="S241" s="10"/>
      <c r="T241" s="10"/>
      <c r="U241" s="1"/>
      <c r="V241" s="205"/>
      <c r="W241" s="205"/>
      <c r="X241" s="205"/>
      <c r="Y241" s="183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ht="16.5" customHeight="1">
      <c r="A242" s="1"/>
      <c r="B242" s="1"/>
      <c r="C242" s="199"/>
      <c r="D242" s="1"/>
      <c r="E242" s="1"/>
      <c r="F242" s="1"/>
      <c r="G242" s="199"/>
      <c r="H242" s="1"/>
      <c r="I242" s="1"/>
      <c r="J242" s="1"/>
      <c r="K242" s="1"/>
      <c r="L242" s="1"/>
      <c r="M242" s="1"/>
      <c r="N242" s="10"/>
      <c r="O242" s="10"/>
      <c r="P242" s="10"/>
      <c r="Q242" s="10"/>
      <c r="R242" s="10"/>
      <c r="S242" s="10"/>
      <c r="T242" s="10"/>
      <c r="U242" s="1"/>
      <c r="V242" s="205"/>
      <c r="W242" s="205"/>
      <c r="X242" s="205"/>
      <c r="Y242" s="183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ht="16.5" customHeight="1">
      <c r="A243" s="1"/>
      <c r="B243" s="1"/>
      <c r="C243" s="199"/>
      <c r="D243" s="1"/>
      <c r="E243" s="1"/>
      <c r="F243" s="1"/>
      <c r="G243" s="199"/>
      <c r="H243" s="1"/>
      <c r="I243" s="1"/>
      <c r="J243" s="1"/>
      <c r="K243" s="1"/>
      <c r="L243" s="1"/>
      <c r="M243" s="1"/>
      <c r="N243" s="10"/>
      <c r="O243" s="10"/>
      <c r="P243" s="10"/>
      <c r="Q243" s="10"/>
      <c r="R243" s="10"/>
      <c r="S243" s="10"/>
      <c r="T243" s="10"/>
      <c r="U243" s="1"/>
      <c r="V243" s="205"/>
      <c r="W243" s="205"/>
      <c r="X243" s="205"/>
      <c r="Y243" s="183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ht="16.5" customHeight="1">
      <c r="A244" s="1"/>
      <c r="B244" s="1"/>
      <c r="C244" s="199"/>
      <c r="D244" s="1"/>
      <c r="E244" s="1"/>
      <c r="F244" s="1"/>
      <c r="G244" s="199"/>
      <c r="H244" s="1"/>
      <c r="I244" s="1"/>
      <c r="J244" s="1"/>
      <c r="K244" s="1"/>
      <c r="L244" s="1"/>
      <c r="M244" s="1"/>
      <c r="N244" s="10"/>
      <c r="O244" s="10"/>
      <c r="P244" s="10"/>
      <c r="Q244" s="10"/>
      <c r="R244" s="10"/>
      <c r="S244" s="10"/>
      <c r="T244" s="10"/>
      <c r="U244" s="1"/>
      <c r="V244" s="205"/>
      <c r="W244" s="205"/>
      <c r="X244" s="205"/>
      <c r="Y244" s="183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ht="16.5" customHeight="1">
      <c r="A245" s="1"/>
      <c r="B245" s="1"/>
      <c r="C245" s="199"/>
      <c r="D245" s="1"/>
      <c r="E245" s="1"/>
      <c r="F245" s="1"/>
      <c r="G245" s="199"/>
      <c r="H245" s="1"/>
      <c r="I245" s="1"/>
      <c r="J245" s="1"/>
      <c r="K245" s="1"/>
      <c r="L245" s="1"/>
      <c r="M245" s="1"/>
      <c r="N245" s="10"/>
      <c r="O245" s="10"/>
      <c r="P245" s="10"/>
      <c r="Q245" s="10"/>
      <c r="R245" s="10"/>
      <c r="S245" s="10"/>
      <c r="T245" s="10"/>
      <c r="U245" s="1"/>
      <c r="V245" s="205"/>
      <c r="W245" s="205"/>
      <c r="X245" s="205"/>
      <c r="Y245" s="183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 ht="16.5" customHeight="1">
      <c r="A246" s="1"/>
      <c r="B246" s="1"/>
      <c r="C246" s="199"/>
      <c r="D246" s="1"/>
      <c r="E246" s="1"/>
      <c r="F246" s="1"/>
      <c r="G246" s="199"/>
      <c r="H246" s="1"/>
      <c r="I246" s="1"/>
      <c r="J246" s="1"/>
      <c r="K246" s="1"/>
      <c r="L246" s="1"/>
      <c r="M246" s="1"/>
      <c r="N246" s="10"/>
      <c r="O246" s="10"/>
      <c r="P246" s="10"/>
      <c r="Q246" s="10"/>
      <c r="R246" s="10"/>
      <c r="S246" s="10"/>
      <c r="T246" s="10"/>
      <c r="U246" s="1"/>
      <c r="V246" s="205"/>
      <c r="W246" s="205"/>
      <c r="X246" s="205"/>
      <c r="Y246" s="183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 ht="16.5" customHeight="1">
      <c r="A247" s="1"/>
      <c r="B247" s="1"/>
      <c r="C247" s="199"/>
      <c r="D247" s="1"/>
      <c r="E247" s="1"/>
      <c r="F247" s="1"/>
      <c r="G247" s="199"/>
      <c r="H247" s="1"/>
      <c r="I247" s="1"/>
      <c r="J247" s="1"/>
      <c r="K247" s="1"/>
      <c r="L247" s="1"/>
      <c r="M247" s="1"/>
      <c r="N247" s="10"/>
      <c r="O247" s="10"/>
      <c r="P247" s="10"/>
      <c r="Q247" s="10"/>
      <c r="R247" s="10"/>
      <c r="S247" s="10"/>
      <c r="T247" s="10"/>
      <c r="U247" s="1"/>
      <c r="V247" s="205"/>
      <c r="W247" s="205"/>
      <c r="X247" s="205"/>
      <c r="Y247" s="183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ht="16.5" customHeight="1">
      <c r="A248" s="1"/>
      <c r="B248" s="1"/>
      <c r="C248" s="199"/>
      <c r="D248" s="1"/>
      <c r="E248" s="1"/>
      <c r="F248" s="1"/>
      <c r="G248" s="199"/>
      <c r="H248" s="1"/>
      <c r="I248" s="1"/>
      <c r="J248" s="1"/>
      <c r="K248" s="1"/>
      <c r="L248" s="1"/>
      <c r="M248" s="1"/>
      <c r="N248" s="10"/>
      <c r="O248" s="10"/>
      <c r="P248" s="10"/>
      <c r="Q248" s="10"/>
      <c r="R248" s="10"/>
      <c r="S248" s="10"/>
      <c r="T248" s="10"/>
      <c r="U248" s="1"/>
      <c r="V248" s="205"/>
      <c r="W248" s="205"/>
      <c r="X248" s="205"/>
      <c r="Y248" s="183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ht="16.5" customHeight="1">
      <c r="A249" s="1"/>
      <c r="B249" s="1"/>
      <c r="C249" s="199"/>
      <c r="D249" s="1"/>
      <c r="E249" s="1"/>
      <c r="F249" s="1"/>
      <c r="G249" s="199"/>
      <c r="H249" s="1"/>
      <c r="I249" s="1"/>
      <c r="J249" s="1"/>
      <c r="K249" s="1"/>
      <c r="L249" s="1"/>
      <c r="M249" s="1"/>
      <c r="N249" s="10"/>
      <c r="O249" s="10"/>
      <c r="P249" s="10"/>
      <c r="Q249" s="10"/>
      <c r="R249" s="10"/>
      <c r="S249" s="10"/>
      <c r="T249" s="10"/>
      <c r="U249" s="1"/>
      <c r="V249" s="205"/>
      <c r="W249" s="205"/>
      <c r="X249" s="205"/>
      <c r="Y249" s="183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ht="16.5" customHeight="1">
      <c r="A250" s="1"/>
      <c r="B250" s="1"/>
      <c r="C250" s="199"/>
      <c r="D250" s="1"/>
      <c r="E250" s="1"/>
      <c r="F250" s="1"/>
      <c r="G250" s="199"/>
      <c r="H250" s="1"/>
      <c r="I250" s="1"/>
      <c r="J250" s="1"/>
      <c r="K250" s="1"/>
      <c r="L250" s="1"/>
      <c r="M250" s="1"/>
      <c r="N250" s="10"/>
      <c r="O250" s="10"/>
      <c r="P250" s="10"/>
      <c r="Q250" s="10"/>
      <c r="R250" s="10"/>
      <c r="S250" s="10"/>
      <c r="T250" s="10"/>
      <c r="U250" s="1"/>
      <c r="V250" s="205"/>
      <c r="W250" s="205"/>
      <c r="X250" s="205"/>
      <c r="Y250" s="183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 ht="16.5" customHeight="1">
      <c r="A251" s="1"/>
      <c r="B251" s="1"/>
      <c r="C251" s="199"/>
      <c r="D251" s="1"/>
      <c r="E251" s="1"/>
      <c r="F251" s="1"/>
      <c r="G251" s="199"/>
      <c r="H251" s="1"/>
      <c r="I251" s="1"/>
      <c r="J251" s="1"/>
      <c r="K251" s="1"/>
      <c r="L251" s="1"/>
      <c r="M251" s="1"/>
      <c r="N251" s="10"/>
      <c r="O251" s="10"/>
      <c r="P251" s="10"/>
      <c r="Q251" s="10"/>
      <c r="R251" s="10"/>
      <c r="S251" s="10"/>
      <c r="T251" s="10"/>
      <c r="U251" s="1"/>
      <c r="V251" s="205"/>
      <c r="W251" s="205"/>
      <c r="X251" s="205"/>
      <c r="Y251" s="183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 ht="16.5" customHeight="1">
      <c r="A252" s="1"/>
      <c r="B252" s="1"/>
      <c r="C252" s="199"/>
      <c r="D252" s="1"/>
      <c r="E252" s="1"/>
      <c r="F252" s="1"/>
      <c r="G252" s="199"/>
      <c r="H252" s="1"/>
      <c r="I252" s="1"/>
      <c r="J252" s="1"/>
      <c r="K252" s="1"/>
      <c r="L252" s="1"/>
      <c r="M252" s="1"/>
      <c r="N252" s="10"/>
      <c r="O252" s="10"/>
      <c r="P252" s="10"/>
      <c r="Q252" s="10"/>
      <c r="R252" s="10"/>
      <c r="S252" s="10"/>
      <c r="T252" s="10"/>
      <c r="U252" s="1"/>
      <c r="V252" s="205"/>
      <c r="W252" s="205"/>
      <c r="X252" s="205"/>
      <c r="Y252" s="183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 ht="16.5" customHeight="1">
      <c r="A253" s="1"/>
      <c r="B253" s="1"/>
      <c r="C253" s="199"/>
      <c r="D253" s="1"/>
      <c r="E253" s="1"/>
      <c r="F253" s="1"/>
      <c r="G253" s="199"/>
      <c r="H253" s="1"/>
      <c r="I253" s="1"/>
      <c r="J253" s="1"/>
      <c r="K253" s="1"/>
      <c r="L253" s="1"/>
      <c r="M253" s="1"/>
      <c r="N253" s="10"/>
      <c r="O253" s="10"/>
      <c r="P253" s="10"/>
      <c r="Q253" s="10"/>
      <c r="R253" s="10"/>
      <c r="S253" s="10"/>
      <c r="T253" s="10"/>
      <c r="U253" s="1"/>
      <c r="V253" s="205"/>
      <c r="W253" s="205"/>
      <c r="X253" s="205"/>
      <c r="Y253" s="183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ht="16.5" customHeight="1">
      <c r="A254" s="1"/>
      <c r="B254" s="1"/>
      <c r="C254" s="199"/>
      <c r="D254" s="1"/>
      <c r="E254" s="1"/>
      <c r="F254" s="1"/>
      <c r="G254" s="199"/>
      <c r="H254" s="1"/>
      <c r="I254" s="1"/>
      <c r="J254" s="1"/>
      <c r="K254" s="1"/>
      <c r="L254" s="1"/>
      <c r="M254" s="1"/>
      <c r="N254" s="10"/>
      <c r="O254" s="10"/>
      <c r="P254" s="10"/>
      <c r="Q254" s="10"/>
      <c r="R254" s="10"/>
      <c r="S254" s="10"/>
      <c r="T254" s="10"/>
      <c r="U254" s="1"/>
      <c r="V254" s="205"/>
      <c r="W254" s="205"/>
      <c r="X254" s="205"/>
      <c r="Y254" s="183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ht="16.5" customHeight="1">
      <c r="A255" s="1"/>
      <c r="B255" s="1"/>
      <c r="C255" s="199"/>
      <c r="D255" s="1"/>
      <c r="E255" s="1"/>
      <c r="F255" s="1"/>
      <c r="G255" s="199"/>
      <c r="H255" s="1"/>
      <c r="I255" s="1"/>
      <c r="J255" s="1"/>
      <c r="K255" s="1"/>
      <c r="L255" s="1"/>
      <c r="M255" s="1"/>
      <c r="N255" s="10"/>
      <c r="O255" s="10"/>
      <c r="P255" s="10"/>
      <c r="Q255" s="10"/>
      <c r="R255" s="10"/>
      <c r="S255" s="10"/>
      <c r="T255" s="10"/>
      <c r="U255" s="1"/>
      <c r="V255" s="205"/>
      <c r="W255" s="205"/>
      <c r="X255" s="205"/>
      <c r="Y255" s="183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ht="16.5" customHeight="1">
      <c r="A256" s="1"/>
      <c r="B256" s="1"/>
      <c r="C256" s="199"/>
      <c r="D256" s="1"/>
      <c r="E256" s="1"/>
      <c r="F256" s="1"/>
      <c r="G256" s="199"/>
      <c r="H256" s="1"/>
      <c r="I256" s="1"/>
      <c r="J256" s="1"/>
      <c r="K256" s="1"/>
      <c r="L256" s="1"/>
      <c r="M256" s="1"/>
      <c r="N256" s="10"/>
      <c r="O256" s="10"/>
      <c r="P256" s="10"/>
      <c r="Q256" s="10"/>
      <c r="R256" s="10"/>
      <c r="S256" s="10"/>
      <c r="T256" s="10"/>
      <c r="U256" s="1"/>
      <c r="V256" s="205"/>
      <c r="W256" s="205"/>
      <c r="X256" s="205"/>
      <c r="Y256" s="183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 ht="16.5" customHeight="1">
      <c r="A257" s="1"/>
      <c r="B257" s="1"/>
      <c r="C257" s="199"/>
      <c r="D257" s="1"/>
      <c r="E257" s="1"/>
      <c r="F257" s="1"/>
      <c r="G257" s="199"/>
      <c r="H257" s="1"/>
      <c r="I257" s="1"/>
      <c r="J257" s="1"/>
      <c r="K257" s="1"/>
      <c r="L257" s="1"/>
      <c r="M257" s="1"/>
      <c r="N257" s="10"/>
      <c r="O257" s="10"/>
      <c r="P257" s="10"/>
      <c r="Q257" s="10"/>
      <c r="R257" s="10"/>
      <c r="S257" s="10"/>
      <c r="T257" s="10"/>
      <c r="U257" s="1"/>
      <c r="V257" s="205"/>
      <c r="W257" s="205"/>
      <c r="X257" s="205"/>
      <c r="Y257" s="183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 ht="16.5" customHeight="1">
      <c r="A258" s="1"/>
      <c r="B258" s="1"/>
      <c r="C258" s="199"/>
      <c r="D258" s="1"/>
      <c r="E258" s="1"/>
      <c r="F258" s="1"/>
      <c r="G258" s="199"/>
      <c r="H258" s="1"/>
      <c r="I258" s="1"/>
      <c r="J258" s="1"/>
      <c r="K258" s="1"/>
      <c r="L258" s="1"/>
      <c r="M258" s="1"/>
      <c r="N258" s="10"/>
      <c r="O258" s="10"/>
      <c r="P258" s="10"/>
      <c r="Q258" s="10"/>
      <c r="R258" s="10"/>
      <c r="S258" s="10"/>
      <c r="T258" s="10"/>
      <c r="U258" s="1"/>
      <c r="V258" s="205"/>
      <c r="W258" s="205"/>
      <c r="X258" s="205"/>
      <c r="Y258" s="183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 ht="16.5" customHeight="1">
      <c r="A259" s="1"/>
      <c r="B259" s="1"/>
      <c r="C259" s="199"/>
      <c r="D259" s="1"/>
      <c r="E259" s="1"/>
      <c r="F259" s="1"/>
      <c r="G259" s="199"/>
      <c r="H259" s="1"/>
      <c r="I259" s="1"/>
      <c r="J259" s="1"/>
      <c r="K259" s="1"/>
      <c r="L259" s="1"/>
      <c r="M259" s="1"/>
      <c r="N259" s="10"/>
      <c r="O259" s="10"/>
      <c r="P259" s="10"/>
      <c r="Q259" s="10"/>
      <c r="R259" s="10"/>
      <c r="S259" s="10"/>
      <c r="T259" s="10"/>
      <c r="U259" s="1"/>
      <c r="V259" s="205"/>
      <c r="W259" s="205"/>
      <c r="X259" s="205"/>
      <c r="Y259" s="183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ht="16.5" customHeight="1">
      <c r="A260" s="1"/>
      <c r="B260" s="1"/>
      <c r="C260" s="199"/>
      <c r="D260" s="1"/>
      <c r="E260" s="1"/>
      <c r="F260" s="1"/>
      <c r="G260" s="199"/>
      <c r="H260" s="1"/>
      <c r="I260" s="1"/>
      <c r="J260" s="1"/>
      <c r="K260" s="1"/>
      <c r="L260" s="1"/>
      <c r="M260" s="1"/>
      <c r="N260" s="10"/>
      <c r="O260" s="10"/>
      <c r="P260" s="10"/>
      <c r="Q260" s="10"/>
      <c r="R260" s="10"/>
      <c r="S260" s="10"/>
      <c r="T260" s="10"/>
      <c r="U260" s="1"/>
      <c r="V260" s="205"/>
      <c r="W260" s="205"/>
      <c r="X260" s="205"/>
      <c r="Y260" s="183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ht="16.5" customHeight="1">
      <c r="A261" s="1"/>
      <c r="B261" s="1"/>
      <c r="C261" s="199"/>
      <c r="D261" s="1"/>
      <c r="E261" s="1"/>
      <c r="F261" s="1"/>
      <c r="G261" s="199"/>
      <c r="H261" s="1"/>
      <c r="I261" s="1"/>
      <c r="J261" s="1"/>
      <c r="K261" s="1"/>
      <c r="L261" s="1"/>
      <c r="M261" s="1"/>
      <c r="N261" s="10"/>
      <c r="O261" s="10"/>
      <c r="P261" s="10"/>
      <c r="Q261" s="10"/>
      <c r="R261" s="10"/>
      <c r="S261" s="10"/>
      <c r="T261" s="10"/>
      <c r="U261" s="1"/>
      <c r="V261" s="205"/>
      <c r="W261" s="205"/>
      <c r="X261" s="205"/>
      <c r="Y261" s="183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ht="16.5" customHeight="1">
      <c r="A262" s="1"/>
      <c r="B262" s="1"/>
      <c r="C262" s="199"/>
      <c r="D262" s="1"/>
      <c r="E262" s="1"/>
      <c r="F262" s="1"/>
      <c r="G262" s="199"/>
      <c r="H262" s="1"/>
      <c r="I262" s="1"/>
      <c r="J262" s="1"/>
      <c r="K262" s="1"/>
      <c r="L262" s="1"/>
      <c r="M262" s="1"/>
      <c r="N262" s="10"/>
      <c r="O262" s="10"/>
      <c r="P262" s="10"/>
      <c r="Q262" s="10"/>
      <c r="R262" s="10"/>
      <c r="S262" s="10"/>
      <c r="T262" s="10"/>
      <c r="U262" s="1"/>
      <c r="V262" s="205"/>
      <c r="W262" s="205"/>
      <c r="X262" s="205"/>
      <c r="Y262" s="183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ht="16.5" customHeight="1">
      <c r="A263" s="1"/>
      <c r="B263" s="1"/>
      <c r="C263" s="199"/>
      <c r="D263" s="1"/>
      <c r="E263" s="1"/>
      <c r="F263" s="1"/>
      <c r="G263" s="199"/>
      <c r="H263" s="1"/>
      <c r="I263" s="1"/>
      <c r="J263" s="1"/>
      <c r="K263" s="1"/>
      <c r="L263" s="1"/>
      <c r="M263" s="1"/>
      <c r="N263" s="10"/>
      <c r="O263" s="10"/>
      <c r="P263" s="10"/>
      <c r="Q263" s="10"/>
      <c r="R263" s="10"/>
      <c r="S263" s="10"/>
      <c r="T263" s="10"/>
      <c r="U263" s="1"/>
      <c r="V263" s="205"/>
      <c r="W263" s="205"/>
      <c r="X263" s="205"/>
      <c r="Y263" s="183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ht="16.5" customHeight="1">
      <c r="A264" s="1"/>
      <c r="B264" s="1"/>
      <c r="C264" s="199"/>
      <c r="D264" s="1"/>
      <c r="E264" s="1"/>
      <c r="F264" s="1"/>
      <c r="G264" s="199"/>
      <c r="H264" s="1"/>
      <c r="I264" s="1"/>
      <c r="J264" s="1"/>
      <c r="K264" s="1"/>
      <c r="L264" s="1"/>
      <c r="M264" s="1"/>
      <c r="N264" s="10"/>
      <c r="O264" s="10"/>
      <c r="P264" s="10"/>
      <c r="Q264" s="10"/>
      <c r="R264" s="10"/>
      <c r="S264" s="10"/>
      <c r="T264" s="10"/>
      <c r="U264" s="1"/>
      <c r="V264" s="205"/>
      <c r="W264" s="205"/>
      <c r="X264" s="205"/>
      <c r="Y264" s="183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ht="16.5" customHeight="1">
      <c r="A265" s="1"/>
      <c r="B265" s="1"/>
      <c r="C265" s="199"/>
      <c r="D265" s="1"/>
      <c r="E265" s="1"/>
      <c r="F265" s="1"/>
      <c r="G265" s="199"/>
      <c r="H265" s="1"/>
      <c r="I265" s="1"/>
      <c r="J265" s="1"/>
      <c r="K265" s="1"/>
      <c r="L265" s="1"/>
      <c r="M265" s="1"/>
      <c r="N265" s="10"/>
      <c r="O265" s="10"/>
      <c r="P265" s="10"/>
      <c r="Q265" s="10"/>
      <c r="R265" s="10"/>
      <c r="S265" s="10"/>
      <c r="T265" s="10"/>
      <c r="U265" s="1"/>
      <c r="V265" s="205"/>
      <c r="W265" s="205"/>
      <c r="X265" s="205"/>
      <c r="Y265" s="183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ht="16.5" customHeight="1">
      <c r="A266" s="1"/>
      <c r="B266" s="1"/>
      <c r="C266" s="199"/>
      <c r="D266" s="1"/>
      <c r="E266" s="1"/>
      <c r="F266" s="1"/>
      <c r="G266" s="199"/>
      <c r="H266" s="1"/>
      <c r="I266" s="1"/>
      <c r="J266" s="1"/>
      <c r="K266" s="1"/>
      <c r="L266" s="1"/>
      <c r="M266" s="1"/>
      <c r="N266" s="10"/>
      <c r="O266" s="10"/>
      <c r="P266" s="10"/>
      <c r="Q266" s="10"/>
      <c r="R266" s="10"/>
      <c r="S266" s="10"/>
      <c r="T266" s="10"/>
      <c r="U266" s="1"/>
      <c r="V266" s="205"/>
      <c r="W266" s="205"/>
      <c r="X266" s="205"/>
      <c r="Y266" s="183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 ht="16.5" customHeight="1">
      <c r="A267" s="1"/>
      <c r="B267" s="1"/>
      <c r="C267" s="199"/>
      <c r="D267" s="1"/>
      <c r="E267" s="1"/>
      <c r="F267" s="1"/>
      <c r="G267" s="199"/>
      <c r="H267" s="1"/>
      <c r="I267" s="1"/>
      <c r="J267" s="1"/>
      <c r="K267" s="1"/>
      <c r="L267" s="1"/>
      <c r="M267" s="1"/>
      <c r="N267" s="10"/>
      <c r="O267" s="10"/>
      <c r="P267" s="10"/>
      <c r="Q267" s="10"/>
      <c r="R267" s="10"/>
      <c r="S267" s="10"/>
      <c r="T267" s="10"/>
      <c r="U267" s="1"/>
      <c r="V267" s="205"/>
      <c r="W267" s="205"/>
      <c r="X267" s="205"/>
      <c r="Y267" s="183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ht="16.5" customHeight="1">
      <c r="A268" s="1"/>
      <c r="B268" s="1"/>
      <c r="C268" s="199"/>
      <c r="D268" s="1"/>
      <c r="E268" s="1"/>
      <c r="F268" s="1"/>
      <c r="G268" s="199"/>
      <c r="H268" s="1"/>
      <c r="I268" s="1"/>
      <c r="J268" s="1"/>
      <c r="K268" s="1"/>
      <c r="L268" s="1"/>
      <c r="M268" s="1"/>
      <c r="N268" s="10"/>
      <c r="O268" s="10"/>
      <c r="P268" s="10"/>
      <c r="Q268" s="10"/>
      <c r="R268" s="10"/>
      <c r="S268" s="10"/>
      <c r="T268" s="10"/>
      <c r="U268" s="1"/>
      <c r="V268" s="205"/>
      <c r="W268" s="205"/>
      <c r="X268" s="205"/>
      <c r="Y268" s="183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ht="16.5" customHeight="1">
      <c r="A269" s="1"/>
      <c r="B269" s="1"/>
      <c r="C269" s="199"/>
      <c r="D269" s="1"/>
      <c r="E269" s="1"/>
      <c r="F269" s="1"/>
      <c r="G269" s="199"/>
      <c r="H269" s="1"/>
      <c r="I269" s="1"/>
      <c r="J269" s="1"/>
      <c r="K269" s="1"/>
      <c r="L269" s="1"/>
      <c r="M269" s="1"/>
      <c r="N269" s="10"/>
      <c r="O269" s="10"/>
      <c r="P269" s="10"/>
      <c r="Q269" s="10"/>
      <c r="R269" s="10"/>
      <c r="S269" s="10"/>
      <c r="T269" s="10"/>
      <c r="U269" s="1"/>
      <c r="V269" s="205"/>
      <c r="W269" s="205"/>
      <c r="X269" s="205"/>
      <c r="Y269" s="183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ht="16.5" customHeight="1">
      <c r="A270" s="1"/>
      <c r="B270" s="1"/>
      <c r="C270" s="199"/>
      <c r="D270" s="1"/>
      <c r="E270" s="1"/>
      <c r="F270" s="1"/>
      <c r="G270" s="199"/>
      <c r="H270" s="1"/>
      <c r="I270" s="1"/>
      <c r="J270" s="1"/>
      <c r="K270" s="1"/>
      <c r="L270" s="1"/>
      <c r="M270" s="1"/>
      <c r="N270" s="10"/>
      <c r="O270" s="10"/>
      <c r="P270" s="10"/>
      <c r="Q270" s="10"/>
      <c r="R270" s="10"/>
      <c r="S270" s="10"/>
      <c r="T270" s="10"/>
      <c r="U270" s="1"/>
      <c r="V270" s="205"/>
      <c r="W270" s="205"/>
      <c r="X270" s="205"/>
      <c r="Y270" s="183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 ht="16.5" customHeight="1">
      <c r="A271" s="1"/>
      <c r="B271" s="1"/>
      <c r="C271" s="199"/>
      <c r="D271" s="1"/>
      <c r="E271" s="1"/>
      <c r="F271" s="1"/>
      <c r="G271" s="199"/>
      <c r="H271" s="1"/>
      <c r="I271" s="1"/>
      <c r="J271" s="1"/>
      <c r="K271" s="1"/>
      <c r="L271" s="1"/>
      <c r="M271" s="1"/>
      <c r="N271" s="10"/>
      <c r="O271" s="10"/>
      <c r="P271" s="10"/>
      <c r="Q271" s="10"/>
      <c r="R271" s="10"/>
      <c r="S271" s="10"/>
      <c r="T271" s="10"/>
      <c r="U271" s="1"/>
      <c r="V271" s="205"/>
      <c r="W271" s="205"/>
      <c r="X271" s="205"/>
      <c r="Y271" s="183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 ht="16.5" customHeight="1">
      <c r="A272" s="1"/>
      <c r="B272" s="1"/>
      <c r="C272" s="199"/>
      <c r="D272" s="1"/>
      <c r="E272" s="1"/>
      <c r="F272" s="1"/>
      <c r="G272" s="199"/>
      <c r="H272" s="1"/>
      <c r="I272" s="1"/>
      <c r="J272" s="1"/>
      <c r="K272" s="1"/>
      <c r="L272" s="1"/>
      <c r="M272" s="1"/>
      <c r="N272" s="10"/>
      <c r="O272" s="10"/>
      <c r="P272" s="10"/>
      <c r="Q272" s="10"/>
      <c r="R272" s="10"/>
      <c r="S272" s="10"/>
      <c r="T272" s="10"/>
      <c r="U272" s="1"/>
      <c r="V272" s="205"/>
      <c r="W272" s="205"/>
      <c r="X272" s="205"/>
      <c r="Y272" s="183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 ht="16.5" customHeight="1">
      <c r="A273" s="1"/>
      <c r="B273" s="1"/>
      <c r="C273" s="199"/>
      <c r="D273" s="1"/>
      <c r="E273" s="1"/>
      <c r="F273" s="1"/>
      <c r="G273" s="199"/>
      <c r="H273" s="1"/>
      <c r="I273" s="1"/>
      <c r="J273" s="1"/>
      <c r="K273" s="1"/>
      <c r="L273" s="1"/>
      <c r="M273" s="1"/>
      <c r="N273" s="10"/>
      <c r="O273" s="10"/>
      <c r="P273" s="10"/>
      <c r="Q273" s="10"/>
      <c r="R273" s="10"/>
      <c r="S273" s="10"/>
      <c r="T273" s="10"/>
      <c r="U273" s="1"/>
      <c r="V273" s="205"/>
      <c r="W273" s="205"/>
      <c r="X273" s="205"/>
      <c r="Y273" s="183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ht="16.5" customHeight="1">
      <c r="A274" s="1"/>
      <c r="B274" s="1"/>
      <c r="C274" s="199"/>
      <c r="D274" s="1"/>
      <c r="E274" s="1"/>
      <c r="F274" s="1"/>
      <c r="G274" s="199"/>
      <c r="H274" s="1"/>
      <c r="I274" s="1"/>
      <c r="J274" s="1"/>
      <c r="K274" s="1"/>
      <c r="L274" s="1"/>
      <c r="M274" s="1"/>
      <c r="N274" s="10"/>
      <c r="O274" s="10"/>
      <c r="P274" s="10"/>
      <c r="Q274" s="10"/>
      <c r="R274" s="10"/>
      <c r="S274" s="10"/>
      <c r="T274" s="10"/>
      <c r="U274" s="1"/>
      <c r="V274" s="205"/>
      <c r="W274" s="205"/>
      <c r="X274" s="205"/>
      <c r="Y274" s="183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ht="16.5" customHeight="1">
      <c r="A275" s="1"/>
      <c r="B275" s="1"/>
      <c r="C275" s="199"/>
      <c r="D275" s="1"/>
      <c r="E275" s="1"/>
      <c r="F275" s="1"/>
      <c r="G275" s="199"/>
      <c r="H275" s="1"/>
      <c r="I275" s="1"/>
      <c r="J275" s="1"/>
      <c r="K275" s="1"/>
      <c r="L275" s="1"/>
      <c r="M275" s="1"/>
      <c r="N275" s="10"/>
      <c r="O275" s="10"/>
      <c r="P275" s="10"/>
      <c r="Q275" s="10"/>
      <c r="R275" s="10"/>
      <c r="S275" s="10"/>
      <c r="T275" s="10"/>
      <c r="U275" s="1"/>
      <c r="V275" s="205"/>
      <c r="W275" s="205"/>
      <c r="X275" s="205"/>
      <c r="Y275" s="183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 ht="16.5" customHeight="1">
      <c r="A276" s="1"/>
      <c r="B276" s="1"/>
      <c r="C276" s="199"/>
      <c r="D276" s="1"/>
      <c r="E276" s="1"/>
      <c r="F276" s="1"/>
      <c r="G276" s="199"/>
      <c r="H276" s="1"/>
      <c r="I276" s="1"/>
      <c r="J276" s="1"/>
      <c r="K276" s="1"/>
      <c r="L276" s="1"/>
      <c r="M276" s="1"/>
      <c r="N276" s="10"/>
      <c r="O276" s="10"/>
      <c r="P276" s="10"/>
      <c r="Q276" s="10"/>
      <c r="R276" s="10"/>
      <c r="S276" s="10"/>
      <c r="T276" s="10"/>
      <c r="U276" s="1"/>
      <c r="V276" s="205"/>
      <c r="W276" s="205"/>
      <c r="X276" s="205"/>
      <c r="Y276" s="183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 ht="16.5" customHeight="1">
      <c r="A277" s="1"/>
      <c r="B277" s="1"/>
      <c r="C277" s="199"/>
      <c r="D277" s="1"/>
      <c r="E277" s="1"/>
      <c r="F277" s="1"/>
      <c r="G277" s="199"/>
      <c r="H277" s="1"/>
      <c r="I277" s="1"/>
      <c r="J277" s="1"/>
      <c r="K277" s="1"/>
      <c r="L277" s="1"/>
      <c r="M277" s="1"/>
      <c r="N277" s="10"/>
      <c r="O277" s="10"/>
      <c r="P277" s="10"/>
      <c r="Q277" s="10"/>
      <c r="R277" s="10"/>
      <c r="S277" s="10"/>
      <c r="T277" s="10"/>
      <c r="U277" s="1"/>
      <c r="V277" s="205"/>
      <c r="W277" s="205"/>
      <c r="X277" s="205"/>
      <c r="Y277" s="183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 ht="16.5" customHeight="1">
      <c r="A278" s="1"/>
      <c r="B278" s="1"/>
      <c r="C278" s="199"/>
      <c r="D278" s="1"/>
      <c r="E278" s="1"/>
      <c r="F278" s="1"/>
      <c r="G278" s="199"/>
      <c r="H278" s="1"/>
      <c r="I278" s="1"/>
      <c r="J278" s="1"/>
      <c r="K278" s="1"/>
      <c r="L278" s="1"/>
      <c r="M278" s="1"/>
      <c r="N278" s="10"/>
      <c r="O278" s="10"/>
      <c r="P278" s="10"/>
      <c r="Q278" s="10"/>
      <c r="R278" s="10"/>
      <c r="S278" s="10"/>
      <c r="T278" s="10"/>
      <c r="U278" s="1"/>
      <c r="V278" s="205"/>
      <c r="W278" s="205"/>
      <c r="X278" s="205"/>
      <c r="Y278" s="183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ht="16.5" customHeight="1">
      <c r="A279" s="1"/>
      <c r="B279" s="1"/>
      <c r="C279" s="199"/>
      <c r="D279" s="1"/>
      <c r="E279" s="1"/>
      <c r="F279" s="1"/>
      <c r="G279" s="199"/>
      <c r="H279" s="1"/>
      <c r="I279" s="1"/>
      <c r="J279" s="1"/>
      <c r="K279" s="1"/>
      <c r="L279" s="1"/>
      <c r="M279" s="1"/>
      <c r="N279" s="10"/>
      <c r="O279" s="10"/>
      <c r="P279" s="10"/>
      <c r="Q279" s="10"/>
      <c r="R279" s="10"/>
      <c r="S279" s="10"/>
      <c r="T279" s="10"/>
      <c r="U279" s="1"/>
      <c r="V279" s="205"/>
      <c r="W279" s="205"/>
      <c r="X279" s="205"/>
      <c r="Y279" s="183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ht="16.5" customHeight="1">
      <c r="A280" s="1"/>
      <c r="B280" s="1"/>
      <c r="C280" s="199"/>
      <c r="D280" s="1"/>
      <c r="E280" s="1"/>
      <c r="F280" s="1"/>
      <c r="G280" s="199"/>
      <c r="H280" s="1"/>
      <c r="I280" s="1"/>
      <c r="J280" s="1"/>
      <c r="K280" s="1"/>
      <c r="L280" s="1"/>
      <c r="M280" s="1"/>
      <c r="N280" s="10"/>
      <c r="O280" s="10"/>
      <c r="P280" s="10"/>
      <c r="Q280" s="10"/>
      <c r="R280" s="10"/>
      <c r="S280" s="10"/>
      <c r="T280" s="10"/>
      <c r="U280" s="1"/>
      <c r="V280" s="205"/>
      <c r="W280" s="205"/>
      <c r="X280" s="205"/>
      <c r="Y280" s="183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ht="16.5" customHeight="1">
      <c r="A281" s="1"/>
      <c r="B281" s="1"/>
      <c r="C281" s="199"/>
      <c r="D281" s="1"/>
      <c r="E281" s="1"/>
      <c r="F281" s="1"/>
      <c r="G281" s="199"/>
      <c r="H281" s="1"/>
      <c r="I281" s="1"/>
      <c r="J281" s="1"/>
      <c r="K281" s="1"/>
      <c r="L281" s="1"/>
      <c r="M281" s="1"/>
      <c r="N281" s="10"/>
      <c r="O281" s="10"/>
      <c r="P281" s="10"/>
      <c r="Q281" s="10"/>
      <c r="R281" s="10"/>
      <c r="S281" s="10"/>
      <c r="T281" s="10"/>
      <c r="U281" s="1"/>
      <c r="V281" s="205"/>
      <c r="W281" s="205"/>
      <c r="X281" s="205"/>
      <c r="Y281" s="183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ht="16.5" customHeight="1">
      <c r="A282" s="1"/>
      <c r="B282" s="1"/>
      <c r="C282" s="199"/>
      <c r="D282" s="1"/>
      <c r="E282" s="1"/>
      <c r="F282" s="1"/>
      <c r="G282" s="199"/>
      <c r="H282" s="1"/>
      <c r="I282" s="1"/>
      <c r="J282" s="1"/>
      <c r="K282" s="1"/>
      <c r="L282" s="1"/>
      <c r="M282" s="1"/>
      <c r="N282" s="10"/>
      <c r="O282" s="10"/>
      <c r="P282" s="10"/>
      <c r="Q282" s="10"/>
      <c r="R282" s="10"/>
      <c r="S282" s="10"/>
      <c r="T282" s="10"/>
      <c r="U282" s="1"/>
      <c r="V282" s="205"/>
      <c r="W282" s="205"/>
      <c r="X282" s="205"/>
      <c r="Y282" s="183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 ht="16.5" customHeight="1">
      <c r="A283" s="1"/>
      <c r="B283" s="1"/>
      <c r="C283" s="199"/>
      <c r="D283" s="1"/>
      <c r="E283" s="1"/>
      <c r="F283" s="1"/>
      <c r="G283" s="199"/>
      <c r="H283" s="1"/>
      <c r="I283" s="1"/>
      <c r="J283" s="1"/>
      <c r="K283" s="1"/>
      <c r="L283" s="1"/>
      <c r="M283" s="1"/>
      <c r="N283" s="10"/>
      <c r="O283" s="10"/>
      <c r="P283" s="10"/>
      <c r="Q283" s="10"/>
      <c r="R283" s="10"/>
      <c r="S283" s="10"/>
      <c r="T283" s="10"/>
      <c r="U283" s="1"/>
      <c r="V283" s="205"/>
      <c r="W283" s="205"/>
      <c r="X283" s="205"/>
      <c r="Y283" s="183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 ht="16.5" customHeight="1">
      <c r="A284" s="1"/>
      <c r="B284" s="1"/>
      <c r="C284" s="199"/>
      <c r="D284" s="1"/>
      <c r="E284" s="1"/>
      <c r="F284" s="1"/>
      <c r="G284" s="199"/>
      <c r="H284" s="1"/>
      <c r="I284" s="1"/>
      <c r="J284" s="1"/>
      <c r="K284" s="1"/>
      <c r="L284" s="1"/>
      <c r="M284" s="1"/>
      <c r="N284" s="10"/>
      <c r="O284" s="10"/>
      <c r="P284" s="10"/>
      <c r="Q284" s="10"/>
      <c r="R284" s="10"/>
      <c r="S284" s="10"/>
      <c r="T284" s="10"/>
      <c r="U284" s="1"/>
      <c r="V284" s="205"/>
      <c r="W284" s="205"/>
      <c r="X284" s="205"/>
      <c r="Y284" s="183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ht="16.5" customHeight="1">
      <c r="A285" s="1"/>
      <c r="B285" s="1"/>
      <c r="C285" s="199"/>
      <c r="D285" s="1"/>
      <c r="E285" s="1"/>
      <c r="F285" s="1"/>
      <c r="G285" s="199"/>
      <c r="H285" s="1"/>
      <c r="I285" s="1"/>
      <c r="J285" s="1"/>
      <c r="K285" s="1"/>
      <c r="L285" s="1"/>
      <c r="M285" s="1"/>
      <c r="N285" s="10"/>
      <c r="O285" s="10"/>
      <c r="P285" s="10"/>
      <c r="Q285" s="10"/>
      <c r="R285" s="10"/>
      <c r="S285" s="10"/>
      <c r="T285" s="10"/>
      <c r="U285" s="1"/>
      <c r="V285" s="205"/>
      <c r="W285" s="205"/>
      <c r="X285" s="205"/>
      <c r="Y285" s="183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ht="16.5" customHeight="1">
      <c r="A286" s="1"/>
      <c r="B286" s="1"/>
      <c r="C286" s="199"/>
      <c r="D286" s="1"/>
      <c r="E286" s="1"/>
      <c r="F286" s="1"/>
      <c r="G286" s="199"/>
      <c r="H286" s="1"/>
      <c r="I286" s="1"/>
      <c r="J286" s="1"/>
      <c r="K286" s="1"/>
      <c r="L286" s="1"/>
      <c r="M286" s="1"/>
      <c r="N286" s="10"/>
      <c r="O286" s="10"/>
      <c r="P286" s="10"/>
      <c r="Q286" s="10"/>
      <c r="R286" s="10"/>
      <c r="S286" s="10"/>
      <c r="T286" s="10"/>
      <c r="U286" s="1"/>
      <c r="V286" s="205"/>
      <c r="W286" s="205"/>
      <c r="X286" s="205"/>
      <c r="Y286" s="183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ht="16.5" customHeight="1">
      <c r="A287" s="1"/>
      <c r="B287" s="1"/>
      <c r="C287" s="199"/>
      <c r="D287" s="1"/>
      <c r="E287" s="1"/>
      <c r="F287" s="1"/>
      <c r="G287" s="199"/>
      <c r="H287" s="1"/>
      <c r="I287" s="1"/>
      <c r="J287" s="1"/>
      <c r="K287" s="1"/>
      <c r="L287" s="1"/>
      <c r="M287" s="1"/>
      <c r="N287" s="10"/>
      <c r="O287" s="10"/>
      <c r="P287" s="10"/>
      <c r="Q287" s="10"/>
      <c r="R287" s="10"/>
      <c r="S287" s="10"/>
      <c r="T287" s="10"/>
      <c r="U287" s="1"/>
      <c r="V287" s="205"/>
      <c r="W287" s="205"/>
      <c r="X287" s="205"/>
      <c r="Y287" s="183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ht="16.5" customHeight="1">
      <c r="A288" s="1"/>
      <c r="B288" s="1"/>
      <c r="C288" s="199"/>
      <c r="D288" s="1"/>
      <c r="E288" s="1"/>
      <c r="F288" s="1"/>
      <c r="G288" s="199"/>
      <c r="H288" s="1"/>
      <c r="I288" s="1"/>
      <c r="J288" s="1"/>
      <c r="K288" s="1"/>
      <c r="L288" s="1"/>
      <c r="M288" s="1"/>
      <c r="N288" s="10"/>
      <c r="O288" s="10"/>
      <c r="P288" s="10"/>
      <c r="Q288" s="10"/>
      <c r="R288" s="10"/>
      <c r="S288" s="10"/>
      <c r="T288" s="10"/>
      <c r="U288" s="1"/>
      <c r="V288" s="205"/>
      <c r="W288" s="205"/>
      <c r="X288" s="205"/>
      <c r="Y288" s="183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ht="16.5" customHeight="1">
      <c r="A289" s="1"/>
      <c r="B289" s="1"/>
      <c r="C289" s="199"/>
      <c r="D289" s="1"/>
      <c r="E289" s="1"/>
      <c r="F289" s="1"/>
      <c r="G289" s="199"/>
      <c r="H289" s="1"/>
      <c r="I289" s="1"/>
      <c r="J289" s="1"/>
      <c r="K289" s="1"/>
      <c r="L289" s="1"/>
      <c r="M289" s="1"/>
      <c r="N289" s="10"/>
      <c r="O289" s="10"/>
      <c r="P289" s="10"/>
      <c r="Q289" s="10"/>
      <c r="R289" s="10"/>
      <c r="S289" s="10"/>
      <c r="T289" s="10"/>
      <c r="U289" s="1"/>
      <c r="V289" s="205"/>
      <c r="W289" s="205"/>
      <c r="X289" s="205"/>
      <c r="Y289" s="183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 ht="16.5" customHeight="1">
      <c r="A290" s="1"/>
      <c r="B290" s="1"/>
      <c r="C290" s="199"/>
      <c r="D290" s="1"/>
      <c r="E290" s="1"/>
      <c r="F290" s="1"/>
      <c r="G290" s="199"/>
      <c r="H290" s="1"/>
      <c r="I290" s="1"/>
      <c r="J290" s="1"/>
      <c r="K290" s="1"/>
      <c r="L290" s="1"/>
      <c r="M290" s="1"/>
      <c r="N290" s="10"/>
      <c r="O290" s="10"/>
      <c r="P290" s="10"/>
      <c r="Q290" s="10"/>
      <c r="R290" s="10"/>
      <c r="S290" s="10"/>
      <c r="T290" s="10"/>
      <c r="U290" s="1"/>
      <c r="V290" s="205"/>
      <c r="W290" s="205"/>
      <c r="X290" s="205"/>
      <c r="Y290" s="183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 ht="16.5" customHeight="1">
      <c r="A291" s="1"/>
      <c r="B291" s="1"/>
      <c r="C291" s="199"/>
      <c r="D291" s="1"/>
      <c r="E291" s="1"/>
      <c r="F291" s="1"/>
      <c r="G291" s="199"/>
      <c r="H291" s="1"/>
      <c r="I291" s="1"/>
      <c r="J291" s="1"/>
      <c r="K291" s="1"/>
      <c r="L291" s="1"/>
      <c r="M291" s="1"/>
      <c r="N291" s="10"/>
      <c r="O291" s="10"/>
      <c r="P291" s="10"/>
      <c r="Q291" s="10"/>
      <c r="R291" s="10"/>
      <c r="S291" s="10"/>
      <c r="T291" s="10"/>
      <c r="U291" s="1"/>
      <c r="V291" s="205"/>
      <c r="W291" s="205"/>
      <c r="X291" s="205"/>
      <c r="Y291" s="183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ht="16.5" customHeight="1">
      <c r="A292" s="1"/>
      <c r="B292" s="1"/>
      <c r="C292" s="199"/>
      <c r="D292" s="1"/>
      <c r="E292" s="1"/>
      <c r="F292" s="1"/>
      <c r="G292" s="199"/>
      <c r="H292" s="1"/>
      <c r="I292" s="1"/>
      <c r="J292" s="1"/>
      <c r="K292" s="1"/>
      <c r="L292" s="1"/>
      <c r="M292" s="1"/>
      <c r="N292" s="10"/>
      <c r="O292" s="10"/>
      <c r="P292" s="10"/>
      <c r="Q292" s="10"/>
      <c r="R292" s="10"/>
      <c r="S292" s="10"/>
      <c r="T292" s="10"/>
      <c r="U292" s="1"/>
      <c r="V292" s="205"/>
      <c r="W292" s="205"/>
      <c r="X292" s="205"/>
      <c r="Y292" s="183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ht="16.5" customHeight="1">
      <c r="A293" s="1"/>
      <c r="B293" s="1"/>
      <c r="C293" s="199"/>
      <c r="D293" s="1"/>
      <c r="E293" s="1"/>
      <c r="F293" s="1"/>
      <c r="G293" s="199"/>
      <c r="H293" s="1"/>
      <c r="I293" s="1"/>
      <c r="J293" s="1"/>
      <c r="K293" s="1"/>
      <c r="L293" s="1"/>
      <c r="M293" s="1"/>
      <c r="N293" s="10"/>
      <c r="O293" s="10"/>
      <c r="P293" s="10"/>
      <c r="Q293" s="10"/>
      <c r="R293" s="10"/>
      <c r="S293" s="10"/>
      <c r="T293" s="10"/>
      <c r="U293" s="1"/>
      <c r="V293" s="205"/>
      <c r="W293" s="205"/>
      <c r="X293" s="205"/>
      <c r="Y293" s="183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ht="16.5" customHeight="1">
      <c r="A294" s="1"/>
      <c r="B294" s="1"/>
      <c r="C294" s="199"/>
      <c r="D294" s="1"/>
      <c r="E294" s="1"/>
      <c r="F294" s="1"/>
      <c r="G294" s="199"/>
      <c r="H294" s="1"/>
      <c r="I294" s="1"/>
      <c r="J294" s="1"/>
      <c r="K294" s="1"/>
      <c r="L294" s="1"/>
      <c r="M294" s="1"/>
      <c r="N294" s="10"/>
      <c r="O294" s="10"/>
      <c r="P294" s="10"/>
      <c r="Q294" s="10"/>
      <c r="R294" s="10"/>
      <c r="S294" s="10"/>
      <c r="T294" s="10"/>
      <c r="U294" s="1"/>
      <c r="V294" s="205"/>
      <c r="W294" s="205"/>
      <c r="X294" s="205"/>
      <c r="Y294" s="183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ht="16.5" customHeight="1">
      <c r="A295" s="1"/>
      <c r="B295" s="1"/>
      <c r="C295" s="199"/>
      <c r="D295" s="1"/>
      <c r="E295" s="1"/>
      <c r="F295" s="1"/>
      <c r="G295" s="199"/>
      <c r="H295" s="1"/>
      <c r="I295" s="1"/>
      <c r="J295" s="1"/>
      <c r="K295" s="1"/>
      <c r="L295" s="1"/>
      <c r="M295" s="1"/>
      <c r="N295" s="10"/>
      <c r="O295" s="10"/>
      <c r="P295" s="10"/>
      <c r="Q295" s="10"/>
      <c r="R295" s="10"/>
      <c r="S295" s="10"/>
      <c r="T295" s="10"/>
      <c r="U295" s="1"/>
      <c r="V295" s="205"/>
      <c r="W295" s="205"/>
      <c r="X295" s="205"/>
      <c r="Y295" s="183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 ht="16.5" customHeight="1">
      <c r="A296" s="1"/>
      <c r="B296" s="1"/>
      <c r="C296" s="199"/>
      <c r="D296" s="1"/>
      <c r="E296" s="1"/>
      <c r="F296" s="1"/>
      <c r="G296" s="199"/>
      <c r="H296" s="1"/>
      <c r="I296" s="1"/>
      <c r="J296" s="1"/>
      <c r="K296" s="1"/>
      <c r="L296" s="1"/>
      <c r="M296" s="1"/>
      <c r="N296" s="10"/>
      <c r="O296" s="10"/>
      <c r="P296" s="10"/>
      <c r="Q296" s="10"/>
      <c r="R296" s="10"/>
      <c r="S296" s="10"/>
      <c r="T296" s="10"/>
      <c r="U296" s="1"/>
      <c r="V296" s="205"/>
      <c r="W296" s="205"/>
      <c r="X296" s="205"/>
      <c r="Y296" s="183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 ht="16.5" customHeight="1">
      <c r="A297" s="1"/>
      <c r="B297" s="1"/>
      <c r="C297" s="199"/>
      <c r="D297" s="1"/>
      <c r="E297" s="1"/>
      <c r="F297" s="1"/>
      <c r="G297" s="199"/>
      <c r="H297" s="1"/>
      <c r="I297" s="1"/>
      <c r="J297" s="1"/>
      <c r="K297" s="1"/>
      <c r="L297" s="1"/>
      <c r="M297" s="1"/>
      <c r="N297" s="10"/>
      <c r="O297" s="10"/>
      <c r="P297" s="10"/>
      <c r="Q297" s="10"/>
      <c r="R297" s="10"/>
      <c r="S297" s="10"/>
      <c r="T297" s="10"/>
      <c r="U297" s="1"/>
      <c r="V297" s="205"/>
      <c r="W297" s="205"/>
      <c r="X297" s="205"/>
      <c r="Y297" s="183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ht="16.5" customHeight="1">
      <c r="A298" s="1"/>
      <c r="B298" s="1"/>
      <c r="C298" s="199"/>
      <c r="D298" s="1"/>
      <c r="E298" s="1"/>
      <c r="F298" s="1"/>
      <c r="G298" s="199"/>
      <c r="H298" s="1"/>
      <c r="I298" s="1"/>
      <c r="J298" s="1"/>
      <c r="K298" s="1"/>
      <c r="L298" s="1"/>
      <c r="M298" s="1"/>
      <c r="N298" s="10"/>
      <c r="O298" s="10"/>
      <c r="P298" s="10"/>
      <c r="Q298" s="10"/>
      <c r="R298" s="10"/>
      <c r="S298" s="10"/>
      <c r="T298" s="10"/>
      <c r="U298" s="1"/>
      <c r="V298" s="205"/>
      <c r="W298" s="205"/>
      <c r="X298" s="205"/>
      <c r="Y298" s="183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ht="16.5" customHeight="1">
      <c r="A299" s="1"/>
      <c r="B299" s="1"/>
      <c r="C299" s="199"/>
      <c r="D299" s="1"/>
      <c r="E299" s="1"/>
      <c r="F299" s="1"/>
      <c r="G299" s="199"/>
      <c r="H299" s="1"/>
      <c r="I299" s="1"/>
      <c r="J299" s="1"/>
      <c r="K299" s="1"/>
      <c r="L299" s="1"/>
      <c r="M299" s="1"/>
      <c r="N299" s="10"/>
      <c r="O299" s="10"/>
      <c r="P299" s="10"/>
      <c r="Q299" s="10"/>
      <c r="R299" s="10"/>
      <c r="S299" s="10"/>
      <c r="T299" s="10"/>
      <c r="U299" s="1"/>
      <c r="V299" s="205"/>
      <c r="W299" s="205"/>
      <c r="X299" s="205"/>
      <c r="Y299" s="183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ht="16.5" customHeight="1">
      <c r="A300" s="1"/>
      <c r="B300" s="1"/>
      <c r="C300" s="199"/>
      <c r="D300" s="1"/>
      <c r="E300" s="1"/>
      <c r="F300" s="1"/>
      <c r="G300" s="199"/>
      <c r="H300" s="1"/>
      <c r="I300" s="1"/>
      <c r="J300" s="1"/>
      <c r="K300" s="1"/>
      <c r="L300" s="1"/>
      <c r="M300" s="1"/>
      <c r="N300" s="10"/>
      <c r="O300" s="10"/>
      <c r="P300" s="10"/>
      <c r="Q300" s="10"/>
      <c r="R300" s="10"/>
      <c r="S300" s="10"/>
      <c r="T300" s="10"/>
      <c r="U300" s="1"/>
      <c r="V300" s="205"/>
      <c r="W300" s="205"/>
      <c r="X300" s="205"/>
      <c r="Y300" s="183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ht="16.5" customHeight="1">
      <c r="A301" s="1"/>
      <c r="B301" s="1"/>
      <c r="C301" s="199"/>
      <c r="D301" s="1"/>
      <c r="E301" s="1"/>
      <c r="F301" s="1"/>
      <c r="G301" s="199"/>
      <c r="H301" s="1"/>
      <c r="I301" s="1"/>
      <c r="J301" s="1"/>
      <c r="K301" s="1"/>
      <c r="L301" s="1"/>
      <c r="M301" s="1"/>
      <c r="N301" s="10"/>
      <c r="O301" s="10"/>
      <c r="P301" s="10"/>
      <c r="Q301" s="10"/>
      <c r="R301" s="10"/>
      <c r="S301" s="10"/>
      <c r="T301" s="10"/>
      <c r="U301" s="1"/>
      <c r="V301" s="205"/>
      <c r="W301" s="205"/>
      <c r="X301" s="205"/>
      <c r="Y301" s="183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ht="16.5" customHeight="1">
      <c r="A302" s="1"/>
      <c r="B302" s="1"/>
      <c r="C302" s="199"/>
      <c r="D302" s="1"/>
      <c r="E302" s="1"/>
      <c r="F302" s="1"/>
      <c r="G302" s="199"/>
      <c r="H302" s="1"/>
      <c r="I302" s="1"/>
      <c r="J302" s="1"/>
      <c r="K302" s="1"/>
      <c r="L302" s="1"/>
      <c r="M302" s="1"/>
      <c r="N302" s="10"/>
      <c r="O302" s="10"/>
      <c r="P302" s="10"/>
      <c r="Q302" s="10"/>
      <c r="R302" s="10"/>
      <c r="S302" s="10"/>
      <c r="T302" s="10"/>
      <c r="U302" s="1"/>
      <c r="V302" s="205"/>
      <c r="W302" s="205"/>
      <c r="X302" s="205"/>
      <c r="Y302" s="183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ht="16.5" customHeight="1">
      <c r="A303" s="1"/>
      <c r="B303" s="1"/>
      <c r="C303" s="199"/>
      <c r="D303" s="1"/>
      <c r="E303" s="1"/>
      <c r="F303" s="1"/>
      <c r="G303" s="199"/>
      <c r="H303" s="1"/>
      <c r="I303" s="1"/>
      <c r="J303" s="1"/>
      <c r="K303" s="1"/>
      <c r="L303" s="1"/>
      <c r="M303" s="1"/>
      <c r="N303" s="10"/>
      <c r="O303" s="10"/>
      <c r="P303" s="10"/>
      <c r="Q303" s="10"/>
      <c r="R303" s="10"/>
      <c r="S303" s="10"/>
      <c r="T303" s="10"/>
      <c r="U303" s="1"/>
      <c r="V303" s="205"/>
      <c r="W303" s="205"/>
      <c r="X303" s="205"/>
      <c r="Y303" s="183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ht="16.5" customHeight="1">
      <c r="A304" s="1"/>
      <c r="B304" s="1"/>
      <c r="C304" s="199"/>
      <c r="D304" s="1"/>
      <c r="E304" s="1"/>
      <c r="F304" s="1"/>
      <c r="G304" s="199"/>
      <c r="H304" s="1"/>
      <c r="I304" s="1"/>
      <c r="J304" s="1"/>
      <c r="K304" s="1"/>
      <c r="L304" s="1"/>
      <c r="M304" s="1"/>
      <c r="N304" s="10"/>
      <c r="O304" s="10"/>
      <c r="P304" s="10"/>
      <c r="Q304" s="10"/>
      <c r="R304" s="10"/>
      <c r="S304" s="10"/>
      <c r="T304" s="10"/>
      <c r="U304" s="1"/>
      <c r="V304" s="205"/>
      <c r="W304" s="205"/>
      <c r="X304" s="205"/>
      <c r="Y304" s="183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ht="16.5" customHeight="1">
      <c r="A305" s="1"/>
      <c r="B305" s="1"/>
      <c r="C305" s="199"/>
      <c r="D305" s="1"/>
      <c r="E305" s="1"/>
      <c r="F305" s="1"/>
      <c r="G305" s="199"/>
      <c r="H305" s="1"/>
      <c r="I305" s="1"/>
      <c r="J305" s="1"/>
      <c r="K305" s="1"/>
      <c r="L305" s="1"/>
      <c r="M305" s="1"/>
      <c r="N305" s="10"/>
      <c r="O305" s="10"/>
      <c r="P305" s="10"/>
      <c r="Q305" s="10"/>
      <c r="R305" s="10"/>
      <c r="S305" s="10"/>
      <c r="T305" s="10"/>
      <c r="U305" s="1"/>
      <c r="V305" s="205"/>
      <c r="W305" s="205"/>
      <c r="X305" s="205"/>
      <c r="Y305" s="183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 ht="16.5" customHeight="1">
      <c r="A306" s="1"/>
      <c r="B306" s="1"/>
      <c r="C306" s="199"/>
      <c r="D306" s="1"/>
      <c r="E306" s="1"/>
      <c r="F306" s="1"/>
      <c r="G306" s="199"/>
      <c r="H306" s="1"/>
      <c r="I306" s="1"/>
      <c r="J306" s="1"/>
      <c r="K306" s="1"/>
      <c r="L306" s="1"/>
      <c r="M306" s="1"/>
      <c r="N306" s="10"/>
      <c r="O306" s="10"/>
      <c r="P306" s="10"/>
      <c r="Q306" s="10"/>
      <c r="R306" s="10"/>
      <c r="S306" s="10"/>
      <c r="T306" s="10"/>
      <c r="U306" s="1"/>
      <c r="V306" s="205"/>
      <c r="W306" s="205"/>
      <c r="X306" s="205"/>
      <c r="Y306" s="183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ht="16.5" customHeight="1">
      <c r="A307" s="1"/>
      <c r="B307" s="1"/>
      <c r="C307" s="199"/>
      <c r="D307" s="1"/>
      <c r="E307" s="1"/>
      <c r="F307" s="1"/>
      <c r="G307" s="199"/>
      <c r="H307" s="1"/>
      <c r="I307" s="1"/>
      <c r="J307" s="1"/>
      <c r="K307" s="1"/>
      <c r="L307" s="1"/>
      <c r="M307" s="1"/>
      <c r="N307" s="10"/>
      <c r="O307" s="10"/>
      <c r="P307" s="10"/>
      <c r="Q307" s="10"/>
      <c r="R307" s="10"/>
      <c r="S307" s="10"/>
      <c r="T307" s="10"/>
      <c r="U307" s="1"/>
      <c r="V307" s="205"/>
      <c r="W307" s="205"/>
      <c r="X307" s="205"/>
      <c r="Y307" s="183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ht="16.5" customHeight="1">
      <c r="A308" s="1"/>
      <c r="B308" s="1"/>
      <c r="C308" s="199"/>
      <c r="D308" s="1"/>
      <c r="E308" s="1"/>
      <c r="F308" s="1"/>
      <c r="G308" s="199"/>
      <c r="H308" s="1"/>
      <c r="I308" s="1"/>
      <c r="J308" s="1"/>
      <c r="K308" s="1"/>
      <c r="L308" s="1"/>
      <c r="M308" s="1"/>
      <c r="N308" s="10"/>
      <c r="O308" s="10"/>
      <c r="P308" s="10"/>
      <c r="Q308" s="10"/>
      <c r="R308" s="10"/>
      <c r="S308" s="10"/>
      <c r="T308" s="10"/>
      <c r="U308" s="1"/>
      <c r="V308" s="205"/>
      <c r="W308" s="205"/>
      <c r="X308" s="205"/>
      <c r="Y308" s="183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ht="16.5" customHeight="1">
      <c r="A309" s="1"/>
      <c r="B309" s="1"/>
      <c r="C309" s="199"/>
      <c r="D309" s="1"/>
      <c r="E309" s="1"/>
      <c r="F309" s="1"/>
      <c r="G309" s="199"/>
      <c r="H309" s="1"/>
      <c r="I309" s="1"/>
      <c r="J309" s="1"/>
      <c r="K309" s="1"/>
      <c r="L309" s="1"/>
      <c r="M309" s="1"/>
      <c r="N309" s="10"/>
      <c r="O309" s="10"/>
      <c r="P309" s="10"/>
      <c r="Q309" s="10"/>
      <c r="R309" s="10"/>
      <c r="S309" s="10"/>
      <c r="T309" s="10"/>
      <c r="U309" s="1"/>
      <c r="V309" s="205"/>
      <c r="W309" s="205"/>
      <c r="X309" s="205"/>
      <c r="Y309" s="183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ht="16.5" customHeight="1">
      <c r="A310" s="1"/>
      <c r="B310" s="1"/>
      <c r="C310" s="199"/>
      <c r="D310" s="1"/>
      <c r="E310" s="1"/>
      <c r="F310" s="1"/>
      <c r="G310" s="199"/>
      <c r="H310" s="1"/>
      <c r="I310" s="1"/>
      <c r="J310" s="1"/>
      <c r="K310" s="1"/>
      <c r="L310" s="1"/>
      <c r="M310" s="1"/>
      <c r="N310" s="10"/>
      <c r="O310" s="10"/>
      <c r="P310" s="10"/>
      <c r="Q310" s="10"/>
      <c r="R310" s="10"/>
      <c r="S310" s="10"/>
      <c r="T310" s="10"/>
      <c r="U310" s="1"/>
      <c r="V310" s="205"/>
      <c r="W310" s="205"/>
      <c r="X310" s="205"/>
      <c r="Y310" s="183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ht="16.5" customHeight="1">
      <c r="A311" s="1"/>
      <c r="B311" s="1"/>
      <c r="C311" s="199"/>
      <c r="D311" s="1"/>
      <c r="E311" s="1"/>
      <c r="F311" s="1"/>
      <c r="G311" s="199"/>
      <c r="H311" s="1"/>
      <c r="I311" s="1"/>
      <c r="J311" s="1"/>
      <c r="K311" s="1"/>
      <c r="L311" s="1"/>
      <c r="M311" s="1"/>
      <c r="N311" s="10"/>
      <c r="O311" s="10"/>
      <c r="P311" s="10"/>
      <c r="Q311" s="10"/>
      <c r="R311" s="10"/>
      <c r="S311" s="10"/>
      <c r="T311" s="10"/>
      <c r="U311" s="1"/>
      <c r="V311" s="205"/>
      <c r="W311" s="205"/>
      <c r="X311" s="205"/>
      <c r="Y311" s="183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ht="16.5" customHeight="1">
      <c r="A312" s="1"/>
      <c r="B312" s="1"/>
      <c r="C312" s="199"/>
      <c r="D312" s="1"/>
      <c r="E312" s="1"/>
      <c r="F312" s="1"/>
      <c r="G312" s="199"/>
      <c r="H312" s="1"/>
      <c r="I312" s="1"/>
      <c r="J312" s="1"/>
      <c r="K312" s="1"/>
      <c r="L312" s="1"/>
      <c r="M312" s="1"/>
      <c r="N312" s="10"/>
      <c r="O312" s="10"/>
      <c r="P312" s="10"/>
      <c r="Q312" s="10"/>
      <c r="R312" s="10"/>
      <c r="S312" s="10"/>
      <c r="T312" s="10"/>
      <c r="U312" s="1"/>
      <c r="V312" s="205"/>
      <c r="W312" s="205"/>
      <c r="X312" s="205"/>
      <c r="Y312" s="183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ht="16.5" customHeight="1">
      <c r="A313" s="1"/>
      <c r="B313" s="1"/>
      <c r="C313" s="199"/>
      <c r="D313" s="1"/>
      <c r="E313" s="1"/>
      <c r="F313" s="1"/>
      <c r="G313" s="199"/>
      <c r="H313" s="1"/>
      <c r="I313" s="1"/>
      <c r="J313" s="1"/>
      <c r="K313" s="1"/>
      <c r="L313" s="1"/>
      <c r="M313" s="1"/>
      <c r="N313" s="10"/>
      <c r="O313" s="10"/>
      <c r="P313" s="10"/>
      <c r="Q313" s="10"/>
      <c r="R313" s="10"/>
      <c r="S313" s="10"/>
      <c r="T313" s="10"/>
      <c r="U313" s="1"/>
      <c r="V313" s="205"/>
      <c r="W313" s="205"/>
      <c r="X313" s="205"/>
      <c r="Y313" s="183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ht="16.5" customHeight="1">
      <c r="A314" s="1"/>
      <c r="B314" s="1"/>
      <c r="C314" s="199"/>
      <c r="D314" s="1"/>
      <c r="E314" s="1"/>
      <c r="F314" s="1"/>
      <c r="G314" s="199"/>
      <c r="H314" s="1"/>
      <c r="I314" s="1"/>
      <c r="J314" s="1"/>
      <c r="K314" s="1"/>
      <c r="L314" s="1"/>
      <c r="M314" s="1"/>
      <c r="N314" s="10"/>
      <c r="O314" s="10"/>
      <c r="P314" s="10"/>
      <c r="Q314" s="10"/>
      <c r="R314" s="10"/>
      <c r="S314" s="10"/>
      <c r="T314" s="10"/>
      <c r="U314" s="1"/>
      <c r="V314" s="205"/>
      <c r="W314" s="205"/>
      <c r="X314" s="205"/>
      <c r="Y314" s="183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 ht="16.5" customHeight="1">
      <c r="A315" s="1"/>
      <c r="B315" s="1"/>
      <c r="C315" s="199"/>
      <c r="D315" s="1"/>
      <c r="E315" s="1"/>
      <c r="F315" s="1"/>
      <c r="G315" s="199"/>
      <c r="H315" s="1"/>
      <c r="I315" s="1"/>
      <c r="J315" s="1"/>
      <c r="K315" s="1"/>
      <c r="L315" s="1"/>
      <c r="M315" s="1"/>
      <c r="N315" s="10"/>
      <c r="O315" s="10"/>
      <c r="P315" s="10"/>
      <c r="Q315" s="10"/>
      <c r="R315" s="10"/>
      <c r="S315" s="10"/>
      <c r="T315" s="10"/>
      <c r="U315" s="1"/>
      <c r="V315" s="205"/>
      <c r="W315" s="205"/>
      <c r="X315" s="205"/>
      <c r="Y315" s="183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ht="16.5" customHeight="1">
      <c r="A316" s="1"/>
      <c r="B316" s="1"/>
      <c r="C316" s="199"/>
      <c r="D316" s="1"/>
      <c r="E316" s="1"/>
      <c r="F316" s="1"/>
      <c r="G316" s="199"/>
      <c r="H316" s="1"/>
      <c r="I316" s="1"/>
      <c r="J316" s="1"/>
      <c r="K316" s="1"/>
      <c r="L316" s="1"/>
      <c r="M316" s="1"/>
      <c r="N316" s="10"/>
      <c r="O316" s="10"/>
      <c r="P316" s="10"/>
      <c r="Q316" s="10"/>
      <c r="R316" s="10"/>
      <c r="S316" s="10"/>
      <c r="T316" s="10"/>
      <c r="U316" s="1"/>
      <c r="V316" s="205"/>
      <c r="W316" s="205"/>
      <c r="X316" s="205"/>
      <c r="Y316" s="183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ht="16.5" customHeight="1">
      <c r="A317" s="1"/>
      <c r="B317" s="1"/>
      <c r="C317" s="199"/>
      <c r="D317" s="1"/>
      <c r="E317" s="1"/>
      <c r="F317" s="1"/>
      <c r="G317" s="199"/>
      <c r="H317" s="1"/>
      <c r="I317" s="1"/>
      <c r="J317" s="1"/>
      <c r="K317" s="1"/>
      <c r="L317" s="1"/>
      <c r="M317" s="1"/>
      <c r="N317" s="10"/>
      <c r="O317" s="10"/>
      <c r="P317" s="10"/>
      <c r="Q317" s="10"/>
      <c r="R317" s="10"/>
      <c r="S317" s="10"/>
      <c r="T317" s="10"/>
      <c r="U317" s="1"/>
      <c r="V317" s="205"/>
      <c r="W317" s="205"/>
      <c r="X317" s="205"/>
      <c r="Y317" s="183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ht="16.5" customHeight="1">
      <c r="A318" s="1"/>
      <c r="B318" s="1"/>
      <c r="C318" s="199"/>
      <c r="D318" s="1"/>
      <c r="E318" s="1"/>
      <c r="F318" s="1"/>
      <c r="G318" s="199"/>
      <c r="H318" s="1"/>
      <c r="I318" s="1"/>
      <c r="J318" s="1"/>
      <c r="K318" s="1"/>
      <c r="L318" s="1"/>
      <c r="M318" s="1"/>
      <c r="N318" s="10"/>
      <c r="O318" s="10"/>
      <c r="P318" s="10"/>
      <c r="Q318" s="10"/>
      <c r="R318" s="10"/>
      <c r="S318" s="10"/>
      <c r="T318" s="10"/>
      <c r="U318" s="1"/>
      <c r="V318" s="205"/>
      <c r="W318" s="205"/>
      <c r="X318" s="205"/>
      <c r="Y318" s="183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 ht="16.5" customHeight="1">
      <c r="A319" s="1"/>
      <c r="B319" s="1"/>
      <c r="C319" s="199"/>
      <c r="D319" s="1"/>
      <c r="E319" s="1"/>
      <c r="F319" s="1"/>
      <c r="G319" s="199"/>
      <c r="H319" s="1"/>
      <c r="I319" s="1"/>
      <c r="J319" s="1"/>
      <c r="K319" s="1"/>
      <c r="L319" s="1"/>
      <c r="M319" s="1"/>
      <c r="N319" s="10"/>
      <c r="O319" s="10"/>
      <c r="P319" s="10"/>
      <c r="Q319" s="10"/>
      <c r="R319" s="10"/>
      <c r="S319" s="10"/>
      <c r="T319" s="10"/>
      <c r="U319" s="1"/>
      <c r="V319" s="205"/>
      <c r="W319" s="205"/>
      <c r="X319" s="205"/>
      <c r="Y319" s="183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 ht="16.5" customHeight="1">
      <c r="A320" s="1"/>
      <c r="B320" s="1"/>
      <c r="C320" s="199"/>
      <c r="D320" s="1"/>
      <c r="E320" s="1"/>
      <c r="F320" s="1"/>
      <c r="G320" s="199"/>
      <c r="H320" s="1"/>
      <c r="I320" s="1"/>
      <c r="J320" s="1"/>
      <c r="K320" s="1"/>
      <c r="L320" s="1"/>
      <c r="M320" s="1"/>
      <c r="N320" s="10"/>
      <c r="O320" s="10"/>
      <c r="P320" s="10"/>
      <c r="Q320" s="10"/>
      <c r="R320" s="10"/>
      <c r="S320" s="10"/>
      <c r="T320" s="10"/>
      <c r="U320" s="1"/>
      <c r="V320" s="205"/>
      <c r="W320" s="205"/>
      <c r="X320" s="205"/>
      <c r="Y320" s="183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 ht="16.5" customHeight="1">
      <c r="A321" s="1"/>
      <c r="B321" s="1"/>
      <c r="C321" s="199"/>
      <c r="D321" s="1"/>
      <c r="E321" s="1"/>
      <c r="F321" s="1"/>
      <c r="G321" s="199"/>
      <c r="H321" s="1"/>
      <c r="I321" s="1"/>
      <c r="J321" s="1"/>
      <c r="K321" s="1"/>
      <c r="L321" s="1"/>
      <c r="M321" s="1"/>
      <c r="N321" s="10"/>
      <c r="O321" s="10"/>
      <c r="P321" s="10"/>
      <c r="Q321" s="10"/>
      <c r="R321" s="10"/>
      <c r="S321" s="10"/>
      <c r="T321" s="10"/>
      <c r="U321" s="1"/>
      <c r="V321" s="205"/>
      <c r="W321" s="205"/>
      <c r="X321" s="205"/>
      <c r="Y321" s="183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ht="16.5" customHeight="1">
      <c r="A322" s="1"/>
      <c r="B322" s="1"/>
      <c r="C322" s="199"/>
      <c r="D322" s="1"/>
      <c r="E322" s="1"/>
      <c r="F322" s="1"/>
      <c r="G322" s="199"/>
      <c r="H322" s="1"/>
      <c r="I322" s="1"/>
      <c r="J322" s="1"/>
      <c r="K322" s="1"/>
      <c r="L322" s="1"/>
      <c r="M322" s="1"/>
      <c r="N322" s="10"/>
      <c r="O322" s="10"/>
      <c r="P322" s="10"/>
      <c r="Q322" s="10"/>
      <c r="R322" s="10"/>
      <c r="S322" s="10"/>
      <c r="T322" s="10"/>
      <c r="U322" s="1"/>
      <c r="V322" s="205"/>
      <c r="W322" s="205"/>
      <c r="X322" s="205"/>
      <c r="Y322" s="183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ht="16.5" customHeight="1">
      <c r="A323" s="1"/>
      <c r="B323" s="1"/>
      <c r="C323" s="199"/>
      <c r="D323" s="1"/>
      <c r="E323" s="1"/>
      <c r="F323" s="1"/>
      <c r="G323" s="199"/>
      <c r="H323" s="1"/>
      <c r="I323" s="1"/>
      <c r="J323" s="1"/>
      <c r="K323" s="1"/>
      <c r="L323" s="1"/>
      <c r="M323" s="1"/>
      <c r="N323" s="10"/>
      <c r="O323" s="10"/>
      <c r="P323" s="10"/>
      <c r="Q323" s="10"/>
      <c r="R323" s="10"/>
      <c r="S323" s="10"/>
      <c r="T323" s="10"/>
      <c r="U323" s="1"/>
      <c r="V323" s="205"/>
      <c r="W323" s="205"/>
      <c r="X323" s="205"/>
      <c r="Y323" s="183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 ht="16.5" customHeight="1">
      <c r="A324" s="1"/>
      <c r="B324" s="1"/>
      <c r="C324" s="199"/>
      <c r="D324" s="1"/>
      <c r="E324" s="1"/>
      <c r="F324" s="1"/>
      <c r="G324" s="199"/>
      <c r="H324" s="1"/>
      <c r="I324" s="1"/>
      <c r="J324" s="1"/>
      <c r="K324" s="1"/>
      <c r="L324" s="1"/>
      <c r="M324" s="1"/>
      <c r="N324" s="10"/>
      <c r="O324" s="10"/>
      <c r="P324" s="10"/>
      <c r="Q324" s="10"/>
      <c r="R324" s="10"/>
      <c r="S324" s="10"/>
      <c r="T324" s="10"/>
      <c r="U324" s="1"/>
      <c r="V324" s="205"/>
      <c r="W324" s="205"/>
      <c r="X324" s="205"/>
      <c r="Y324" s="183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 ht="16.5" customHeight="1">
      <c r="A325" s="1"/>
      <c r="B325" s="1"/>
      <c r="C325" s="199"/>
      <c r="D325" s="1"/>
      <c r="E325" s="1"/>
      <c r="F325" s="1"/>
      <c r="G325" s="199"/>
      <c r="H325" s="1"/>
      <c r="I325" s="1"/>
      <c r="J325" s="1"/>
      <c r="K325" s="1"/>
      <c r="L325" s="1"/>
      <c r="M325" s="1"/>
      <c r="N325" s="10"/>
      <c r="O325" s="10"/>
      <c r="P325" s="10"/>
      <c r="Q325" s="10"/>
      <c r="R325" s="10"/>
      <c r="S325" s="10"/>
      <c r="T325" s="10"/>
      <c r="U325" s="1"/>
      <c r="V325" s="205"/>
      <c r="W325" s="205"/>
      <c r="X325" s="205"/>
      <c r="Y325" s="183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 ht="16.5" customHeight="1">
      <c r="A326" s="1"/>
      <c r="B326" s="1"/>
      <c r="C326" s="199"/>
      <c r="D326" s="1"/>
      <c r="E326" s="1"/>
      <c r="F326" s="1"/>
      <c r="G326" s="199"/>
      <c r="H326" s="1"/>
      <c r="I326" s="1"/>
      <c r="J326" s="1"/>
      <c r="K326" s="1"/>
      <c r="L326" s="1"/>
      <c r="M326" s="1"/>
      <c r="N326" s="10"/>
      <c r="O326" s="10"/>
      <c r="P326" s="10"/>
      <c r="Q326" s="10"/>
      <c r="R326" s="10"/>
      <c r="S326" s="10"/>
      <c r="T326" s="10"/>
      <c r="U326" s="1"/>
      <c r="V326" s="205"/>
      <c r="W326" s="205"/>
      <c r="X326" s="205"/>
      <c r="Y326" s="183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ht="16.5" customHeight="1">
      <c r="A327" s="1"/>
      <c r="B327" s="1"/>
      <c r="C327" s="199"/>
      <c r="D327" s="1"/>
      <c r="E327" s="1"/>
      <c r="F327" s="1"/>
      <c r="G327" s="199"/>
      <c r="H327" s="1"/>
      <c r="I327" s="1"/>
      <c r="J327" s="1"/>
      <c r="K327" s="1"/>
      <c r="L327" s="1"/>
      <c r="M327" s="1"/>
      <c r="N327" s="10"/>
      <c r="O327" s="10"/>
      <c r="P327" s="10"/>
      <c r="Q327" s="10"/>
      <c r="R327" s="10"/>
      <c r="S327" s="10"/>
      <c r="T327" s="10"/>
      <c r="U327" s="1"/>
      <c r="V327" s="205"/>
      <c r="W327" s="205"/>
      <c r="X327" s="205"/>
      <c r="Y327" s="183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ht="16.5" customHeight="1">
      <c r="A328" s="1"/>
      <c r="B328" s="1"/>
      <c r="C328" s="199"/>
      <c r="D328" s="1"/>
      <c r="E328" s="1"/>
      <c r="F328" s="1"/>
      <c r="G328" s="199"/>
      <c r="H328" s="1"/>
      <c r="I328" s="1"/>
      <c r="J328" s="1"/>
      <c r="K328" s="1"/>
      <c r="L328" s="1"/>
      <c r="M328" s="1"/>
      <c r="N328" s="10"/>
      <c r="O328" s="10"/>
      <c r="P328" s="10"/>
      <c r="Q328" s="10"/>
      <c r="R328" s="10"/>
      <c r="S328" s="10"/>
      <c r="T328" s="10"/>
      <c r="U328" s="1"/>
      <c r="V328" s="205"/>
      <c r="W328" s="205"/>
      <c r="X328" s="205"/>
      <c r="Y328" s="183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ht="16.5" customHeight="1">
      <c r="A329" s="1"/>
      <c r="B329" s="1"/>
      <c r="C329" s="199"/>
      <c r="D329" s="1"/>
      <c r="E329" s="1"/>
      <c r="F329" s="1"/>
      <c r="G329" s="199"/>
      <c r="H329" s="1"/>
      <c r="I329" s="1"/>
      <c r="J329" s="1"/>
      <c r="K329" s="1"/>
      <c r="L329" s="1"/>
      <c r="M329" s="1"/>
      <c r="N329" s="10"/>
      <c r="O329" s="10"/>
      <c r="P329" s="10"/>
      <c r="Q329" s="10"/>
      <c r="R329" s="10"/>
      <c r="S329" s="10"/>
      <c r="T329" s="10"/>
      <c r="U329" s="1"/>
      <c r="V329" s="205"/>
      <c r="W329" s="205"/>
      <c r="X329" s="205"/>
      <c r="Y329" s="183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 ht="16.5" customHeight="1">
      <c r="A330" s="1"/>
      <c r="B330" s="1"/>
      <c r="C330" s="199"/>
      <c r="D330" s="1"/>
      <c r="E330" s="1"/>
      <c r="F330" s="1"/>
      <c r="G330" s="199"/>
      <c r="H330" s="1"/>
      <c r="I330" s="1"/>
      <c r="J330" s="1"/>
      <c r="K330" s="1"/>
      <c r="L330" s="1"/>
      <c r="M330" s="1"/>
      <c r="N330" s="10"/>
      <c r="O330" s="10"/>
      <c r="P330" s="10"/>
      <c r="Q330" s="10"/>
      <c r="R330" s="10"/>
      <c r="S330" s="10"/>
      <c r="T330" s="10"/>
      <c r="U330" s="1"/>
      <c r="V330" s="205"/>
      <c r="W330" s="205"/>
      <c r="X330" s="205"/>
      <c r="Y330" s="183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 ht="16.5" customHeight="1">
      <c r="A331" s="1"/>
      <c r="B331" s="1"/>
      <c r="C331" s="199"/>
      <c r="D331" s="1"/>
      <c r="E331" s="1"/>
      <c r="F331" s="1"/>
      <c r="G331" s="199"/>
      <c r="H331" s="1"/>
      <c r="I331" s="1"/>
      <c r="J331" s="1"/>
      <c r="K331" s="1"/>
      <c r="L331" s="1"/>
      <c r="M331" s="1"/>
      <c r="N331" s="10"/>
      <c r="O331" s="10"/>
      <c r="P331" s="10"/>
      <c r="Q331" s="10"/>
      <c r="R331" s="10"/>
      <c r="S331" s="10"/>
      <c r="T331" s="10"/>
      <c r="U331" s="1"/>
      <c r="V331" s="205"/>
      <c r="W331" s="205"/>
      <c r="X331" s="205"/>
      <c r="Y331" s="183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 ht="16.5" customHeight="1">
      <c r="A332" s="1"/>
      <c r="B332" s="1"/>
      <c r="C332" s="199"/>
      <c r="D332" s="1"/>
      <c r="E332" s="1"/>
      <c r="F332" s="1"/>
      <c r="G332" s="199"/>
      <c r="H332" s="1"/>
      <c r="I332" s="1"/>
      <c r="J332" s="1"/>
      <c r="K332" s="1"/>
      <c r="L332" s="1"/>
      <c r="M332" s="1"/>
      <c r="N332" s="10"/>
      <c r="O332" s="10"/>
      <c r="P332" s="10"/>
      <c r="Q332" s="10"/>
      <c r="R332" s="10"/>
      <c r="S332" s="10"/>
      <c r="T332" s="10"/>
      <c r="U332" s="1"/>
      <c r="V332" s="205"/>
      <c r="W332" s="205"/>
      <c r="X332" s="205"/>
      <c r="Y332" s="183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ht="16.5" customHeight="1">
      <c r="A333" s="1"/>
      <c r="B333" s="1"/>
      <c r="C333" s="199"/>
      <c r="D333" s="1"/>
      <c r="E333" s="1"/>
      <c r="F333" s="1"/>
      <c r="G333" s="199"/>
      <c r="H333" s="1"/>
      <c r="I333" s="1"/>
      <c r="J333" s="1"/>
      <c r="K333" s="1"/>
      <c r="L333" s="1"/>
      <c r="M333" s="1"/>
      <c r="N333" s="10"/>
      <c r="O333" s="10"/>
      <c r="P333" s="10"/>
      <c r="Q333" s="10"/>
      <c r="R333" s="10"/>
      <c r="S333" s="10"/>
      <c r="T333" s="10"/>
      <c r="U333" s="1"/>
      <c r="V333" s="205"/>
      <c r="W333" s="205"/>
      <c r="X333" s="205"/>
      <c r="Y333" s="183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ht="16.5" customHeight="1">
      <c r="A334" s="1"/>
      <c r="B334" s="1"/>
      <c r="C334" s="199"/>
      <c r="D334" s="1"/>
      <c r="E334" s="1"/>
      <c r="F334" s="1"/>
      <c r="G334" s="199"/>
      <c r="H334" s="1"/>
      <c r="I334" s="1"/>
      <c r="J334" s="1"/>
      <c r="K334" s="1"/>
      <c r="L334" s="1"/>
      <c r="M334" s="1"/>
      <c r="N334" s="10"/>
      <c r="O334" s="10"/>
      <c r="P334" s="10"/>
      <c r="Q334" s="10"/>
      <c r="R334" s="10"/>
      <c r="S334" s="10"/>
      <c r="T334" s="10"/>
      <c r="U334" s="1"/>
      <c r="V334" s="205"/>
      <c r="W334" s="205"/>
      <c r="X334" s="205"/>
      <c r="Y334" s="183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ht="16.5" customHeight="1">
      <c r="A335" s="1"/>
      <c r="B335" s="1"/>
      <c r="C335" s="199"/>
      <c r="D335" s="1"/>
      <c r="E335" s="1"/>
      <c r="F335" s="1"/>
      <c r="G335" s="199"/>
      <c r="H335" s="1"/>
      <c r="I335" s="1"/>
      <c r="J335" s="1"/>
      <c r="K335" s="1"/>
      <c r="L335" s="1"/>
      <c r="M335" s="1"/>
      <c r="N335" s="10"/>
      <c r="O335" s="10"/>
      <c r="P335" s="10"/>
      <c r="Q335" s="10"/>
      <c r="R335" s="10"/>
      <c r="S335" s="10"/>
      <c r="T335" s="10"/>
      <c r="U335" s="1"/>
      <c r="V335" s="205"/>
      <c r="W335" s="205"/>
      <c r="X335" s="205"/>
      <c r="Y335" s="183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ht="16.5" customHeight="1">
      <c r="A336" s="1"/>
      <c r="B336" s="1"/>
      <c r="C336" s="199"/>
      <c r="D336" s="1"/>
      <c r="E336" s="1"/>
      <c r="F336" s="1"/>
      <c r="G336" s="199"/>
      <c r="H336" s="1"/>
      <c r="I336" s="1"/>
      <c r="J336" s="1"/>
      <c r="K336" s="1"/>
      <c r="L336" s="1"/>
      <c r="M336" s="1"/>
      <c r="N336" s="10"/>
      <c r="O336" s="10"/>
      <c r="P336" s="10"/>
      <c r="Q336" s="10"/>
      <c r="R336" s="10"/>
      <c r="S336" s="10"/>
      <c r="T336" s="10"/>
      <c r="U336" s="1"/>
      <c r="V336" s="205"/>
      <c r="W336" s="205"/>
      <c r="X336" s="205"/>
      <c r="Y336" s="183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ht="16.5" customHeight="1">
      <c r="A337" s="1"/>
      <c r="B337" s="1"/>
      <c r="C337" s="199"/>
      <c r="D337" s="1"/>
      <c r="E337" s="1"/>
      <c r="F337" s="1"/>
      <c r="G337" s="199"/>
      <c r="H337" s="1"/>
      <c r="I337" s="1"/>
      <c r="J337" s="1"/>
      <c r="K337" s="1"/>
      <c r="L337" s="1"/>
      <c r="M337" s="1"/>
      <c r="N337" s="10"/>
      <c r="O337" s="10"/>
      <c r="P337" s="10"/>
      <c r="Q337" s="10"/>
      <c r="R337" s="10"/>
      <c r="S337" s="10"/>
      <c r="T337" s="10"/>
      <c r="U337" s="1"/>
      <c r="V337" s="205"/>
      <c r="W337" s="205"/>
      <c r="X337" s="205"/>
      <c r="Y337" s="183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ht="16.5" customHeight="1">
      <c r="A338" s="1"/>
      <c r="B338" s="1"/>
      <c r="C338" s="199"/>
      <c r="D338" s="1"/>
      <c r="E338" s="1"/>
      <c r="F338" s="1"/>
      <c r="G338" s="199"/>
      <c r="H338" s="1"/>
      <c r="I338" s="1"/>
      <c r="J338" s="1"/>
      <c r="K338" s="1"/>
      <c r="L338" s="1"/>
      <c r="M338" s="1"/>
      <c r="N338" s="10"/>
      <c r="O338" s="10"/>
      <c r="P338" s="10"/>
      <c r="Q338" s="10"/>
      <c r="R338" s="10"/>
      <c r="S338" s="10"/>
      <c r="T338" s="10"/>
      <c r="U338" s="1"/>
      <c r="V338" s="205"/>
      <c r="W338" s="205"/>
      <c r="X338" s="205"/>
      <c r="Y338" s="183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ht="16.5" customHeight="1">
      <c r="A339" s="1"/>
      <c r="B339" s="1"/>
      <c r="C339" s="199"/>
      <c r="D339" s="1"/>
      <c r="E339" s="1"/>
      <c r="F339" s="1"/>
      <c r="G339" s="199"/>
      <c r="H339" s="1"/>
      <c r="I339" s="1"/>
      <c r="J339" s="1"/>
      <c r="K339" s="1"/>
      <c r="L339" s="1"/>
      <c r="M339" s="1"/>
      <c r="N339" s="10"/>
      <c r="O339" s="10"/>
      <c r="P339" s="10"/>
      <c r="Q339" s="10"/>
      <c r="R339" s="10"/>
      <c r="S339" s="10"/>
      <c r="T339" s="10"/>
      <c r="U339" s="1"/>
      <c r="V339" s="205"/>
      <c r="W339" s="205"/>
      <c r="X339" s="205"/>
      <c r="Y339" s="183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 ht="16.5" customHeight="1">
      <c r="A340" s="1"/>
      <c r="B340" s="1"/>
      <c r="C340" s="199"/>
      <c r="D340" s="1"/>
      <c r="E340" s="1"/>
      <c r="F340" s="1"/>
      <c r="G340" s="199"/>
      <c r="H340" s="1"/>
      <c r="I340" s="1"/>
      <c r="J340" s="1"/>
      <c r="K340" s="1"/>
      <c r="L340" s="1"/>
      <c r="M340" s="1"/>
      <c r="N340" s="10"/>
      <c r="O340" s="10"/>
      <c r="P340" s="10"/>
      <c r="Q340" s="10"/>
      <c r="R340" s="10"/>
      <c r="S340" s="10"/>
      <c r="T340" s="10"/>
      <c r="U340" s="1"/>
      <c r="V340" s="205"/>
      <c r="W340" s="205"/>
      <c r="X340" s="205"/>
      <c r="Y340" s="183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ht="16.5" customHeight="1">
      <c r="A341" s="1"/>
      <c r="B341" s="1"/>
      <c r="C341" s="199"/>
      <c r="D341" s="1"/>
      <c r="E341" s="1"/>
      <c r="F341" s="1"/>
      <c r="G341" s="199"/>
      <c r="H341" s="1"/>
      <c r="I341" s="1"/>
      <c r="J341" s="1"/>
      <c r="K341" s="1"/>
      <c r="L341" s="1"/>
      <c r="M341" s="1"/>
      <c r="N341" s="10"/>
      <c r="O341" s="10"/>
      <c r="P341" s="10"/>
      <c r="Q341" s="10"/>
      <c r="R341" s="10"/>
      <c r="S341" s="10"/>
      <c r="T341" s="10"/>
      <c r="U341" s="1"/>
      <c r="V341" s="205"/>
      <c r="W341" s="205"/>
      <c r="X341" s="205"/>
      <c r="Y341" s="183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ht="16.5" customHeight="1">
      <c r="A342" s="1"/>
      <c r="B342" s="1"/>
      <c r="C342" s="199"/>
      <c r="D342" s="1"/>
      <c r="E342" s="1"/>
      <c r="F342" s="1"/>
      <c r="G342" s="199"/>
      <c r="H342" s="1"/>
      <c r="I342" s="1"/>
      <c r="J342" s="1"/>
      <c r="K342" s="1"/>
      <c r="L342" s="1"/>
      <c r="M342" s="1"/>
      <c r="N342" s="10"/>
      <c r="O342" s="10"/>
      <c r="P342" s="10"/>
      <c r="Q342" s="10"/>
      <c r="R342" s="10"/>
      <c r="S342" s="10"/>
      <c r="T342" s="10"/>
      <c r="U342" s="1"/>
      <c r="V342" s="205"/>
      <c r="W342" s="205"/>
      <c r="X342" s="205"/>
      <c r="Y342" s="183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ht="16.5" customHeight="1">
      <c r="A343" s="1"/>
      <c r="B343" s="1"/>
      <c r="C343" s="199"/>
      <c r="D343" s="1"/>
      <c r="E343" s="1"/>
      <c r="F343" s="1"/>
      <c r="G343" s="199"/>
      <c r="H343" s="1"/>
      <c r="I343" s="1"/>
      <c r="J343" s="1"/>
      <c r="K343" s="1"/>
      <c r="L343" s="1"/>
      <c r="M343" s="1"/>
      <c r="N343" s="10"/>
      <c r="O343" s="10"/>
      <c r="P343" s="10"/>
      <c r="Q343" s="10"/>
      <c r="R343" s="10"/>
      <c r="S343" s="10"/>
      <c r="T343" s="10"/>
      <c r="U343" s="1"/>
      <c r="V343" s="205"/>
      <c r="W343" s="205"/>
      <c r="X343" s="205"/>
      <c r="Y343" s="183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ht="16.5" customHeight="1">
      <c r="A344" s="1"/>
      <c r="B344" s="1"/>
      <c r="C344" s="199"/>
      <c r="D344" s="1"/>
      <c r="E344" s="1"/>
      <c r="F344" s="1"/>
      <c r="G344" s="199"/>
      <c r="H344" s="1"/>
      <c r="I344" s="1"/>
      <c r="J344" s="1"/>
      <c r="K344" s="1"/>
      <c r="L344" s="1"/>
      <c r="M344" s="1"/>
      <c r="N344" s="10"/>
      <c r="O344" s="10"/>
      <c r="P344" s="10"/>
      <c r="Q344" s="10"/>
      <c r="R344" s="10"/>
      <c r="S344" s="10"/>
      <c r="T344" s="10"/>
      <c r="U344" s="1"/>
      <c r="V344" s="205"/>
      <c r="W344" s="205"/>
      <c r="X344" s="205"/>
      <c r="Y344" s="183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ht="16.5" customHeight="1">
      <c r="A345" s="1"/>
      <c r="B345" s="1"/>
      <c r="C345" s="199"/>
      <c r="D345" s="1"/>
      <c r="E345" s="1"/>
      <c r="F345" s="1"/>
      <c r="G345" s="199"/>
      <c r="H345" s="1"/>
      <c r="I345" s="1"/>
      <c r="J345" s="1"/>
      <c r="K345" s="1"/>
      <c r="L345" s="1"/>
      <c r="M345" s="1"/>
      <c r="N345" s="10"/>
      <c r="O345" s="10"/>
      <c r="P345" s="10"/>
      <c r="Q345" s="10"/>
      <c r="R345" s="10"/>
      <c r="S345" s="10"/>
      <c r="T345" s="10"/>
      <c r="U345" s="1"/>
      <c r="V345" s="205"/>
      <c r="W345" s="205"/>
      <c r="X345" s="205"/>
      <c r="Y345" s="183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 ht="16.5" customHeight="1">
      <c r="A346" s="1"/>
      <c r="B346" s="1"/>
      <c r="C346" s="199"/>
      <c r="D346" s="1"/>
      <c r="E346" s="1"/>
      <c r="F346" s="1"/>
      <c r="G346" s="199"/>
      <c r="H346" s="1"/>
      <c r="I346" s="1"/>
      <c r="J346" s="1"/>
      <c r="K346" s="1"/>
      <c r="L346" s="1"/>
      <c r="M346" s="1"/>
      <c r="N346" s="10"/>
      <c r="O346" s="10"/>
      <c r="P346" s="10"/>
      <c r="Q346" s="10"/>
      <c r="R346" s="10"/>
      <c r="S346" s="10"/>
      <c r="T346" s="10"/>
      <c r="U346" s="1"/>
      <c r="V346" s="205"/>
      <c r="W346" s="205"/>
      <c r="X346" s="205"/>
      <c r="Y346" s="183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ht="16.5" customHeight="1">
      <c r="A347" s="1"/>
      <c r="B347" s="1"/>
      <c r="C347" s="199"/>
      <c r="D347" s="1"/>
      <c r="E347" s="1"/>
      <c r="F347" s="1"/>
      <c r="G347" s="199"/>
      <c r="H347" s="1"/>
      <c r="I347" s="1"/>
      <c r="J347" s="1"/>
      <c r="K347" s="1"/>
      <c r="L347" s="1"/>
      <c r="M347" s="1"/>
      <c r="N347" s="10"/>
      <c r="O347" s="10"/>
      <c r="P347" s="10"/>
      <c r="Q347" s="10"/>
      <c r="R347" s="10"/>
      <c r="S347" s="10"/>
      <c r="T347" s="10"/>
      <c r="U347" s="1"/>
      <c r="V347" s="205"/>
      <c r="W347" s="205"/>
      <c r="X347" s="205"/>
      <c r="Y347" s="183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ht="16.5" customHeight="1">
      <c r="A348" s="1"/>
      <c r="B348" s="1"/>
      <c r="C348" s="199"/>
      <c r="D348" s="1"/>
      <c r="E348" s="1"/>
      <c r="F348" s="1"/>
      <c r="G348" s="199"/>
      <c r="H348" s="1"/>
      <c r="I348" s="1"/>
      <c r="J348" s="1"/>
      <c r="K348" s="1"/>
      <c r="L348" s="1"/>
      <c r="M348" s="1"/>
      <c r="N348" s="10"/>
      <c r="O348" s="10"/>
      <c r="P348" s="10"/>
      <c r="Q348" s="10"/>
      <c r="R348" s="10"/>
      <c r="S348" s="10"/>
      <c r="T348" s="10"/>
      <c r="U348" s="1"/>
      <c r="V348" s="205"/>
      <c r="W348" s="205"/>
      <c r="X348" s="205"/>
      <c r="Y348" s="183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ht="16.5" customHeight="1">
      <c r="A349" s="1"/>
      <c r="B349" s="1"/>
      <c r="C349" s="199"/>
      <c r="D349" s="1"/>
      <c r="E349" s="1"/>
      <c r="F349" s="1"/>
      <c r="G349" s="199"/>
      <c r="H349" s="1"/>
      <c r="I349" s="1"/>
      <c r="J349" s="1"/>
      <c r="K349" s="1"/>
      <c r="L349" s="1"/>
      <c r="M349" s="1"/>
      <c r="N349" s="10"/>
      <c r="O349" s="10"/>
      <c r="P349" s="10"/>
      <c r="Q349" s="10"/>
      <c r="R349" s="10"/>
      <c r="S349" s="10"/>
      <c r="T349" s="10"/>
      <c r="U349" s="1"/>
      <c r="V349" s="205"/>
      <c r="W349" s="205"/>
      <c r="X349" s="205"/>
      <c r="Y349" s="183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ht="16.5" customHeight="1">
      <c r="A350" s="1"/>
      <c r="B350" s="1"/>
      <c r="C350" s="199"/>
      <c r="D350" s="1"/>
      <c r="E350" s="1"/>
      <c r="F350" s="1"/>
      <c r="G350" s="199"/>
      <c r="H350" s="1"/>
      <c r="I350" s="1"/>
      <c r="J350" s="1"/>
      <c r="K350" s="1"/>
      <c r="L350" s="1"/>
      <c r="M350" s="1"/>
      <c r="N350" s="10"/>
      <c r="O350" s="10"/>
      <c r="P350" s="10"/>
      <c r="Q350" s="10"/>
      <c r="R350" s="10"/>
      <c r="S350" s="10"/>
      <c r="T350" s="10"/>
      <c r="U350" s="1"/>
      <c r="V350" s="205"/>
      <c r="W350" s="205"/>
      <c r="X350" s="205"/>
      <c r="Y350" s="183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ht="16.5" customHeight="1">
      <c r="A351" s="1"/>
      <c r="B351" s="1"/>
      <c r="C351" s="199"/>
      <c r="D351" s="1"/>
      <c r="E351" s="1"/>
      <c r="F351" s="1"/>
      <c r="G351" s="199"/>
      <c r="H351" s="1"/>
      <c r="I351" s="1"/>
      <c r="J351" s="1"/>
      <c r="K351" s="1"/>
      <c r="L351" s="1"/>
      <c r="M351" s="1"/>
      <c r="N351" s="10"/>
      <c r="O351" s="10"/>
      <c r="P351" s="10"/>
      <c r="Q351" s="10"/>
      <c r="R351" s="10"/>
      <c r="S351" s="10"/>
      <c r="T351" s="10"/>
      <c r="U351" s="1"/>
      <c r="V351" s="205"/>
      <c r="W351" s="205"/>
      <c r="X351" s="205"/>
      <c r="Y351" s="183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ht="16.5" customHeight="1">
      <c r="A352" s="1"/>
      <c r="B352" s="1"/>
      <c r="C352" s="199"/>
      <c r="D352" s="1"/>
      <c r="E352" s="1"/>
      <c r="F352" s="1"/>
      <c r="G352" s="199"/>
      <c r="H352" s="1"/>
      <c r="I352" s="1"/>
      <c r="J352" s="1"/>
      <c r="K352" s="1"/>
      <c r="L352" s="1"/>
      <c r="M352" s="1"/>
      <c r="N352" s="10"/>
      <c r="O352" s="10"/>
      <c r="P352" s="10"/>
      <c r="Q352" s="10"/>
      <c r="R352" s="10"/>
      <c r="S352" s="10"/>
      <c r="T352" s="10"/>
      <c r="U352" s="1"/>
      <c r="V352" s="205"/>
      <c r="W352" s="205"/>
      <c r="X352" s="205"/>
      <c r="Y352" s="183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ht="16.5" customHeight="1">
      <c r="A353" s="1"/>
      <c r="B353" s="1"/>
      <c r="C353" s="199"/>
      <c r="D353" s="1"/>
      <c r="E353" s="1"/>
      <c r="F353" s="1"/>
      <c r="G353" s="199"/>
      <c r="H353" s="1"/>
      <c r="I353" s="1"/>
      <c r="J353" s="1"/>
      <c r="K353" s="1"/>
      <c r="L353" s="1"/>
      <c r="M353" s="1"/>
      <c r="N353" s="10"/>
      <c r="O353" s="10"/>
      <c r="P353" s="10"/>
      <c r="Q353" s="10"/>
      <c r="R353" s="10"/>
      <c r="S353" s="10"/>
      <c r="T353" s="10"/>
      <c r="U353" s="1"/>
      <c r="V353" s="205"/>
      <c r="W353" s="205"/>
      <c r="X353" s="205"/>
      <c r="Y353" s="183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ht="16.5" customHeight="1">
      <c r="A354" s="1"/>
      <c r="B354" s="1"/>
      <c r="C354" s="199"/>
      <c r="D354" s="1"/>
      <c r="E354" s="1"/>
      <c r="F354" s="1"/>
      <c r="G354" s="199"/>
      <c r="H354" s="1"/>
      <c r="I354" s="1"/>
      <c r="J354" s="1"/>
      <c r="K354" s="1"/>
      <c r="L354" s="1"/>
      <c r="M354" s="1"/>
      <c r="N354" s="10"/>
      <c r="O354" s="10"/>
      <c r="P354" s="10"/>
      <c r="Q354" s="10"/>
      <c r="R354" s="10"/>
      <c r="S354" s="10"/>
      <c r="T354" s="10"/>
      <c r="U354" s="1"/>
      <c r="V354" s="205"/>
      <c r="W354" s="205"/>
      <c r="X354" s="205"/>
      <c r="Y354" s="183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 ht="16.5" customHeight="1">
      <c r="A355" s="1"/>
      <c r="B355" s="1"/>
      <c r="C355" s="199"/>
      <c r="D355" s="1"/>
      <c r="E355" s="1"/>
      <c r="F355" s="1"/>
      <c r="G355" s="199"/>
      <c r="H355" s="1"/>
      <c r="I355" s="1"/>
      <c r="J355" s="1"/>
      <c r="K355" s="1"/>
      <c r="L355" s="1"/>
      <c r="M355" s="1"/>
      <c r="N355" s="10"/>
      <c r="O355" s="10"/>
      <c r="P355" s="10"/>
      <c r="Q355" s="10"/>
      <c r="R355" s="10"/>
      <c r="S355" s="10"/>
      <c r="T355" s="10"/>
      <c r="U355" s="1"/>
      <c r="V355" s="205"/>
      <c r="W355" s="205"/>
      <c r="X355" s="205"/>
      <c r="Y355" s="183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 ht="16.5" customHeight="1">
      <c r="A356" s="1"/>
      <c r="B356" s="1"/>
      <c r="C356" s="199"/>
      <c r="D356" s="1"/>
      <c r="E356" s="1"/>
      <c r="F356" s="1"/>
      <c r="G356" s="199"/>
      <c r="H356" s="1"/>
      <c r="I356" s="1"/>
      <c r="J356" s="1"/>
      <c r="K356" s="1"/>
      <c r="L356" s="1"/>
      <c r="M356" s="1"/>
      <c r="N356" s="10"/>
      <c r="O356" s="10"/>
      <c r="P356" s="10"/>
      <c r="Q356" s="10"/>
      <c r="R356" s="10"/>
      <c r="S356" s="10"/>
      <c r="T356" s="10"/>
      <c r="U356" s="1"/>
      <c r="V356" s="205"/>
      <c r="W356" s="205"/>
      <c r="X356" s="205"/>
      <c r="Y356" s="183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ht="16.5" customHeight="1">
      <c r="A357" s="1"/>
      <c r="B357" s="1"/>
      <c r="C357" s="199"/>
      <c r="D357" s="1"/>
      <c r="E357" s="1"/>
      <c r="F357" s="1"/>
      <c r="G357" s="199"/>
      <c r="H357" s="1"/>
      <c r="I357" s="1"/>
      <c r="J357" s="1"/>
      <c r="K357" s="1"/>
      <c r="L357" s="1"/>
      <c r="M357" s="1"/>
      <c r="N357" s="10"/>
      <c r="O357" s="10"/>
      <c r="P357" s="10"/>
      <c r="Q357" s="10"/>
      <c r="R357" s="10"/>
      <c r="S357" s="10"/>
      <c r="T357" s="10"/>
      <c r="U357" s="1"/>
      <c r="V357" s="205"/>
      <c r="W357" s="205"/>
      <c r="X357" s="205"/>
      <c r="Y357" s="183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ht="16.5" customHeight="1">
      <c r="A358" s="1"/>
      <c r="B358" s="1"/>
      <c r="C358" s="199"/>
      <c r="D358" s="1"/>
      <c r="E358" s="1"/>
      <c r="F358" s="1"/>
      <c r="G358" s="199"/>
      <c r="H358" s="1"/>
      <c r="I358" s="1"/>
      <c r="J358" s="1"/>
      <c r="K358" s="1"/>
      <c r="L358" s="1"/>
      <c r="M358" s="1"/>
      <c r="N358" s="10"/>
      <c r="O358" s="10"/>
      <c r="P358" s="10"/>
      <c r="Q358" s="10"/>
      <c r="R358" s="10"/>
      <c r="S358" s="10"/>
      <c r="T358" s="10"/>
      <c r="U358" s="1"/>
      <c r="V358" s="205"/>
      <c r="W358" s="205"/>
      <c r="X358" s="205"/>
      <c r="Y358" s="183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ht="16.5" customHeight="1">
      <c r="A359" s="1"/>
      <c r="B359" s="1"/>
      <c r="C359" s="199"/>
      <c r="D359" s="1"/>
      <c r="E359" s="1"/>
      <c r="F359" s="1"/>
      <c r="G359" s="199"/>
      <c r="H359" s="1"/>
      <c r="I359" s="1"/>
      <c r="J359" s="1"/>
      <c r="K359" s="1"/>
      <c r="L359" s="1"/>
      <c r="M359" s="1"/>
      <c r="N359" s="10"/>
      <c r="O359" s="10"/>
      <c r="P359" s="10"/>
      <c r="Q359" s="10"/>
      <c r="R359" s="10"/>
      <c r="S359" s="10"/>
      <c r="T359" s="10"/>
      <c r="U359" s="1"/>
      <c r="V359" s="205"/>
      <c r="W359" s="205"/>
      <c r="X359" s="205"/>
      <c r="Y359" s="183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ht="16.5" customHeight="1">
      <c r="A360" s="1"/>
      <c r="B360" s="1"/>
      <c r="C360" s="199"/>
      <c r="D360" s="1"/>
      <c r="E360" s="1"/>
      <c r="F360" s="1"/>
      <c r="G360" s="199"/>
      <c r="H360" s="1"/>
      <c r="I360" s="1"/>
      <c r="J360" s="1"/>
      <c r="K360" s="1"/>
      <c r="L360" s="1"/>
      <c r="M360" s="1"/>
      <c r="N360" s="10"/>
      <c r="O360" s="10"/>
      <c r="P360" s="10"/>
      <c r="Q360" s="10"/>
      <c r="R360" s="10"/>
      <c r="S360" s="10"/>
      <c r="T360" s="10"/>
      <c r="U360" s="1"/>
      <c r="V360" s="205"/>
      <c r="W360" s="205"/>
      <c r="X360" s="205"/>
      <c r="Y360" s="183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ht="16.5" customHeight="1">
      <c r="A361" s="1"/>
      <c r="B361" s="1"/>
      <c r="C361" s="199"/>
      <c r="D361" s="1"/>
      <c r="E361" s="1"/>
      <c r="F361" s="1"/>
      <c r="G361" s="199"/>
      <c r="H361" s="1"/>
      <c r="I361" s="1"/>
      <c r="J361" s="1"/>
      <c r="K361" s="1"/>
      <c r="L361" s="1"/>
      <c r="M361" s="1"/>
      <c r="N361" s="10"/>
      <c r="O361" s="10"/>
      <c r="P361" s="10"/>
      <c r="Q361" s="10"/>
      <c r="R361" s="10"/>
      <c r="S361" s="10"/>
      <c r="T361" s="10"/>
      <c r="U361" s="1"/>
      <c r="V361" s="205"/>
      <c r="W361" s="205"/>
      <c r="X361" s="205"/>
      <c r="Y361" s="183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ht="16.5" customHeight="1">
      <c r="A362" s="1"/>
      <c r="B362" s="1"/>
      <c r="C362" s="199"/>
      <c r="D362" s="1"/>
      <c r="E362" s="1"/>
      <c r="F362" s="1"/>
      <c r="G362" s="199"/>
      <c r="H362" s="1"/>
      <c r="I362" s="1"/>
      <c r="J362" s="1"/>
      <c r="K362" s="1"/>
      <c r="L362" s="1"/>
      <c r="M362" s="1"/>
      <c r="N362" s="10"/>
      <c r="O362" s="10"/>
      <c r="P362" s="10"/>
      <c r="Q362" s="10"/>
      <c r="R362" s="10"/>
      <c r="S362" s="10"/>
      <c r="T362" s="10"/>
      <c r="U362" s="1"/>
      <c r="V362" s="205"/>
      <c r="W362" s="205"/>
      <c r="X362" s="205"/>
      <c r="Y362" s="183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ht="16.5" customHeight="1">
      <c r="A363" s="1"/>
      <c r="B363" s="1"/>
      <c r="C363" s="199"/>
      <c r="D363" s="1"/>
      <c r="E363" s="1"/>
      <c r="F363" s="1"/>
      <c r="G363" s="199"/>
      <c r="H363" s="1"/>
      <c r="I363" s="1"/>
      <c r="J363" s="1"/>
      <c r="K363" s="1"/>
      <c r="L363" s="1"/>
      <c r="M363" s="1"/>
      <c r="N363" s="10"/>
      <c r="O363" s="10"/>
      <c r="P363" s="10"/>
      <c r="Q363" s="10"/>
      <c r="R363" s="10"/>
      <c r="S363" s="10"/>
      <c r="T363" s="10"/>
      <c r="U363" s="1"/>
      <c r="V363" s="205"/>
      <c r="W363" s="205"/>
      <c r="X363" s="205"/>
      <c r="Y363" s="183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 ht="16.5" customHeight="1">
      <c r="A364" s="1"/>
      <c r="B364" s="1"/>
      <c r="C364" s="199"/>
      <c r="D364" s="1"/>
      <c r="E364" s="1"/>
      <c r="F364" s="1"/>
      <c r="G364" s="199"/>
      <c r="H364" s="1"/>
      <c r="I364" s="1"/>
      <c r="J364" s="1"/>
      <c r="K364" s="1"/>
      <c r="L364" s="1"/>
      <c r="M364" s="1"/>
      <c r="N364" s="10"/>
      <c r="O364" s="10"/>
      <c r="P364" s="10"/>
      <c r="Q364" s="10"/>
      <c r="R364" s="10"/>
      <c r="S364" s="10"/>
      <c r="T364" s="10"/>
      <c r="U364" s="1"/>
      <c r="V364" s="205"/>
      <c r="W364" s="205"/>
      <c r="X364" s="205"/>
      <c r="Y364" s="183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 ht="16.5" customHeight="1">
      <c r="A365" s="1"/>
      <c r="B365" s="1"/>
      <c r="C365" s="199"/>
      <c r="D365" s="1"/>
      <c r="E365" s="1"/>
      <c r="F365" s="1"/>
      <c r="G365" s="199"/>
      <c r="H365" s="1"/>
      <c r="I365" s="1"/>
      <c r="J365" s="1"/>
      <c r="K365" s="1"/>
      <c r="L365" s="1"/>
      <c r="M365" s="1"/>
      <c r="N365" s="10"/>
      <c r="O365" s="10"/>
      <c r="P365" s="10"/>
      <c r="Q365" s="10"/>
      <c r="R365" s="10"/>
      <c r="S365" s="10"/>
      <c r="T365" s="10"/>
      <c r="U365" s="1"/>
      <c r="V365" s="205"/>
      <c r="W365" s="205"/>
      <c r="X365" s="205"/>
      <c r="Y365" s="183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ht="16.5" customHeight="1">
      <c r="A366" s="1"/>
      <c r="B366" s="1"/>
      <c r="C366" s="199"/>
      <c r="D366" s="1"/>
      <c r="E366" s="1"/>
      <c r="F366" s="1"/>
      <c r="G366" s="199"/>
      <c r="H366" s="1"/>
      <c r="I366" s="1"/>
      <c r="J366" s="1"/>
      <c r="K366" s="1"/>
      <c r="L366" s="1"/>
      <c r="M366" s="1"/>
      <c r="N366" s="10"/>
      <c r="O366" s="10"/>
      <c r="P366" s="10"/>
      <c r="Q366" s="10"/>
      <c r="R366" s="10"/>
      <c r="S366" s="10"/>
      <c r="T366" s="10"/>
      <c r="U366" s="1"/>
      <c r="V366" s="205"/>
      <c r="W366" s="205"/>
      <c r="X366" s="205"/>
      <c r="Y366" s="183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ht="16.5" customHeight="1">
      <c r="A367" s="1"/>
      <c r="B367" s="1"/>
      <c r="C367" s="199"/>
      <c r="D367" s="1"/>
      <c r="E367" s="1"/>
      <c r="F367" s="1"/>
      <c r="G367" s="199"/>
      <c r="H367" s="1"/>
      <c r="I367" s="1"/>
      <c r="J367" s="1"/>
      <c r="K367" s="1"/>
      <c r="L367" s="1"/>
      <c r="M367" s="1"/>
      <c r="N367" s="10"/>
      <c r="O367" s="10"/>
      <c r="P367" s="10"/>
      <c r="Q367" s="10"/>
      <c r="R367" s="10"/>
      <c r="S367" s="10"/>
      <c r="T367" s="10"/>
      <c r="U367" s="1"/>
      <c r="V367" s="205"/>
      <c r="W367" s="205"/>
      <c r="X367" s="205"/>
      <c r="Y367" s="183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ht="16.5" customHeight="1">
      <c r="A368" s="1"/>
      <c r="B368" s="1"/>
      <c r="C368" s="199"/>
      <c r="D368" s="1"/>
      <c r="E368" s="1"/>
      <c r="F368" s="1"/>
      <c r="G368" s="199"/>
      <c r="H368" s="1"/>
      <c r="I368" s="1"/>
      <c r="J368" s="1"/>
      <c r="K368" s="1"/>
      <c r="L368" s="1"/>
      <c r="M368" s="1"/>
      <c r="N368" s="10"/>
      <c r="O368" s="10"/>
      <c r="P368" s="10"/>
      <c r="Q368" s="10"/>
      <c r="R368" s="10"/>
      <c r="S368" s="10"/>
      <c r="T368" s="10"/>
      <c r="U368" s="1"/>
      <c r="V368" s="205"/>
      <c r="W368" s="205"/>
      <c r="X368" s="205"/>
      <c r="Y368" s="183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 ht="16.5" customHeight="1">
      <c r="A369" s="1"/>
      <c r="B369" s="1"/>
      <c r="C369" s="199"/>
      <c r="D369" s="1"/>
      <c r="E369" s="1"/>
      <c r="F369" s="1"/>
      <c r="G369" s="199"/>
      <c r="H369" s="1"/>
      <c r="I369" s="1"/>
      <c r="J369" s="1"/>
      <c r="K369" s="1"/>
      <c r="L369" s="1"/>
      <c r="M369" s="1"/>
      <c r="N369" s="10"/>
      <c r="O369" s="10"/>
      <c r="P369" s="10"/>
      <c r="Q369" s="10"/>
      <c r="R369" s="10"/>
      <c r="S369" s="10"/>
      <c r="T369" s="10"/>
      <c r="U369" s="1"/>
      <c r="V369" s="205"/>
      <c r="W369" s="205"/>
      <c r="X369" s="205"/>
      <c r="Y369" s="183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 ht="16.5" customHeight="1">
      <c r="A370" s="1"/>
      <c r="B370" s="1"/>
      <c r="C370" s="199"/>
      <c r="D370" s="1"/>
      <c r="E370" s="1"/>
      <c r="F370" s="1"/>
      <c r="G370" s="199"/>
      <c r="H370" s="1"/>
      <c r="I370" s="1"/>
      <c r="J370" s="1"/>
      <c r="K370" s="1"/>
      <c r="L370" s="1"/>
      <c r="M370" s="1"/>
      <c r="N370" s="10"/>
      <c r="O370" s="10"/>
      <c r="P370" s="10"/>
      <c r="Q370" s="10"/>
      <c r="R370" s="10"/>
      <c r="S370" s="10"/>
      <c r="T370" s="10"/>
      <c r="U370" s="1"/>
      <c r="V370" s="205"/>
      <c r="W370" s="205"/>
      <c r="X370" s="205"/>
      <c r="Y370" s="183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 ht="16.5" customHeight="1">
      <c r="A371" s="1"/>
      <c r="B371" s="1"/>
      <c r="C371" s="199"/>
      <c r="D371" s="1"/>
      <c r="E371" s="1"/>
      <c r="F371" s="1"/>
      <c r="G371" s="199"/>
      <c r="H371" s="1"/>
      <c r="I371" s="1"/>
      <c r="J371" s="1"/>
      <c r="K371" s="1"/>
      <c r="L371" s="1"/>
      <c r="M371" s="1"/>
      <c r="N371" s="10"/>
      <c r="O371" s="10"/>
      <c r="P371" s="10"/>
      <c r="Q371" s="10"/>
      <c r="R371" s="10"/>
      <c r="S371" s="10"/>
      <c r="T371" s="10"/>
      <c r="U371" s="1"/>
      <c r="V371" s="205"/>
      <c r="W371" s="205"/>
      <c r="X371" s="205"/>
      <c r="Y371" s="183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ht="16.5" customHeight="1">
      <c r="A372" s="1"/>
      <c r="B372" s="1"/>
      <c r="C372" s="199"/>
      <c r="D372" s="1"/>
      <c r="E372" s="1"/>
      <c r="F372" s="1"/>
      <c r="G372" s="199"/>
      <c r="H372" s="1"/>
      <c r="I372" s="1"/>
      <c r="J372" s="1"/>
      <c r="K372" s="1"/>
      <c r="L372" s="1"/>
      <c r="M372" s="1"/>
      <c r="N372" s="10"/>
      <c r="O372" s="10"/>
      <c r="P372" s="10"/>
      <c r="Q372" s="10"/>
      <c r="R372" s="10"/>
      <c r="S372" s="10"/>
      <c r="T372" s="10"/>
      <c r="U372" s="1"/>
      <c r="V372" s="205"/>
      <c r="W372" s="205"/>
      <c r="X372" s="205"/>
      <c r="Y372" s="183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ht="16.5" customHeight="1">
      <c r="A373" s="1"/>
      <c r="B373" s="1"/>
      <c r="C373" s="199"/>
      <c r="D373" s="1"/>
      <c r="E373" s="1"/>
      <c r="F373" s="1"/>
      <c r="G373" s="199"/>
      <c r="H373" s="1"/>
      <c r="I373" s="1"/>
      <c r="J373" s="1"/>
      <c r="K373" s="1"/>
      <c r="L373" s="1"/>
      <c r="M373" s="1"/>
      <c r="N373" s="10"/>
      <c r="O373" s="10"/>
      <c r="P373" s="10"/>
      <c r="Q373" s="10"/>
      <c r="R373" s="10"/>
      <c r="S373" s="10"/>
      <c r="T373" s="10"/>
      <c r="U373" s="1"/>
      <c r="V373" s="205"/>
      <c r="W373" s="205"/>
      <c r="X373" s="205"/>
      <c r="Y373" s="183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ht="16.5" customHeight="1">
      <c r="A374" s="1"/>
      <c r="B374" s="1"/>
      <c r="C374" s="199"/>
      <c r="D374" s="1"/>
      <c r="E374" s="1"/>
      <c r="F374" s="1"/>
      <c r="G374" s="199"/>
      <c r="H374" s="1"/>
      <c r="I374" s="1"/>
      <c r="J374" s="1"/>
      <c r="K374" s="1"/>
      <c r="L374" s="1"/>
      <c r="M374" s="1"/>
      <c r="N374" s="10"/>
      <c r="O374" s="10"/>
      <c r="P374" s="10"/>
      <c r="Q374" s="10"/>
      <c r="R374" s="10"/>
      <c r="S374" s="10"/>
      <c r="T374" s="10"/>
      <c r="U374" s="1"/>
      <c r="V374" s="205"/>
      <c r="W374" s="205"/>
      <c r="X374" s="205"/>
      <c r="Y374" s="183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 ht="16.5" customHeight="1">
      <c r="A375" s="1"/>
      <c r="B375" s="1"/>
      <c r="C375" s="199"/>
      <c r="D375" s="1"/>
      <c r="E375" s="1"/>
      <c r="F375" s="1"/>
      <c r="G375" s="199"/>
      <c r="H375" s="1"/>
      <c r="I375" s="1"/>
      <c r="J375" s="1"/>
      <c r="K375" s="1"/>
      <c r="L375" s="1"/>
      <c r="M375" s="1"/>
      <c r="N375" s="10"/>
      <c r="O375" s="10"/>
      <c r="P375" s="10"/>
      <c r="Q375" s="10"/>
      <c r="R375" s="10"/>
      <c r="S375" s="10"/>
      <c r="T375" s="10"/>
      <c r="U375" s="1"/>
      <c r="V375" s="205"/>
      <c r="W375" s="205"/>
      <c r="X375" s="205"/>
      <c r="Y375" s="183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 ht="16.5" customHeight="1">
      <c r="A376" s="1"/>
      <c r="B376" s="1"/>
      <c r="C376" s="199"/>
      <c r="D376" s="1"/>
      <c r="E376" s="1"/>
      <c r="F376" s="1"/>
      <c r="G376" s="199"/>
      <c r="H376" s="1"/>
      <c r="I376" s="1"/>
      <c r="J376" s="1"/>
      <c r="K376" s="1"/>
      <c r="L376" s="1"/>
      <c r="M376" s="1"/>
      <c r="N376" s="10"/>
      <c r="O376" s="10"/>
      <c r="P376" s="10"/>
      <c r="Q376" s="10"/>
      <c r="R376" s="10"/>
      <c r="S376" s="10"/>
      <c r="T376" s="10"/>
      <c r="U376" s="1"/>
      <c r="V376" s="205"/>
      <c r="W376" s="205"/>
      <c r="X376" s="205"/>
      <c r="Y376" s="183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ht="16.5" customHeight="1">
      <c r="A377" s="1"/>
      <c r="B377" s="1"/>
      <c r="C377" s="199"/>
      <c r="D377" s="1"/>
      <c r="E377" s="1"/>
      <c r="F377" s="1"/>
      <c r="G377" s="199"/>
      <c r="H377" s="1"/>
      <c r="I377" s="1"/>
      <c r="J377" s="1"/>
      <c r="K377" s="1"/>
      <c r="L377" s="1"/>
      <c r="M377" s="1"/>
      <c r="N377" s="10"/>
      <c r="O377" s="10"/>
      <c r="P377" s="10"/>
      <c r="Q377" s="10"/>
      <c r="R377" s="10"/>
      <c r="S377" s="10"/>
      <c r="T377" s="10"/>
      <c r="U377" s="1"/>
      <c r="V377" s="205"/>
      <c r="W377" s="205"/>
      <c r="X377" s="205"/>
      <c r="Y377" s="183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ht="16.5" customHeight="1">
      <c r="A378" s="1"/>
      <c r="B378" s="1"/>
      <c r="C378" s="199"/>
      <c r="D378" s="1"/>
      <c r="E378" s="1"/>
      <c r="F378" s="1"/>
      <c r="G378" s="199"/>
      <c r="H378" s="1"/>
      <c r="I378" s="1"/>
      <c r="J378" s="1"/>
      <c r="K378" s="1"/>
      <c r="L378" s="1"/>
      <c r="M378" s="1"/>
      <c r="N378" s="10"/>
      <c r="O378" s="10"/>
      <c r="P378" s="10"/>
      <c r="Q378" s="10"/>
      <c r="R378" s="10"/>
      <c r="S378" s="10"/>
      <c r="T378" s="10"/>
      <c r="U378" s="1"/>
      <c r="V378" s="205"/>
      <c r="W378" s="205"/>
      <c r="X378" s="205"/>
      <c r="Y378" s="183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ht="16.5" customHeight="1">
      <c r="A379" s="1"/>
      <c r="B379" s="1"/>
      <c r="C379" s="199"/>
      <c r="D379" s="1"/>
      <c r="E379" s="1"/>
      <c r="F379" s="1"/>
      <c r="G379" s="199"/>
      <c r="H379" s="1"/>
      <c r="I379" s="1"/>
      <c r="J379" s="1"/>
      <c r="K379" s="1"/>
      <c r="L379" s="1"/>
      <c r="M379" s="1"/>
      <c r="N379" s="10"/>
      <c r="O379" s="10"/>
      <c r="P379" s="10"/>
      <c r="Q379" s="10"/>
      <c r="R379" s="10"/>
      <c r="S379" s="10"/>
      <c r="T379" s="10"/>
      <c r="U379" s="1"/>
      <c r="V379" s="205"/>
      <c r="W379" s="205"/>
      <c r="X379" s="205"/>
      <c r="Y379" s="183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ht="16.5" customHeight="1">
      <c r="A380" s="1"/>
      <c r="B380" s="1"/>
      <c r="C380" s="199"/>
      <c r="D380" s="1"/>
      <c r="E380" s="1"/>
      <c r="F380" s="1"/>
      <c r="G380" s="199"/>
      <c r="H380" s="1"/>
      <c r="I380" s="1"/>
      <c r="J380" s="1"/>
      <c r="K380" s="1"/>
      <c r="L380" s="1"/>
      <c r="M380" s="1"/>
      <c r="N380" s="10"/>
      <c r="O380" s="10"/>
      <c r="P380" s="10"/>
      <c r="Q380" s="10"/>
      <c r="R380" s="10"/>
      <c r="S380" s="10"/>
      <c r="T380" s="10"/>
      <c r="U380" s="1"/>
      <c r="V380" s="205"/>
      <c r="W380" s="205"/>
      <c r="X380" s="205"/>
      <c r="Y380" s="183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 ht="16.5" customHeight="1">
      <c r="A381" s="1"/>
      <c r="B381" s="1"/>
      <c r="C381" s="199"/>
      <c r="D381" s="1"/>
      <c r="E381" s="1"/>
      <c r="F381" s="1"/>
      <c r="G381" s="199"/>
      <c r="H381" s="1"/>
      <c r="I381" s="1"/>
      <c r="J381" s="1"/>
      <c r="K381" s="1"/>
      <c r="L381" s="1"/>
      <c r="M381" s="1"/>
      <c r="N381" s="10"/>
      <c r="O381" s="10"/>
      <c r="P381" s="10"/>
      <c r="Q381" s="10"/>
      <c r="R381" s="10"/>
      <c r="S381" s="10"/>
      <c r="T381" s="10"/>
      <c r="U381" s="1"/>
      <c r="V381" s="205"/>
      <c r="W381" s="205"/>
      <c r="X381" s="205"/>
      <c r="Y381" s="183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 ht="16.5" customHeight="1">
      <c r="A382" s="1"/>
      <c r="B382" s="1"/>
      <c r="C382" s="199"/>
      <c r="D382" s="1"/>
      <c r="E382" s="1"/>
      <c r="F382" s="1"/>
      <c r="G382" s="199"/>
      <c r="H382" s="1"/>
      <c r="I382" s="1"/>
      <c r="J382" s="1"/>
      <c r="K382" s="1"/>
      <c r="L382" s="1"/>
      <c r="M382" s="1"/>
      <c r="N382" s="10"/>
      <c r="O382" s="10"/>
      <c r="P382" s="10"/>
      <c r="Q382" s="10"/>
      <c r="R382" s="10"/>
      <c r="S382" s="10"/>
      <c r="T382" s="10"/>
      <c r="U382" s="1"/>
      <c r="V382" s="205"/>
      <c r="W382" s="205"/>
      <c r="X382" s="205"/>
      <c r="Y382" s="183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ht="16.5" customHeight="1">
      <c r="A383" s="1"/>
      <c r="B383" s="1"/>
      <c r="C383" s="199"/>
      <c r="D383" s="1"/>
      <c r="E383" s="1"/>
      <c r="F383" s="1"/>
      <c r="G383" s="199"/>
      <c r="H383" s="1"/>
      <c r="I383" s="1"/>
      <c r="J383" s="1"/>
      <c r="K383" s="1"/>
      <c r="L383" s="1"/>
      <c r="M383" s="1"/>
      <c r="N383" s="10"/>
      <c r="O383" s="10"/>
      <c r="P383" s="10"/>
      <c r="Q383" s="10"/>
      <c r="R383" s="10"/>
      <c r="S383" s="10"/>
      <c r="T383" s="10"/>
      <c r="U383" s="1"/>
      <c r="V383" s="205"/>
      <c r="W383" s="205"/>
      <c r="X383" s="205"/>
      <c r="Y383" s="183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ht="16.5" customHeight="1">
      <c r="A384" s="1"/>
      <c r="B384" s="1"/>
      <c r="C384" s="199"/>
      <c r="D384" s="1"/>
      <c r="E384" s="1"/>
      <c r="F384" s="1"/>
      <c r="G384" s="199"/>
      <c r="H384" s="1"/>
      <c r="I384" s="1"/>
      <c r="J384" s="1"/>
      <c r="K384" s="1"/>
      <c r="L384" s="1"/>
      <c r="M384" s="1"/>
      <c r="N384" s="10"/>
      <c r="O384" s="10"/>
      <c r="P384" s="10"/>
      <c r="Q384" s="10"/>
      <c r="R384" s="10"/>
      <c r="S384" s="10"/>
      <c r="T384" s="10"/>
      <c r="U384" s="1"/>
      <c r="V384" s="205"/>
      <c r="W384" s="205"/>
      <c r="X384" s="205"/>
      <c r="Y384" s="183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ht="16.5" customHeight="1">
      <c r="A385" s="1"/>
      <c r="B385" s="1"/>
      <c r="C385" s="199"/>
      <c r="D385" s="1"/>
      <c r="E385" s="1"/>
      <c r="F385" s="1"/>
      <c r="G385" s="199"/>
      <c r="H385" s="1"/>
      <c r="I385" s="1"/>
      <c r="J385" s="1"/>
      <c r="K385" s="1"/>
      <c r="L385" s="1"/>
      <c r="M385" s="1"/>
      <c r="N385" s="10"/>
      <c r="O385" s="10"/>
      <c r="P385" s="10"/>
      <c r="Q385" s="10"/>
      <c r="R385" s="10"/>
      <c r="S385" s="10"/>
      <c r="T385" s="10"/>
      <c r="U385" s="1"/>
      <c r="V385" s="205"/>
      <c r="W385" s="205"/>
      <c r="X385" s="205"/>
      <c r="Y385" s="183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ht="16.5" customHeight="1">
      <c r="A386" s="1"/>
      <c r="B386" s="1"/>
      <c r="C386" s="199"/>
      <c r="D386" s="1"/>
      <c r="E386" s="1"/>
      <c r="F386" s="1"/>
      <c r="G386" s="199"/>
      <c r="H386" s="1"/>
      <c r="I386" s="1"/>
      <c r="J386" s="1"/>
      <c r="K386" s="1"/>
      <c r="L386" s="1"/>
      <c r="M386" s="1"/>
      <c r="N386" s="10"/>
      <c r="O386" s="10"/>
      <c r="P386" s="10"/>
      <c r="Q386" s="10"/>
      <c r="R386" s="10"/>
      <c r="S386" s="10"/>
      <c r="T386" s="10"/>
      <c r="U386" s="1"/>
      <c r="V386" s="205"/>
      <c r="W386" s="205"/>
      <c r="X386" s="205"/>
      <c r="Y386" s="183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ht="16.5" customHeight="1">
      <c r="A387" s="1"/>
      <c r="B387" s="1"/>
      <c r="C387" s="199"/>
      <c r="D387" s="1"/>
      <c r="E387" s="1"/>
      <c r="F387" s="1"/>
      <c r="G387" s="199"/>
      <c r="H387" s="1"/>
      <c r="I387" s="1"/>
      <c r="J387" s="1"/>
      <c r="K387" s="1"/>
      <c r="L387" s="1"/>
      <c r="M387" s="1"/>
      <c r="N387" s="10"/>
      <c r="O387" s="10"/>
      <c r="P387" s="10"/>
      <c r="Q387" s="10"/>
      <c r="R387" s="10"/>
      <c r="S387" s="10"/>
      <c r="T387" s="10"/>
      <c r="U387" s="1"/>
      <c r="V387" s="205"/>
      <c r="W387" s="205"/>
      <c r="X387" s="205"/>
      <c r="Y387" s="183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 ht="16.5" customHeight="1">
      <c r="A388" s="1"/>
      <c r="B388" s="1"/>
      <c r="C388" s="199"/>
      <c r="D388" s="1"/>
      <c r="E388" s="1"/>
      <c r="F388" s="1"/>
      <c r="G388" s="199"/>
      <c r="H388" s="1"/>
      <c r="I388" s="1"/>
      <c r="J388" s="1"/>
      <c r="K388" s="1"/>
      <c r="L388" s="1"/>
      <c r="M388" s="1"/>
      <c r="N388" s="10"/>
      <c r="O388" s="10"/>
      <c r="P388" s="10"/>
      <c r="Q388" s="10"/>
      <c r="R388" s="10"/>
      <c r="S388" s="10"/>
      <c r="T388" s="10"/>
      <c r="U388" s="1"/>
      <c r="V388" s="205"/>
      <c r="W388" s="205"/>
      <c r="X388" s="205"/>
      <c r="Y388" s="183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 ht="16.5" customHeight="1">
      <c r="A389" s="1"/>
      <c r="B389" s="1"/>
      <c r="C389" s="199"/>
      <c r="D389" s="1"/>
      <c r="E389" s="1"/>
      <c r="F389" s="1"/>
      <c r="G389" s="199"/>
      <c r="H389" s="1"/>
      <c r="I389" s="1"/>
      <c r="J389" s="1"/>
      <c r="K389" s="1"/>
      <c r="L389" s="1"/>
      <c r="M389" s="1"/>
      <c r="N389" s="10"/>
      <c r="O389" s="10"/>
      <c r="P389" s="10"/>
      <c r="Q389" s="10"/>
      <c r="R389" s="10"/>
      <c r="S389" s="10"/>
      <c r="T389" s="10"/>
      <c r="U389" s="1"/>
      <c r="V389" s="205"/>
      <c r="W389" s="205"/>
      <c r="X389" s="205"/>
      <c r="Y389" s="183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 ht="16.5" customHeight="1">
      <c r="A390" s="1"/>
      <c r="B390" s="1"/>
      <c r="C390" s="199"/>
      <c r="D390" s="1"/>
      <c r="E390" s="1"/>
      <c r="F390" s="1"/>
      <c r="G390" s="199"/>
      <c r="H390" s="1"/>
      <c r="I390" s="1"/>
      <c r="J390" s="1"/>
      <c r="K390" s="1"/>
      <c r="L390" s="1"/>
      <c r="M390" s="1"/>
      <c r="N390" s="10"/>
      <c r="O390" s="10"/>
      <c r="P390" s="10"/>
      <c r="Q390" s="10"/>
      <c r="R390" s="10"/>
      <c r="S390" s="10"/>
      <c r="T390" s="10"/>
      <c r="U390" s="1"/>
      <c r="V390" s="205"/>
      <c r="W390" s="205"/>
      <c r="X390" s="205"/>
      <c r="Y390" s="183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ht="16.5" customHeight="1">
      <c r="A391" s="1"/>
      <c r="B391" s="1"/>
      <c r="C391" s="199"/>
      <c r="D391" s="1"/>
      <c r="E391" s="1"/>
      <c r="F391" s="1"/>
      <c r="G391" s="199"/>
      <c r="H391" s="1"/>
      <c r="I391" s="1"/>
      <c r="J391" s="1"/>
      <c r="K391" s="1"/>
      <c r="L391" s="1"/>
      <c r="M391" s="1"/>
      <c r="N391" s="10"/>
      <c r="O391" s="10"/>
      <c r="P391" s="10"/>
      <c r="Q391" s="10"/>
      <c r="R391" s="10"/>
      <c r="S391" s="10"/>
      <c r="T391" s="10"/>
      <c r="U391" s="1"/>
      <c r="V391" s="205"/>
      <c r="W391" s="205"/>
      <c r="X391" s="205"/>
      <c r="Y391" s="183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ht="16.5" customHeight="1">
      <c r="A392" s="1"/>
      <c r="B392" s="1"/>
      <c r="C392" s="199"/>
      <c r="D392" s="1"/>
      <c r="E392" s="1"/>
      <c r="F392" s="1"/>
      <c r="G392" s="199"/>
      <c r="H392" s="1"/>
      <c r="I392" s="1"/>
      <c r="J392" s="1"/>
      <c r="K392" s="1"/>
      <c r="L392" s="1"/>
      <c r="M392" s="1"/>
      <c r="N392" s="10"/>
      <c r="O392" s="10"/>
      <c r="P392" s="10"/>
      <c r="Q392" s="10"/>
      <c r="R392" s="10"/>
      <c r="S392" s="10"/>
      <c r="T392" s="10"/>
      <c r="U392" s="1"/>
      <c r="V392" s="205"/>
      <c r="W392" s="205"/>
      <c r="X392" s="205"/>
      <c r="Y392" s="183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ht="16.5" customHeight="1">
      <c r="A393" s="1"/>
      <c r="B393" s="1"/>
      <c r="C393" s="199"/>
      <c r="D393" s="1"/>
      <c r="E393" s="1"/>
      <c r="F393" s="1"/>
      <c r="G393" s="199"/>
      <c r="H393" s="1"/>
      <c r="I393" s="1"/>
      <c r="J393" s="1"/>
      <c r="K393" s="1"/>
      <c r="L393" s="1"/>
      <c r="M393" s="1"/>
      <c r="N393" s="10"/>
      <c r="O393" s="10"/>
      <c r="P393" s="10"/>
      <c r="Q393" s="10"/>
      <c r="R393" s="10"/>
      <c r="S393" s="10"/>
      <c r="T393" s="10"/>
      <c r="U393" s="1"/>
      <c r="V393" s="205"/>
      <c r="W393" s="205"/>
      <c r="X393" s="205"/>
      <c r="Y393" s="183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 ht="16.5" customHeight="1">
      <c r="A394" s="1"/>
      <c r="B394" s="1"/>
      <c r="C394" s="199"/>
      <c r="D394" s="1"/>
      <c r="E394" s="1"/>
      <c r="F394" s="1"/>
      <c r="G394" s="199"/>
      <c r="H394" s="1"/>
      <c r="I394" s="1"/>
      <c r="J394" s="1"/>
      <c r="K394" s="1"/>
      <c r="L394" s="1"/>
      <c r="M394" s="1"/>
      <c r="N394" s="10"/>
      <c r="O394" s="10"/>
      <c r="P394" s="10"/>
      <c r="Q394" s="10"/>
      <c r="R394" s="10"/>
      <c r="S394" s="10"/>
      <c r="T394" s="10"/>
      <c r="U394" s="1"/>
      <c r="V394" s="205"/>
      <c r="W394" s="205"/>
      <c r="X394" s="205"/>
      <c r="Y394" s="183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 ht="16.5" customHeight="1">
      <c r="A395" s="1"/>
      <c r="B395" s="1"/>
      <c r="C395" s="199"/>
      <c r="D395" s="1"/>
      <c r="E395" s="1"/>
      <c r="F395" s="1"/>
      <c r="G395" s="199"/>
      <c r="H395" s="1"/>
      <c r="I395" s="1"/>
      <c r="J395" s="1"/>
      <c r="K395" s="1"/>
      <c r="L395" s="1"/>
      <c r="M395" s="1"/>
      <c r="N395" s="10"/>
      <c r="O395" s="10"/>
      <c r="P395" s="10"/>
      <c r="Q395" s="10"/>
      <c r="R395" s="10"/>
      <c r="S395" s="10"/>
      <c r="T395" s="10"/>
      <c r="U395" s="1"/>
      <c r="V395" s="205"/>
      <c r="W395" s="205"/>
      <c r="X395" s="205"/>
      <c r="Y395" s="183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 ht="16.5" customHeight="1">
      <c r="A396" s="1"/>
      <c r="B396" s="1"/>
      <c r="C396" s="199"/>
      <c r="D396" s="1"/>
      <c r="E396" s="1"/>
      <c r="F396" s="1"/>
      <c r="G396" s="199"/>
      <c r="H396" s="1"/>
      <c r="I396" s="1"/>
      <c r="J396" s="1"/>
      <c r="K396" s="1"/>
      <c r="L396" s="1"/>
      <c r="M396" s="1"/>
      <c r="N396" s="10"/>
      <c r="O396" s="10"/>
      <c r="P396" s="10"/>
      <c r="Q396" s="10"/>
      <c r="R396" s="10"/>
      <c r="S396" s="10"/>
      <c r="T396" s="10"/>
      <c r="U396" s="1"/>
      <c r="V396" s="205"/>
      <c r="W396" s="205"/>
      <c r="X396" s="205"/>
      <c r="Y396" s="183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ht="16.5" customHeight="1">
      <c r="A397" s="1"/>
      <c r="B397" s="1"/>
      <c r="C397" s="199"/>
      <c r="D397" s="1"/>
      <c r="E397" s="1"/>
      <c r="F397" s="1"/>
      <c r="G397" s="199"/>
      <c r="H397" s="1"/>
      <c r="I397" s="1"/>
      <c r="J397" s="1"/>
      <c r="K397" s="1"/>
      <c r="L397" s="1"/>
      <c r="M397" s="1"/>
      <c r="N397" s="10"/>
      <c r="O397" s="10"/>
      <c r="P397" s="10"/>
      <c r="Q397" s="10"/>
      <c r="R397" s="10"/>
      <c r="S397" s="10"/>
      <c r="T397" s="10"/>
      <c r="U397" s="1"/>
      <c r="V397" s="205"/>
      <c r="W397" s="205"/>
      <c r="X397" s="205"/>
      <c r="Y397" s="183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ht="16.5" customHeight="1">
      <c r="A398" s="1"/>
      <c r="B398" s="1"/>
      <c r="C398" s="199"/>
      <c r="D398" s="1"/>
      <c r="E398" s="1"/>
      <c r="F398" s="1"/>
      <c r="G398" s="199"/>
      <c r="H398" s="1"/>
      <c r="I398" s="1"/>
      <c r="J398" s="1"/>
      <c r="K398" s="1"/>
      <c r="L398" s="1"/>
      <c r="M398" s="1"/>
      <c r="N398" s="10"/>
      <c r="O398" s="10"/>
      <c r="P398" s="10"/>
      <c r="Q398" s="10"/>
      <c r="R398" s="10"/>
      <c r="S398" s="10"/>
      <c r="T398" s="10"/>
      <c r="U398" s="1"/>
      <c r="V398" s="205"/>
      <c r="W398" s="205"/>
      <c r="X398" s="205"/>
      <c r="Y398" s="183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ht="16.5" customHeight="1">
      <c r="A399" s="1"/>
      <c r="B399" s="1"/>
      <c r="C399" s="199"/>
      <c r="D399" s="1"/>
      <c r="E399" s="1"/>
      <c r="F399" s="1"/>
      <c r="G399" s="199"/>
      <c r="H399" s="1"/>
      <c r="I399" s="1"/>
      <c r="J399" s="1"/>
      <c r="K399" s="1"/>
      <c r="L399" s="1"/>
      <c r="M399" s="1"/>
      <c r="N399" s="10"/>
      <c r="O399" s="10"/>
      <c r="P399" s="10"/>
      <c r="Q399" s="10"/>
      <c r="R399" s="10"/>
      <c r="S399" s="10"/>
      <c r="T399" s="10"/>
      <c r="U399" s="1"/>
      <c r="V399" s="205"/>
      <c r="W399" s="205"/>
      <c r="X399" s="205"/>
      <c r="Y399" s="183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 ht="16.5" customHeight="1">
      <c r="A400" s="1"/>
      <c r="B400" s="1"/>
      <c r="C400" s="199"/>
      <c r="D400" s="1"/>
      <c r="E400" s="1"/>
      <c r="F400" s="1"/>
      <c r="G400" s="199"/>
      <c r="H400" s="1"/>
      <c r="I400" s="1"/>
      <c r="J400" s="1"/>
      <c r="K400" s="1"/>
      <c r="L400" s="1"/>
      <c r="M400" s="1"/>
      <c r="N400" s="10"/>
      <c r="O400" s="10"/>
      <c r="P400" s="10"/>
      <c r="Q400" s="10"/>
      <c r="R400" s="10"/>
      <c r="S400" s="10"/>
      <c r="T400" s="10"/>
      <c r="U400" s="1"/>
      <c r="V400" s="205"/>
      <c r="W400" s="205"/>
      <c r="X400" s="205"/>
      <c r="Y400" s="183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 ht="16.5" customHeight="1">
      <c r="A401" s="1"/>
      <c r="B401" s="1"/>
      <c r="C401" s="199"/>
      <c r="D401" s="1"/>
      <c r="E401" s="1"/>
      <c r="F401" s="1"/>
      <c r="G401" s="199"/>
      <c r="H401" s="1"/>
      <c r="I401" s="1"/>
      <c r="J401" s="1"/>
      <c r="K401" s="1"/>
      <c r="L401" s="1"/>
      <c r="M401" s="1"/>
      <c r="N401" s="10"/>
      <c r="O401" s="10"/>
      <c r="P401" s="10"/>
      <c r="Q401" s="10"/>
      <c r="R401" s="10"/>
      <c r="S401" s="10"/>
      <c r="T401" s="10"/>
      <c r="U401" s="1"/>
      <c r="V401" s="205"/>
      <c r="W401" s="205"/>
      <c r="X401" s="205"/>
      <c r="Y401" s="183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 ht="16.5" customHeight="1">
      <c r="A402" s="1"/>
      <c r="B402" s="1"/>
      <c r="C402" s="199"/>
      <c r="D402" s="1"/>
      <c r="E402" s="1"/>
      <c r="F402" s="1"/>
      <c r="G402" s="199"/>
      <c r="H402" s="1"/>
      <c r="I402" s="1"/>
      <c r="J402" s="1"/>
      <c r="K402" s="1"/>
      <c r="L402" s="1"/>
      <c r="M402" s="1"/>
      <c r="N402" s="10"/>
      <c r="O402" s="10"/>
      <c r="P402" s="10"/>
      <c r="Q402" s="10"/>
      <c r="R402" s="10"/>
      <c r="S402" s="10"/>
      <c r="T402" s="10"/>
      <c r="U402" s="1"/>
      <c r="V402" s="205"/>
      <c r="W402" s="205"/>
      <c r="X402" s="205"/>
      <c r="Y402" s="183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ht="16.5" customHeight="1">
      <c r="A403" s="1"/>
      <c r="B403" s="1"/>
      <c r="C403" s="199"/>
      <c r="D403" s="1"/>
      <c r="E403" s="1"/>
      <c r="F403" s="1"/>
      <c r="G403" s="199"/>
      <c r="H403" s="1"/>
      <c r="I403" s="1"/>
      <c r="J403" s="1"/>
      <c r="K403" s="1"/>
      <c r="L403" s="1"/>
      <c r="M403" s="1"/>
      <c r="N403" s="10"/>
      <c r="O403" s="10"/>
      <c r="P403" s="10"/>
      <c r="Q403" s="10"/>
      <c r="R403" s="10"/>
      <c r="S403" s="10"/>
      <c r="T403" s="10"/>
      <c r="U403" s="1"/>
      <c r="V403" s="205"/>
      <c r="W403" s="205"/>
      <c r="X403" s="205"/>
      <c r="Y403" s="183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ht="16.5" customHeight="1">
      <c r="A404" s="1"/>
      <c r="B404" s="1"/>
      <c r="C404" s="199"/>
      <c r="D404" s="1"/>
      <c r="E404" s="1"/>
      <c r="F404" s="1"/>
      <c r="G404" s="199"/>
      <c r="H404" s="1"/>
      <c r="I404" s="1"/>
      <c r="J404" s="1"/>
      <c r="K404" s="1"/>
      <c r="L404" s="1"/>
      <c r="M404" s="1"/>
      <c r="N404" s="10"/>
      <c r="O404" s="10"/>
      <c r="P404" s="10"/>
      <c r="Q404" s="10"/>
      <c r="R404" s="10"/>
      <c r="S404" s="10"/>
      <c r="T404" s="10"/>
      <c r="U404" s="1"/>
      <c r="V404" s="205"/>
      <c r="W404" s="205"/>
      <c r="X404" s="205"/>
      <c r="Y404" s="183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ht="16.5" customHeight="1">
      <c r="A405" s="1"/>
      <c r="B405" s="1"/>
      <c r="C405" s="199"/>
      <c r="D405" s="1"/>
      <c r="E405" s="1"/>
      <c r="F405" s="1"/>
      <c r="G405" s="199"/>
      <c r="H405" s="1"/>
      <c r="I405" s="1"/>
      <c r="J405" s="1"/>
      <c r="K405" s="1"/>
      <c r="L405" s="1"/>
      <c r="M405" s="1"/>
      <c r="N405" s="10"/>
      <c r="O405" s="10"/>
      <c r="P405" s="10"/>
      <c r="Q405" s="10"/>
      <c r="R405" s="10"/>
      <c r="S405" s="10"/>
      <c r="T405" s="10"/>
      <c r="U405" s="1"/>
      <c r="V405" s="205"/>
      <c r="W405" s="205"/>
      <c r="X405" s="205"/>
      <c r="Y405" s="183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ht="16.5" customHeight="1">
      <c r="A406" s="1"/>
      <c r="B406" s="1"/>
      <c r="C406" s="199"/>
      <c r="D406" s="1"/>
      <c r="E406" s="1"/>
      <c r="F406" s="1"/>
      <c r="G406" s="199"/>
      <c r="H406" s="1"/>
      <c r="I406" s="1"/>
      <c r="J406" s="1"/>
      <c r="K406" s="1"/>
      <c r="L406" s="1"/>
      <c r="M406" s="1"/>
      <c r="N406" s="10"/>
      <c r="O406" s="10"/>
      <c r="P406" s="10"/>
      <c r="Q406" s="10"/>
      <c r="R406" s="10"/>
      <c r="S406" s="10"/>
      <c r="T406" s="10"/>
      <c r="U406" s="1"/>
      <c r="V406" s="205"/>
      <c r="W406" s="205"/>
      <c r="X406" s="205"/>
      <c r="Y406" s="183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ht="16.5" customHeight="1">
      <c r="A407" s="1"/>
      <c r="B407" s="1"/>
      <c r="C407" s="199"/>
      <c r="D407" s="1"/>
      <c r="E407" s="1"/>
      <c r="F407" s="1"/>
      <c r="G407" s="199"/>
      <c r="H407" s="1"/>
      <c r="I407" s="1"/>
      <c r="J407" s="1"/>
      <c r="K407" s="1"/>
      <c r="L407" s="1"/>
      <c r="M407" s="1"/>
      <c r="N407" s="10"/>
      <c r="O407" s="10"/>
      <c r="P407" s="10"/>
      <c r="Q407" s="10"/>
      <c r="R407" s="10"/>
      <c r="S407" s="10"/>
      <c r="T407" s="10"/>
      <c r="U407" s="1"/>
      <c r="V407" s="205"/>
      <c r="W407" s="205"/>
      <c r="X407" s="205"/>
      <c r="Y407" s="183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ht="16.5" customHeight="1">
      <c r="A408" s="1"/>
      <c r="B408" s="1"/>
      <c r="C408" s="199"/>
      <c r="D408" s="1"/>
      <c r="E408" s="1"/>
      <c r="F408" s="1"/>
      <c r="G408" s="199"/>
      <c r="H408" s="1"/>
      <c r="I408" s="1"/>
      <c r="J408" s="1"/>
      <c r="K408" s="1"/>
      <c r="L408" s="1"/>
      <c r="M408" s="1"/>
      <c r="N408" s="10"/>
      <c r="O408" s="10"/>
      <c r="P408" s="10"/>
      <c r="Q408" s="10"/>
      <c r="R408" s="10"/>
      <c r="S408" s="10"/>
      <c r="T408" s="10"/>
      <c r="U408" s="1"/>
      <c r="V408" s="205"/>
      <c r="W408" s="205"/>
      <c r="X408" s="205"/>
      <c r="Y408" s="183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ht="16.5" customHeight="1">
      <c r="A409" s="1"/>
      <c r="B409" s="1"/>
      <c r="C409" s="199"/>
      <c r="D409" s="1"/>
      <c r="E409" s="1"/>
      <c r="F409" s="1"/>
      <c r="G409" s="199"/>
      <c r="H409" s="1"/>
      <c r="I409" s="1"/>
      <c r="J409" s="1"/>
      <c r="K409" s="1"/>
      <c r="L409" s="1"/>
      <c r="M409" s="1"/>
      <c r="N409" s="10"/>
      <c r="O409" s="10"/>
      <c r="P409" s="10"/>
      <c r="Q409" s="10"/>
      <c r="R409" s="10"/>
      <c r="S409" s="10"/>
      <c r="T409" s="10"/>
      <c r="U409" s="1"/>
      <c r="V409" s="205"/>
      <c r="W409" s="205"/>
      <c r="X409" s="205"/>
      <c r="Y409" s="183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 ht="16.5" customHeight="1">
      <c r="A410" s="1"/>
      <c r="B410" s="1"/>
      <c r="C410" s="199"/>
      <c r="D410" s="1"/>
      <c r="E410" s="1"/>
      <c r="F410" s="1"/>
      <c r="G410" s="199"/>
      <c r="H410" s="1"/>
      <c r="I410" s="1"/>
      <c r="J410" s="1"/>
      <c r="K410" s="1"/>
      <c r="L410" s="1"/>
      <c r="M410" s="1"/>
      <c r="N410" s="10"/>
      <c r="O410" s="10"/>
      <c r="P410" s="10"/>
      <c r="Q410" s="10"/>
      <c r="R410" s="10"/>
      <c r="S410" s="10"/>
      <c r="T410" s="10"/>
      <c r="U410" s="1"/>
      <c r="V410" s="205"/>
      <c r="W410" s="205"/>
      <c r="X410" s="205"/>
      <c r="Y410" s="183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 ht="16.5" customHeight="1">
      <c r="A411" s="1"/>
      <c r="B411" s="1"/>
      <c r="C411" s="199"/>
      <c r="D411" s="1"/>
      <c r="E411" s="1"/>
      <c r="F411" s="1"/>
      <c r="G411" s="199"/>
      <c r="H411" s="1"/>
      <c r="I411" s="1"/>
      <c r="J411" s="1"/>
      <c r="K411" s="1"/>
      <c r="L411" s="1"/>
      <c r="M411" s="1"/>
      <c r="N411" s="10"/>
      <c r="O411" s="10"/>
      <c r="P411" s="10"/>
      <c r="Q411" s="10"/>
      <c r="R411" s="10"/>
      <c r="S411" s="10"/>
      <c r="T411" s="10"/>
      <c r="U411" s="1"/>
      <c r="V411" s="205"/>
      <c r="W411" s="205"/>
      <c r="X411" s="205"/>
      <c r="Y411" s="183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ht="16.5" customHeight="1">
      <c r="A412" s="1"/>
      <c r="B412" s="1"/>
      <c r="C412" s="199"/>
      <c r="D412" s="1"/>
      <c r="E412" s="1"/>
      <c r="F412" s="1"/>
      <c r="G412" s="199"/>
      <c r="H412" s="1"/>
      <c r="I412" s="1"/>
      <c r="J412" s="1"/>
      <c r="K412" s="1"/>
      <c r="L412" s="1"/>
      <c r="M412" s="1"/>
      <c r="N412" s="10"/>
      <c r="O412" s="10"/>
      <c r="P412" s="10"/>
      <c r="Q412" s="10"/>
      <c r="R412" s="10"/>
      <c r="S412" s="10"/>
      <c r="T412" s="10"/>
      <c r="U412" s="1"/>
      <c r="V412" s="205"/>
      <c r="W412" s="205"/>
      <c r="X412" s="205"/>
      <c r="Y412" s="183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 ht="16.5" customHeight="1">
      <c r="A413" s="1"/>
      <c r="B413" s="1"/>
      <c r="C413" s="199"/>
      <c r="D413" s="1"/>
      <c r="E413" s="1"/>
      <c r="F413" s="1"/>
      <c r="G413" s="199"/>
      <c r="H413" s="1"/>
      <c r="I413" s="1"/>
      <c r="J413" s="1"/>
      <c r="K413" s="1"/>
      <c r="L413" s="1"/>
      <c r="M413" s="1"/>
      <c r="N413" s="10"/>
      <c r="O413" s="10"/>
      <c r="P413" s="10"/>
      <c r="Q413" s="10"/>
      <c r="R413" s="10"/>
      <c r="S413" s="10"/>
      <c r="T413" s="10"/>
      <c r="U413" s="1"/>
      <c r="V413" s="205"/>
      <c r="W413" s="205"/>
      <c r="X413" s="205"/>
      <c r="Y413" s="183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 ht="16.5" customHeight="1">
      <c r="A414" s="1"/>
      <c r="B414" s="1"/>
      <c r="C414" s="199"/>
      <c r="D414" s="1"/>
      <c r="E414" s="1"/>
      <c r="F414" s="1"/>
      <c r="G414" s="199"/>
      <c r="H414" s="1"/>
      <c r="I414" s="1"/>
      <c r="J414" s="1"/>
      <c r="K414" s="1"/>
      <c r="L414" s="1"/>
      <c r="M414" s="1"/>
      <c r="N414" s="10"/>
      <c r="O414" s="10"/>
      <c r="P414" s="10"/>
      <c r="Q414" s="10"/>
      <c r="R414" s="10"/>
      <c r="S414" s="10"/>
      <c r="T414" s="10"/>
      <c r="U414" s="1"/>
      <c r="V414" s="205"/>
      <c r="W414" s="205"/>
      <c r="X414" s="205"/>
      <c r="Y414" s="183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 ht="16.5" customHeight="1">
      <c r="A415" s="1"/>
      <c r="B415" s="1"/>
      <c r="C415" s="199"/>
      <c r="D415" s="1"/>
      <c r="E415" s="1"/>
      <c r="F415" s="1"/>
      <c r="G415" s="199"/>
      <c r="H415" s="1"/>
      <c r="I415" s="1"/>
      <c r="J415" s="1"/>
      <c r="K415" s="1"/>
      <c r="L415" s="1"/>
      <c r="M415" s="1"/>
      <c r="N415" s="10"/>
      <c r="O415" s="10"/>
      <c r="P415" s="10"/>
      <c r="Q415" s="10"/>
      <c r="R415" s="10"/>
      <c r="S415" s="10"/>
      <c r="T415" s="10"/>
      <c r="U415" s="1"/>
      <c r="V415" s="205"/>
      <c r="W415" s="205"/>
      <c r="X415" s="205"/>
      <c r="Y415" s="183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 ht="16.5" customHeight="1">
      <c r="A416" s="1"/>
      <c r="B416" s="1"/>
      <c r="C416" s="199"/>
      <c r="D416" s="1"/>
      <c r="E416" s="1"/>
      <c r="F416" s="1"/>
      <c r="G416" s="199"/>
      <c r="H416" s="1"/>
      <c r="I416" s="1"/>
      <c r="J416" s="1"/>
      <c r="K416" s="1"/>
      <c r="L416" s="1"/>
      <c r="M416" s="1"/>
      <c r="N416" s="10"/>
      <c r="O416" s="10"/>
      <c r="P416" s="10"/>
      <c r="Q416" s="10"/>
      <c r="R416" s="10"/>
      <c r="S416" s="10"/>
      <c r="T416" s="10"/>
      <c r="U416" s="1"/>
      <c r="V416" s="205"/>
      <c r="W416" s="205"/>
      <c r="X416" s="205"/>
      <c r="Y416" s="183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 ht="16.5" customHeight="1">
      <c r="A417" s="1"/>
      <c r="B417" s="1"/>
      <c r="C417" s="199"/>
      <c r="D417" s="1"/>
      <c r="E417" s="1"/>
      <c r="F417" s="1"/>
      <c r="G417" s="199"/>
      <c r="H417" s="1"/>
      <c r="I417" s="1"/>
      <c r="J417" s="1"/>
      <c r="K417" s="1"/>
      <c r="L417" s="1"/>
      <c r="M417" s="1"/>
      <c r="N417" s="10"/>
      <c r="O417" s="10"/>
      <c r="P417" s="10"/>
      <c r="Q417" s="10"/>
      <c r="R417" s="10"/>
      <c r="S417" s="10"/>
      <c r="T417" s="10"/>
      <c r="U417" s="1"/>
      <c r="V417" s="205"/>
      <c r="W417" s="205"/>
      <c r="X417" s="205"/>
      <c r="Y417" s="183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 ht="16.5" customHeight="1">
      <c r="A418" s="1"/>
      <c r="B418" s="1"/>
      <c r="C418" s="199"/>
      <c r="D418" s="1"/>
      <c r="E418" s="1"/>
      <c r="F418" s="1"/>
      <c r="G418" s="199"/>
      <c r="H418" s="1"/>
      <c r="I418" s="1"/>
      <c r="J418" s="1"/>
      <c r="K418" s="1"/>
      <c r="L418" s="1"/>
      <c r="M418" s="1"/>
      <c r="N418" s="10"/>
      <c r="O418" s="10"/>
      <c r="P418" s="10"/>
      <c r="Q418" s="10"/>
      <c r="R418" s="10"/>
      <c r="S418" s="10"/>
      <c r="T418" s="10"/>
      <c r="U418" s="1"/>
      <c r="V418" s="205"/>
      <c r="W418" s="205"/>
      <c r="X418" s="205"/>
      <c r="Y418" s="183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 ht="16.5" customHeight="1">
      <c r="A419" s="1"/>
      <c r="B419" s="1"/>
      <c r="C419" s="199"/>
      <c r="D419" s="1"/>
      <c r="E419" s="1"/>
      <c r="F419" s="1"/>
      <c r="G419" s="199"/>
      <c r="H419" s="1"/>
      <c r="I419" s="1"/>
      <c r="J419" s="1"/>
      <c r="K419" s="1"/>
      <c r="L419" s="1"/>
      <c r="M419" s="1"/>
      <c r="N419" s="10"/>
      <c r="O419" s="10"/>
      <c r="P419" s="10"/>
      <c r="Q419" s="10"/>
      <c r="R419" s="10"/>
      <c r="S419" s="10"/>
      <c r="T419" s="10"/>
      <c r="U419" s="1"/>
      <c r="V419" s="205"/>
      <c r="W419" s="205"/>
      <c r="X419" s="205"/>
      <c r="Y419" s="183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 ht="16.5" customHeight="1">
      <c r="A420" s="1"/>
      <c r="B420" s="1"/>
      <c r="C420" s="199"/>
      <c r="D420" s="1"/>
      <c r="E420" s="1"/>
      <c r="F420" s="1"/>
      <c r="G420" s="199"/>
      <c r="H420" s="1"/>
      <c r="I420" s="1"/>
      <c r="J420" s="1"/>
      <c r="K420" s="1"/>
      <c r="L420" s="1"/>
      <c r="M420" s="1"/>
      <c r="N420" s="10"/>
      <c r="O420" s="10"/>
      <c r="P420" s="10"/>
      <c r="Q420" s="10"/>
      <c r="R420" s="10"/>
      <c r="S420" s="10"/>
      <c r="T420" s="10"/>
      <c r="U420" s="1"/>
      <c r="V420" s="205"/>
      <c r="W420" s="205"/>
      <c r="X420" s="205"/>
      <c r="Y420" s="183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 ht="16.5" customHeight="1">
      <c r="A421" s="1"/>
      <c r="B421" s="1"/>
      <c r="C421" s="199"/>
      <c r="D421" s="1"/>
      <c r="E421" s="1"/>
      <c r="F421" s="1"/>
      <c r="G421" s="199"/>
      <c r="H421" s="1"/>
      <c r="I421" s="1"/>
      <c r="J421" s="1"/>
      <c r="K421" s="1"/>
      <c r="L421" s="1"/>
      <c r="M421" s="1"/>
      <c r="N421" s="10"/>
      <c r="O421" s="10"/>
      <c r="P421" s="10"/>
      <c r="Q421" s="10"/>
      <c r="R421" s="10"/>
      <c r="S421" s="10"/>
      <c r="T421" s="10"/>
      <c r="U421" s="1"/>
      <c r="V421" s="205"/>
      <c r="W421" s="205"/>
      <c r="X421" s="205"/>
      <c r="Y421" s="183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 ht="16.5" customHeight="1">
      <c r="A422" s="1"/>
      <c r="B422" s="1"/>
      <c r="C422" s="199"/>
      <c r="D422" s="1"/>
      <c r="E422" s="1"/>
      <c r="F422" s="1"/>
      <c r="G422" s="199"/>
      <c r="H422" s="1"/>
      <c r="I422" s="1"/>
      <c r="J422" s="1"/>
      <c r="K422" s="1"/>
      <c r="L422" s="1"/>
      <c r="M422" s="1"/>
      <c r="N422" s="10"/>
      <c r="O422" s="10"/>
      <c r="P422" s="10"/>
      <c r="Q422" s="10"/>
      <c r="R422" s="10"/>
      <c r="S422" s="10"/>
      <c r="T422" s="10"/>
      <c r="U422" s="1"/>
      <c r="V422" s="205"/>
      <c r="W422" s="205"/>
      <c r="X422" s="205"/>
      <c r="Y422" s="183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 ht="16.5" customHeight="1">
      <c r="A423" s="1"/>
      <c r="B423" s="1"/>
      <c r="C423" s="199"/>
      <c r="D423" s="1"/>
      <c r="E423" s="1"/>
      <c r="F423" s="1"/>
      <c r="G423" s="199"/>
      <c r="H423" s="1"/>
      <c r="I423" s="1"/>
      <c r="J423" s="1"/>
      <c r="K423" s="1"/>
      <c r="L423" s="1"/>
      <c r="M423" s="1"/>
      <c r="N423" s="10"/>
      <c r="O423" s="10"/>
      <c r="P423" s="10"/>
      <c r="Q423" s="10"/>
      <c r="R423" s="10"/>
      <c r="S423" s="10"/>
      <c r="T423" s="10"/>
      <c r="U423" s="1"/>
      <c r="V423" s="205"/>
      <c r="W423" s="205"/>
      <c r="X423" s="205"/>
      <c r="Y423" s="183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 ht="16.5" customHeight="1">
      <c r="A424" s="1"/>
      <c r="B424" s="1"/>
      <c r="C424" s="199"/>
      <c r="D424" s="1"/>
      <c r="E424" s="1"/>
      <c r="F424" s="1"/>
      <c r="G424" s="199"/>
      <c r="H424" s="1"/>
      <c r="I424" s="1"/>
      <c r="J424" s="1"/>
      <c r="K424" s="1"/>
      <c r="L424" s="1"/>
      <c r="M424" s="1"/>
      <c r="N424" s="10"/>
      <c r="O424" s="10"/>
      <c r="P424" s="10"/>
      <c r="Q424" s="10"/>
      <c r="R424" s="10"/>
      <c r="S424" s="10"/>
      <c r="T424" s="10"/>
      <c r="U424" s="1"/>
      <c r="V424" s="205"/>
      <c r="W424" s="205"/>
      <c r="X424" s="205"/>
      <c r="Y424" s="183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 ht="16.5" customHeight="1">
      <c r="A425" s="1"/>
      <c r="B425" s="1"/>
      <c r="C425" s="199"/>
      <c r="D425" s="1"/>
      <c r="E425" s="1"/>
      <c r="F425" s="1"/>
      <c r="G425" s="199"/>
      <c r="H425" s="1"/>
      <c r="I425" s="1"/>
      <c r="J425" s="1"/>
      <c r="K425" s="1"/>
      <c r="L425" s="1"/>
      <c r="M425" s="1"/>
      <c r="N425" s="10"/>
      <c r="O425" s="10"/>
      <c r="P425" s="10"/>
      <c r="Q425" s="10"/>
      <c r="R425" s="10"/>
      <c r="S425" s="10"/>
      <c r="T425" s="10"/>
      <c r="U425" s="1"/>
      <c r="V425" s="205"/>
      <c r="W425" s="205"/>
      <c r="X425" s="205"/>
      <c r="Y425" s="183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 ht="16.5" customHeight="1">
      <c r="A426" s="1"/>
      <c r="B426" s="1"/>
      <c r="C426" s="199"/>
      <c r="D426" s="1"/>
      <c r="E426" s="1"/>
      <c r="F426" s="1"/>
      <c r="G426" s="199"/>
      <c r="H426" s="1"/>
      <c r="I426" s="1"/>
      <c r="J426" s="1"/>
      <c r="K426" s="1"/>
      <c r="L426" s="1"/>
      <c r="M426" s="1"/>
      <c r="N426" s="10"/>
      <c r="O426" s="10"/>
      <c r="P426" s="10"/>
      <c r="Q426" s="10"/>
      <c r="R426" s="10"/>
      <c r="S426" s="10"/>
      <c r="T426" s="10"/>
      <c r="U426" s="1"/>
      <c r="V426" s="205"/>
      <c r="W426" s="205"/>
      <c r="X426" s="205"/>
      <c r="Y426" s="183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 ht="16.5" customHeight="1">
      <c r="A427" s="1"/>
      <c r="B427" s="1"/>
      <c r="C427" s="199"/>
      <c r="D427" s="1"/>
      <c r="E427" s="1"/>
      <c r="F427" s="1"/>
      <c r="G427" s="199"/>
      <c r="H427" s="1"/>
      <c r="I427" s="1"/>
      <c r="J427" s="1"/>
      <c r="K427" s="1"/>
      <c r="L427" s="1"/>
      <c r="M427" s="1"/>
      <c r="N427" s="10"/>
      <c r="O427" s="10"/>
      <c r="P427" s="10"/>
      <c r="Q427" s="10"/>
      <c r="R427" s="10"/>
      <c r="S427" s="10"/>
      <c r="T427" s="10"/>
      <c r="U427" s="1"/>
      <c r="V427" s="205"/>
      <c r="W427" s="205"/>
      <c r="X427" s="205"/>
      <c r="Y427" s="183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ht="16.5" customHeight="1">
      <c r="A428" s="1"/>
      <c r="B428" s="1"/>
      <c r="C428" s="199"/>
      <c r="D428" s="1"/>
      <c r="E428" s="1"/>
      <c r="F428" s="1"/>
      <c r="G428" s="199"/>
      <c r="H428" s="1"/>
      <c r="I428" s="1"/>
      <c r="J428" s="1"/>
      <c r="K428" s="1"/>
      <c r="L428" s="1"/>
      <c r="M428" s="1"/>
      <c r="N428" s="10"/>
      <c r="O428" s="10"/>
      <c r="P428" s="10"/>
      <c r="Q428" s="10"/>
      <c r="R428" s="10"/>
      <c r="S428" s="10"/>
      <c r="T428" s="10"/>
      <c r="U428" s="1"/>
      <c r="V428" s="205"/>
      <c r="W428" s="205"/>
      <c r="X428" s="205"/>
      <c r="Y428" s="183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ht="16.5" customHeight="1">
      <c r="A429" s="1"/>
      <c r="B429" s="1"/>
      <c r="C429" s="199"/>
      <c r="D429" s="1"/>
      <c r="E429" s="1"/>
      <c r="F429" s="1"/>
      <c r="G429" s="199"/>
      <c r="H429" s="1"/>
      <c r="I429" s="1"/>
      <c r="J429" s="1"/>
      <c r="K429" s="1"/>
      <c r="L429" s="1"/>
      <c r="M429" s="1"/>
      <c r="N429" s="10"/>
      <c r="O429" s="10"/>
      <c r="P429" s="10"/>
      <c r="Q429" s="10"/>
      <c r="R429" s="10"/>
      <c r="S429" s="10"/>
      <c r="T429" s="10"/>
      <c r="U429" s="1"/>
      <c r="V429" s="205"/>
      <c r="W429" s="205"/>
      <c r="X429" s="205"/>
      <c r="Y429" s="183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ht="16.5" customHeight="1">
      <c r="A430" s="1"/>
      <c r="B430" s="1"/>
      <c r="C430" s="199"/>
      <c r="D430" s="1"/>
      <c r="E430" s="1"/>
      <c r="F430" s="1"/>
      <c r="G430" s="199"/>
      <c r="H430" s="1"/>
      <c r="I430" s="1"/>
      <c r="J430" s="1"/>
      <c r="K430" s="1"/>
      <c r="L430" s="1"/>
      <c r="M430" s="1"/>
      <c r="N430" s="10"/>
      <c r="O430" s="10"/>
      <c r="P430" s="10"/>
      <c r="Q430" s="10"/>
      <c r="R430" s="10"/>
      <c r="S430" s="10"/>
      <c r="T430" s="10"/>
      <c r="U430" s="1"/>
      <c r="V430" s="205"/>
      <c r="W430" s="205"/>
      <c r="X430" s="205"/>
      <c r="Y430" s="183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ht="16.5" customHeight="1">
      <c r="A431" s="1"/>
      <c r="B431" s="1"/>
      <c r="C431" s="199"/>
      <c r="D431" s="1"/>
      <c r="E431" s="1"/>
      <c r="F431" s="1"/>
      <c r="G431" s="199"/>
      <c r="H431" s="1"/>
      <c r="I431" s="1"/>
      <c r="J431" s="1"/>
      <c r="K431" s="1"/>
      <c r="L431" s="1"/>
      <c r="M431" s="1"/>
      <c r="N431" s="10"/>
      <c r="O431" s="10"/>
      <c r="P431" s="10"/>
      <c r="Q431" s="10"/>
      <c r="R431" s="10"/>
      <c r="S431" s="10"/>
      <c r="T431" s="10"/>
      <c r="U431" s="1"/>
      <c r="V431" s="205"/>
      <c r="W431" s="205"/>
      <c r="X431" s="205"/>
      <c r="Y431" s="183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 ht="16.5" customHeight="1">
      <c r="A432" s="1"/>
      <c r="B432" s="1"/>
      <c r="C432" s="199"/>
      <c r="D432" s="1"/>
      <c r="E432" s="1"/>
      <c r="F432" s="1"/>
      <c r="G432" s="199"/>
      <c r="H432" s="1"/>
      <c r="I432" s="1"/>
      <c r="J432" s="1"/>
      <c r="K432" s="1"/>
      <c r="L432" s="1"/>
      <c r="M432" s="1"/>
      <c r="N432" s="10"/>
      <c r="O432" s="10"/>
      <c r="P432" s="10"/>
      <c r="Q432" s="10"/>
      <c r="R432" s="10"/>
      <c r="S432" s="10"/>
      <c r="T432" s="10"/>
      <c r="U432" s="1"/>
      <c r="V432" s="205"/>
      <c r="W432" s="205"/>
      <c r="X432" s="205"/>
      <c r="Y432" s="183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 ht="16.5" customHeight="1">
      <c r="A433" s="1"/>
      <c r="B433" s="1"/>
      <c r="C433" s="199"/>
      <c r="D433" s="1"/>
      <c r="E433" s="1"/>
      <c r="F433" s="1"/>
      <c r="G433" s="199"/>
      <c r="H433" s="1"/>
      <c r="I433" s="1"/>
      <c r="J433" s="1"/>
      <c r="K433" s="1"/>
      <c r="L433" s="1"/>
      <c r="M433" s="1"/>
      <c r="N433" s="10"/>
      <c r="O433" s="10"/>
      <c r="P433" s="10"/>
      <c r="Q433" s="10"/>
      <c r="R433" s="10"/>
      <c r="S433" s="10"/>
      <c r="T433" s="10"/>
      <c r="U433" s="1"/>
      <c r="V433" s="205"/>
      <c r="W433" s="205"/>
      <c r="X433" s="205"/>
      <c r="Y433" s="183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 ht="16.5" customHeight="1">
      <c r="A434" s="1"/>
      <c r="B434" s="1"/>
      <c r="C434" s="199"/>
      <c r="D434" s="1"/>
      <c r="E434" s="1"/>
      <c r="F434" s="1"/>
      <c r="G434" s="199"/>
      <c r="H434" s="1"/>
      <c r="I434" s="1"/>
      <c r="J434" s="1"/>
      <c r="K434" s="1"/>
      <c r="L434" s="1"/>
      <c r="M434" s="1"/>
      <c r="N434" s="10"/>
      <c r="O434" s="10"/>
      <c r="P434" s="10"/>
      <c r="Q434" s="10"/>
      <c r="R434" s="10"/>
      <c r="S434" s="10"/>
      <c r="T434" s="10"/>
      <c r="U434" s="1"/>
      <c r="V434" s="205"/>
      <c r="W434" s="205"/>
      <c r="X434" s="205"/>
      <c r="Y434" s="183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ht="16.5" customHeight="1">
      <c r="A435" s="1"/>
      <c r="B435" s="1"/>
      <c r="C435" s="199"/>
      <c r="D435" s="1"/>
      <c r="E435" s="1"/>
      <c r="F435" s="1"/>
      <c r="G435" s="199"/>
      <c r="H435" s="1"/>
      <c r="I435" s="1"/>
      <c r="J435" s="1"/>
      <c r="K435" s="1"/>
      <c r="L435" s="1"/>
      <c r="M435" s="1"/>
      <c r="N435" s="10"/>
      <c r="O435" s="10"/>
      <c r="P435" s="10"/>
      <c r="Q435" s="10"/>
      <c r="R435" s="10"/>
      <c r="S435" s="10"/>
      <c r="T435" s="10"/>
      <c r="U435" s="1"/>
      <c r="V435" s="205"/>
      <c r="W435" s="205"/>
      <c r="X435" s="205"/>
      <c r="Y435" s="183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ht="16.5" customHeight="1">
      <c r="A436" s="1"/>
      <c r="B436" s="1"/>
      <c r="C436" s="199"/>
      <c r="D436" s="1"/>
      <c r="E436" s="1"/>
      <c r="F436" s="1"/>
      <c r="G436" s="199"/>
      <c r="H436" s="1"/>
      <c r="I436" s="1"/>
      <c r="J436" s="1"/>
      <c r="K436" s="1"/>
      <c r="L436" s="1"/>
      <c r="M436" s="1"/>
      <c r="N436" s="10"/>
      <c r="O436" s="10"/>
      <c r="P436" s="10"/>
      <c r="Q436" s="10"/>
      <c r="R436" s="10"/>
      <c r="S436" s="10"/>
      <c r="T436" s="10"/>
      <c r="U436" s="1"/>
      <c r="V436" s="205"/>
      <c r="W436" s="205"/>
      <c r="X436" s="205"/>
      <c r="Y436" s="183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ht="16.5" customHeight="1">
      <c r="A437" s="1"/>
      <c r="B437" s="1"/>
      <c r="C437" s="199"/>
      <c r="D437" s="1"/>
      <c r="E437" s="1"/>
      <c r="F437" s="1"/>
      <c r="G437" s="199"/>
      <c r="H437" s="1"/>
      <c r="I437" s="1"/>
      <c r="J437" s="1"/>
      <c r="K437" s="1"/>
      <c r="L437" s="1"/>
      <c r="M437" s="1"/>
      <c r="N437" s="10"/>
      <c r="O437" s="10"/>
      <c r="P437" s="10"/>
      <c r="Q437" s="10"/>
      <c r="R437" s="10"/>
      <c r="S437" s="10"/>
      <c r="T437" s="10"/>
      <c r="U437" s="1"/>
      <c r="V437" s="205"/>
      <c r="W437" s="205"/>
      <c r="X437" s="205"/>
      <c r="Y437" s="183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 ht="16.5" customHeight="1">
      <c r="A438" s="1"/>
      <c r="B438" s="1"/>
      <c r="C438" s="199"/>
      <c r="D438" s="1"/>
      <c r="E438" s="1"/>
      <c r="F438" s="1"/>
      <c r="G438" s="199"/>
      <c r="H438" s="1"/>
      <c r="I438" s="1"/>
      <c r="J438" s="1"/>
      <c r="K438" s="1"/>
      <c r="L438" s="1"/>
      <c r="M438" s="1"/>
      <c r="N438" s="10"/>
      <c r="O438" s="10"/>
      <c r="P438" s="10"/>
      <c r="Q438" s="10"/>
      <c r="R438" s="10"/>
      <c r="S438" s="10"/>
      <c r="T438" s="10"/>
      <c r="U438" s="1"/>
      <c r="V438" s="205"/>
      <c r="W438" s="205"/>
      <c r="X438" s="205"/>
      <c r="Y438" s="183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 ht="16.5" customHeight="1">
      <c r="A439" s="1"/>
      <c r="B439" s="1"/>
      <c r="C439" s="199"/>
      <c r="D439" s="1"/>
      <c r="E439" s="1"/>
      <c r="F439" s="1"/>
      <c r="G439" s="199"/>
      <c r="H439" s="1"/>
      <c r="I439" s="1"/>
      <c r="J439" s="1"/>
      <c r="K439" s="1"/>
      <c r="L439" s="1"/>
      <c r="M439" s="1"/>
      <c r="N439" s="10"/>
      <c r="O439" s="10"/>
      <c r="P439" s="10"/>
      <c r="Q439" s="10"/>
      <c r="R439" s="10"/>
      <c r="S439" s="10"/>
      <c r="T439" s="10"/>
      <c r="U439" s="1"/>
      <c r="V439" s="205"/>
      <c r="W439" s="205"/>
      <c r="X439" s="205"/>
      <c r="Y439" s="183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 ht="16.5" customHeight="1">
      <c r="A440" s="1"/>
      <c r="B440" s="1"/>
      <c r="C440" s="199"/>
      <c r="D440" s="1"/>
      <c r="E440" s="1"/>
      <c r="F440" s="1"/>
      <c r="G440" s="199"/>
      <c r="H440" s="1"/>
      <c r="I440" s="1"/>
      <c r="J440" s="1"/>
      <c r="K440" s="1"/>
      <c r="L440" s="1"/>
      <c r="M440" s="1"/>
      <c r="N440" s="10"/>
      <c r="O440" s="10"/>
      <c r="P440" s="10"/>
      <c r="Q440" s="10"/>
      <c r="R440" s="10"/>
      <c r="S440" s="10"/>
      <c r="T440" s="10"/>
      <c r="U440" s="1"/>
      <c r="V440" s="205"/>
      <c r="W440" s="205"/>
      <c r="X440" s="205"/>
      <c r="Y440" s="183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ht="16.5" customHeight="1">
      <c r="A441" s="1"/>
      <c r="B441" s="1"/>
      <c r="C441" s="199"/>
      <c r="D441" s="1"/>
      <c r="E441" s="1"/>
      <c r="F441" s="1"/>
      <c r="G441" s="199"/>
      <c r="H441" s="1"/>
      <c r="I441" s="1"/>
      <c r="J441" s="1"/>
      <c r="K441" s="1"/>
      <c r="L441" s="1"/>
      <c r="M441" s="1"/>
      <c r="N441" s="10"/>
      <c r="O441" s="10"/>
      <c r="P441" s="10"/>
      <c r="Q441" s="10"/>
      <c r="R441" s="10"/>
      <c r="S441" s="10"/>
      <c r="T441" s="10"/>
      <c r="U441" s="1"/>
      <c r="V441" s="205"/>
      <c r="W441" s="205"/>
      <c r="X441" s="205"/>
      <c r="Y441" s="183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ht="16.5" customHeight="1">
      <c r="A442" s="1"/>
      <c r="B442" s="1"/>
      <c r="C442" s="199"/>
      <c r="D442" s="1"/>
      <c r="E442" s="1"/>
      <c r="F442" s="1"/>
      <c r="G442" s="199"/>
      <c r="H442" s="1"/>
      <c r="I442" s="1"/>
      <c r="J442" s="1"/>
      <c r="K442" s="1"/>
      <c r="L442" s="1"/>
      <c r="M442" s="1"/>
      <c r="N442" s="10"/>
      <c r="O442" s="10"/>
      <c r="P442" s="10"/>
      <c r="Q442" s="10"/>
      <c r="R442" s="10"/>
      <c r="S442" s="10"/>
      <c r="T442" s="10"/>
      <c r="U442" s="1"/>
      <c r="V442" s="205"/>
      <c r="W442" s="205"/>
      <c r="X442" s="205"/>
      <c r="Y442" s="183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 ht="16.5" customHeight="1">
      <c r="A443" s="1"/>
      <c r="B443" s="1"/>
      <c r="C443" s="199"/>
      <c r="D443" s="1"/>
      <c r="E443" s="1"/>
      <c r="F443" s="1"/>
      <c r="G443" s="199"/>
      <c r="H443" s="1"/>
      <c r="I443" s="1"/>
      <c r="J443" s="1"/>
      <c r="K443" s="1"/>
      <c r="L443" s="1"/>
      <c r="M443" s="1"/>
      <c r="N443" s="10"/>
      <c r="O443" s="10"/>
      <c r="P443" s="10"/>
      <c r="Q443" s="10"/>
      <c r="R443" s="10"/>
      <c r="S443" s="10"/>
      <c r="T443" s="10"/>
      <c r="U443" s="1"/>
      <c r="V443" s="205"/>
      <c r="W443" s="205"/>
      <c r="X443" s="205"/>
      <c r="Y443" s="183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 ht="16.5" customHeight="1">
      <c r="A444" s="1"/>
      <c r="B444" s="1"/>
      <c r="C444" s="199"/>
      <c r="D444" s="1"/>
      <c r="E444" s="1"/>
      <c r="F444" s="1"/>
      <c r="G444" s="199"/>
      <c r="H444" s="1"/>
      <c r="I444" s="1"/>
      <c r="J444" s="1"/>
      <c r="K444" s="1"/>
      <c r="L444" s="1"/>
      <c r="M444" s="1"/>
      <c r="N444" s="10"/>
      <c r="O444" s="10"/>
      <c r="P444" s="10"/>
      <c r="Q444" s="10"/>
      <c r="R444" s="10"/>
      <c r="S444" s="10"/>
      <c r="T444" s="10"/>
      <c r="U444" s="1"/>
      <c r="V444" s="205"/>
      <c r="W444" s="205"/>
      <c r="X444" s="205"/>
      <c r="Y444" s="183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 ht="16.5" customHeight="1">
      <c r="A445" s="1"/>
      <c r="B445" s="1"/>
      <c r="C445" s="199"/>
      <c r="D445" s="1"/>
      <c r="E445" s="1"/>
      <c r="F445" s="1"/>
      <c r="G445" s="199"/>
      <c r="H445" s="1"/>
      <c r="I445" s="1"/>
      <c r="J445" s="1"/>
      <c r="K445" s="1"/>
      <c r="L445" s="1"/>
      <c r="M445" s="1"/>
      <c r="N445" s="10"/>
      <c r="O445" s="10"/>
      <c r="P445" s="10"/>
      <c r="Q445" s="10"/>
      <c r="R445" s="10"/>
      <c r="S445" s="10"/>
      <c r="T445" s="10"/>
      <c r="U445" s="1"/>
      <c r="V445" s="205"/>
      <c r="W445" s="205"/>
      <c r="X445" s="205"/>
      <c r="Y445" s="183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ht="16.5" customHeight="1">
      <c r="A446" s="1"/>
      <c r="B446" s="1"/>
      <c r="C446" s="199"/>
      <c r="D446" s="1"/>
      <c r="E446" s="1"/>
      <c r="F446" s="1"/>
      <c r="G446" s="199"/>
      <c r="H446" s="1"/>
      <c r="I446" s="1"/>
      <c r="J446" s="1"/>
      <c r="K446" s="1"/>
      <c r="L446" s="1"/>
      <c r="M446" s="1"/>
      <c r="N446" s="10"/>
      <c r="O446" s="10"/>
      <c r="P446" s="10"/>
      <c r="Q446" s="10"/>
      <c r="R446" s="10"/>
      <c r="S446" s="10"/>
      <c r="T446" s="10"/>
      <c r="U446" s="1"/>
      <c r="V446" s="205"/>
      <c r="W446" s="205"/>
      <c r="X446" s="205"/>
      <c r="Y446" s="183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ht="16.5" customHeight="1">
      <c r="A447" s="1"/>
      <c r="B447" s="1"/>
      <c r="C447" s="199"/>
      <c r="D447" s="1"/>
      <c r="E447" s="1"/>
      <c r="F447" s="1"/>
      <c r="G447" s="199"/>
      <c r="H447" s="1"/>
      <c r="I447" s="1"/>
      <c r="J447" s="1"/>
      <c r="K447" s="1"/>
      <c r="L447" s="1"/>
      <c r="M447" s="1"/>
      <c r="N447" s="10"/>
      <c r="O447" s="10"/>
      <c r="P447" s="10"/>
      <c r="Q447" s="10"/>
      <c r="R447" s="10"/>
      <c r="S447" s="10"/>
      <c r="T447" s="10"/>
      <c r="U447" s="1"/>
      <c r="V447" s="205"/>
      <c r="W447" s="205"/>
      <c r="X447" s="205"/>
      <c r="Y447" s="183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ht="16.5" customHeight="1">
      <c r="A448" s="1"/>
      <c r="B448" s="1"/>
      <c r="C448" s="199"/>
      <c r="D448" s="1"/>
      <c r="E448" s="1"/>
      <c r="F448" s="1"/>
      <c r="G448" s="199"/>
      <c r="H448" s="1"/>
      <c r="I448" s="1"/>
      <c r="J448" s="1"/>
      <c r="K448" s="1"/>
      <c r="L448" s="1"/>
      <c r="M448" s="1"/>
      <c r="N448" s="10"/>
      <c r="O448" s="10"/>
      <c r="P448" s="10"/>
      <c r="Q448" s="10"/>
      <c r="R448" s="10"/>
      <c r="S448" s="10"/>
      <c r="T448" s="10"/>
      <c r="U448" s="1"/>
      <c r="V448" s="205"/>
      <c r="W448" s="205"/>
      <c r="X448" s="205"/>
      <c r="Y448" s="183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 ht="16.5" customHeight="1">
      <c r="A449" s="1"/>
      <c r="B449" s="1"/>
      <c r="C449" s="199"/>
      <c r="D449" s="1"/>
      <c r="E449" s="1"/>
      <c r="F449" s="1"/>
      <c r="G449" s="199"/>
      <c r="H449" s="1"/>
      <c r="I449" s="1"/>
      <c r="J449" s="1"/>
      <c r="K449" s="1"/>
      <c r="L449" s="1"/>
      <c r="M449" s="1"/>
      <c r="N449" s="10"/>
      <c r="O449" s="10"/>
      <c r="P449" s="10"/>
      <c r="Q449" s="10"/>
      <c r="R449" s="10"/>
      <c r="S449" s="10"/>
      <c r="T449" s="10"/>
      <c r="U449" s="1"/>
      <c r="V449" s="205"/>
      <c r="W449" s="205"/>
      <c r="X449" s="205"/>
      <c r="Y449" s="183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 ht="16.5" customHeight="1">
      <c r="A450" s="1"/>
      <c r="B450" s="1"/>
      <c r="C450" s="199"/>
      <c r="D450" s="1"/>
      <c r="E450" s="1"/>
      <c r="F450" s="1"/>
      <c r="G450" s="199"/>
      <c r="H450" s="1"/>
      <c r="I450" s="1"/>
      <c r="J450" s="1"/>
      <c r="K450" s="1"/>
      <c r="L450" s="1"/>
      <c r="M450" s="1"/>
      <c r="N450" s="10"/>
      <c r="O450" s="10"/>
      <c r="P450" s="10"/>
      <c r="Q450" s="10"/>
      <c r="R450" s="10"/>
      <c r="S450" s="10"/>
      <c r="T450" s="10"/>
      <c r="U450" s="1"/>
      <c r="V450" s="205"/>
      <c r="W450" s="205"/>
      <c r="X450" s="205"/>
      <c r="Y450" s="183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 ht="16.5" customHeight="1">
      <c r="A451" s="1"/>
      <c r="B451" s="1"/>
      <c r="C451" s="199"/>
      <c r="D451" s="1"/>
      <c r="E451" s="1"/>
      <c r="F451" s="1"/>
      <c r="G451" s="199"/>
      <c r="H451" s="1"/>
      <c r="I451" s="1"/>
      <c r="J451" s="1"/>
      <c r="K451" s="1"/>
      <c r="L451" s="1"/>
      <c r="M451" s="1"/>
      <c r="N451" s="10"/>
      <c r="O451" s="10"/>
      <c r="P451" s="10"/>
      <c r="Q451" s="10"/>
      <c r="R451" s="10"/>
      <c r="S451" s="10"/>
      <c r="T451" s="10"/>
      <c r="U451" s="1"/>
      <c r="V451" s="205"/>
      <c r="W451" s="205"/>
      <c r="X451" s="205"/>
      <c r="Y451" s="183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ht="16.5" customHeight="1">
      <c r="A452" s="1"/>
      <c r="B452" s="1"/>
      <c r="C452" s="199"/>
      <c r="D452" s="1"/>
      <c r="E452" s="1"/>
      <c r="F452" s="1"/>
      <c r="G452" s="199"/>
      <c r="H452" s="1"/>
      <c r="I452" s="1"/>
      <c r="J452" s="1"/>
      <c r="K452" s="1"/>
      <c r="L452" s="1"/>
      <c r="M452" s="1"/>
      <c r="N452" s="10"/>
      <c r="O452" s="10"/>
      <c r="P452" s="10"/>
      <c r="Q452" s="10"/>
      <c r="R452" s="10"/>
      <c r="S452" s="10"/>
      <c r="T452" s="10"/>
      <c r="U452" s="1"/>
      <c r="V452" s="205"/>
      <c r="W452" s="205"/>
      <c r="X452" s="205"/>
      <c r="Y452" s="183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ht="16.5" customHeight="1">
      <c r="A453" s="1"/>
      <c r="B453" s="1"/>
      <c r="C453" s="199"/>
      <c r="D453" s="1"/>
      <c r="E453" s="1"/>
      <c r="F453" s="1"/>
      <c r="G453" s="199"/>
      <c r="H453" s="1"/>
      <c r="I453" s="1"/>
      <c r="J453" s="1"/>
      <c r="K453" s="1"/>
      <c r="L453" s="1"/>
      <c r="M453" s="1"/>
      <c r="N453" s="10"/>
      <c r="O453" s="10"/>
      <c r="P453" s="10"/>
      <c r="Q453" s="10"/>
      <c r="R453" s="10"/>
      <c r="S453" s="10"/>
      <c r="T453" s="10"/>
      <c r="U453" s="1"/>
      <c r="V453" s="205"/>
      <c r="W453" s="205"/>
      <c r="X453" s="205"/>
      <c r="Y453" s="183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ht="16.5" customHeight="1">
      <c r="A454" s="1"/>
      <c r="B454" s="1"/>
      <c r="C454" s="199"/>
      <c r="D454" s="1"/>
      <c r="E454" s="1"/>
      <c r="F454" s="1"/>
      <c r="G454" s="199"/>
      <c r="H454" s="1"/>
      <c r="I454" s="1"/>
      <c r="J454" s="1"/>
      <c r="K454" s="1"/>
      <c r="L454" s="1"/>
      <c r="M454" s="1"/>
      <c r="N454" s="10"/>
      <c r="O454" s="10"/>
      <c r="P454" s="10"/>
      <c r="Q454" s="10"/>
      <c r="R454" s="10"/>
      <c r="S454" s="10"/>
      <c r="T454" s="10"/>
      <c r="U454" s="1"/>
      <c r="V454" s="205"/>
      <c r="W454" s="205"/>
      <c r="X454" s="205"/>
      <c r="Y454" s="183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ht="16.5" customHeight="1">
      <c r="A455" s="1"/>
      <c r="B455" s="1"/>
      <c r="C455" s="199"/>
      <c r="D455" s="1"/>
      <c r="E455" s="1"/>
      <c r="F455" s="1"/>
      <c r="G455" s="199"/>
      <c r="H455" s="1"/>
      <c r="I455" s="1"/>
      <c r="J455" s="1"/>
      <c r="K455" s="1"/>
      <c r="L455" s="1"/>
      <c r="M455" s="1"/>
      <c r="N455" s="10"/>
      <c r="O455" s="10"/>
      <c r="P455" s="10"/>
      <c r="Q455" s="10"/>
      <c r="R455" s="10"/>
      <c r="S455" s="10"/>
      <c r="T455" s="10"/>
      <c r="U455" s="1"/>
      <c r="V455" s="205"/>
      <c r="W455" s="205"/>
      <c r="X455" s="205"/>
      <c r="Y455" s="183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ht="16.5" customHeight="1">
      <c r="A456" s="1"/>
      <c r="B456" s="1"/>
      <c r="C456" s="199"/>
      <c r="D456" s="1"/>
      <c r="E456" s="1"/>
      <c r="F456" s="1"/>
      <c r="G456" s="199"/>
      <c r="H456" s="1"/>
      <c r="I456" s="1"/>
      <c r="J456" s="1"/>
      <c r="K456" s="1"/>
      <c r="L456" s="1"/>
      <c r="M456" s="1"/>
      <c r="N456" s="10"/>
      <c r="O456" s="10"/>
      <c r="P456" s="10"/>
      <c r="Q456" s="10"/>
      <c r="R456" s="10"/>
      <c r="S456" s="10"/>
      <c r="T456" s="10"/>
      <c r="U456" s="1"/>
      <c r="V456" s="205"/>
      <c r="W456" s="205"/>
      <c r="X456" s="205"/>
      <c r="Y456" s="183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ht="16.5" customHeight="1">
      <c r="A457" s="1"/>
      <c r="B457" s="1"/>
      <c r="C457" s="199"/>
      <c r="D457" s="1"/>
      <c r="E457" s="1"/>
      <c r="F457" s="1"/>
      <c r="G457" s="199"/>
      <c r="H457" s="1"/>
      <c r="I457" s="1"/>
      <c r="J457" s="1"/>
      <c r="K457" s="1"/>
      <c r="L457" s="1"/>
      <c r="M457" s="1"/>
      <c r="N457" s="10"/>
      <c r="O457" s="10"/>
      <c r="P457" s="10"/>
      <c r="Q457" s="10"/>
      <c r="R457" s="10"/>
      <c r="S457" s="10"/>
      <c r="T457" s="10"/>
      <c r="U457" s="1"/>
      <c r="V457" s="205"/>
      <c r="W457" s="205"/>
      <c r="X457" s="205"/>
      <c r="Y457" s="183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 ht="16.5" customHeight="1">
      <c r="A458" s="1"/>
      <c r="B458" s="1"/>
      <c r="C458" s="199"/>
      <c r="D458" s="1"/>
      <c r="E458" s="1"/>
      <c r="F458" s="1"/>
      <c r="G458" s="199"/>
      <c r="H458" s="1"/>
      <c r="I458" s="1"/>
      <c r="J458" s="1"/>
      <c r="K458" s="1"/>
      <c r="L458" s="1"/>
      <c r="M458" s="1"/>
      <c r="N458" s="10"/>
      <c r="O458" s="10"/>
      <c r="P458" s="10"/>
      <c r="Q458" s="10"/>
      <c r="R458" s="10"/>
      <c r="S458" s="10"/>
      <c r="T458" s="10"/>
      <c r="U458" s="1"/>
      <c r="V458" s="205"/>
      <c r="W458" s="205"/>
      <c r="X458" s="205"/>
      <c r="Y458" s="183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 ht="16.5" customHeight="1">
      <c r="A459" s="1"/>
      <c r="B459" s="1"/>
      <c r="C459" s="199"/>
      <c r="D459" s="1"/>
      <c r="E459" s="1"/>
      <c r="F459" s="1"/>
      <c r="G459" s="199"/>
      <c r="H459" s="1"/>
      <c r="I459" s="1"/>
      <c r="J459" s="1"/>
      <c r="K459" s="1"/>
      <c r="L459" s="1"/>
      <c r="M459" s="1"/>
      <c r="N459" s="10"/>
      <c r="O459" s="10"/>
      <c r="P459" s="10"/>
      <c r="Q459" s="10"/>
      <c r="R459" s="10"/>
      <c r="S459" s="10"/>
      <c r="T459" s="10"/>
      <c r="U459" s="1"/>
      <c r="V459" s="205"/>
      <c r="W459" s="205"/>
      <c r="X459" s="205"/>
      <c r="Y459" s="183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ht="16.5" customHeight="1">
      <c r="A460" s="1"/>
      <c r="B460" s="1"/>
      <c r="C460" s="199"/>
      <c r="D460" s="1"/>
      <c r="E460" s="1"/>
      <c r="F460" s="1"/>
      <c r="G460" s="199"/>
      <c r="H460" s="1"/>
      <c r="I460" s="1"/>
      <c r="J460" s="1"/>
      <c r="K460" s="1"/>
      <c r="L460" s="1"/>
      <c r="M460" s="1"/>
      <c r="N460" s="10"/>
      <c r="O460" s="10"/>
      <c r="P460" s="10"/>
      <c r="Q460" s="10"/>
      <c r="R460" s="10"/>
      <c r="S460" s="10"/>
      <c r="T460" s="10"/>
      <c r="U460" s="1"/>
      <c r="V460" s="205"/>
      <c r="W460" s="205"/>
      <c r="X460" s="205"/>
      <c r="Y460" s="183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 ht="16.5" customHeight="1">
      <c r="A461" s="1"/>
      <c r="B461" s="1"/>
      <c r="C461" s="199"/>
      <c r="D461" s="1"/>
      <c r="E461" s="1"/>
      <c r="F461" s="1"/>
      <c r="G461" s="199"/>
      <c r="H461" s="1"/>
      <c r="I461" s="1"/>
      <c r="J461" s="1"/>
      <c r="K461" s="1"/>
      <c r="L461" s="1"/>
      <c r="M461" s="1"/>
      <c r="N461" s="10"/>
      <c r="O461" s="10"/>
      <c r="P461" s="10"/>
      <c r="Q461" s="10"/>
      <c r="R461" s="10"/>
      <c r="S461" s="10"/>
      <c r="T461" s="10"/>
      <c r="U461" s="1"/>
      <c r="V461" s="205"/>
      <c r="W461" s="205"/>
      <c r="X461" s="205"/>
      <c r="Y461" s="183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 ht="16.5" customHeight="1">
      <c r="A462" s="1"/>
      <c r="B462" s="1"/>
      <c r="C462" s="199"/>
      <c r="D462" s="1"/>
      <c r="E462" s="1"/>
      <c r="F462" s="1"/>
      <c r="G462" s="199"/>
      <c r="H462" s="1"/>
      <c r="I462" s="1"/>
      <c r="J462" s="1"/>
      <c r="K462" s="1"/>
      <c r="L462" s="1"/>
      <c r="M462" s="1"/>
      <c r="N462" s="10"/>
      <c r="O462" s="10"/>
      <c r="P462" s="10"/>
      <c r="Q462" s="10"/>
      <c r="R462" s="10"/>
      <c r="S462" s="10"/>
      <c r="T462" s="10"/>
      <c r="U462" s="1"/>
      <c r="V462" s="205"/>
      <c r="W462" s="205"/>
      <c r="X462" s="205"/>
      <c r="Y462" s="183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 ht="16.5" customHeight="1">
      <c r="A463" s="1"/>
      <c r="B463" s="1"/>
      <c r="C463" s="199"/>
      <c r="D463" s="1"/>
      <c r="E463" s="1"/>
      <c r="F463" s="1"/>
      <c r="G463" s="199"/>
      <c r="H463" s="1"/>
      <c r="I463" s="1"/>
      <c r="J463" s="1"/>
      <c r="K463" s="1"/>
      <c r="L463" s="1"/>
      <c r="M463" s="1"/>
      <c r="N463" s="10"/>
      <c r="O463" s="10"/>
      <c r="P463" s="10"/>
      <c r="Q463" s="10"/>
      <c r="R463" s="10"/>
      <c r="S463" s="10"/>
      <c r="T463" s="10"/>
      <c r="U463" s="1"/>
      <c r="V463" s="205"/>
      <c r="W463" s="205"/>
      <c r="X463" s="205"/>
      <c r="Y463" s="183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 ht="16.5" customHeight="1">
      <c r="A464" s="1"/>
      <c r="B464" s="1"/>
      <c r="C464" s="199"/>
      <c r="D464" s="1"/>
      <c r="E464" s="1"/>
      <c r="F464" s="1"/>
      <c r="G464" s="199"/>
      <c r="H464" s="1"/>
      <c r="I464" s="1"/>
      <c r="J464" s="1"/>
      <c r="K464" s="1"/>
      <c r="L464" s="1"/>
      <c r="M464" s="1"/>
      <c r="N464" s="10"/>
      <c r="O464" s="10"/>
      <c r="P464" s="10"/>
      <c r="Q464" s="10"/>
      <c r="R464" s="10"/>
      <c r="S464" s="10"/>
      <c r="T464" s="10"/>
      <c r="U464" s="1"/>
      <c r="V464" s="205"/>
      <c r="W464" s="205"/>
      <c r="X464" s="205"/>
      <c r="Y464" s="183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 ht="16.5" customHeight="1">
      <c r="A465" s="1"/>
      <c r="B465" s="1"/>
      <c r="C465" s="199"/>
      <c r="D465" s="1"/>
      <c r="E465" s="1"/>
      <c r="F465" s="1"/>
      <c r="G465" s="199"/>
      <c r="H465" s="1"/>
      <c r="I465" s="1"/>
      <c r="J465" s="1"/>
      <c r="K465" s="1"/>
      <c r="L465" s="1"/>
      <c r="M465" s="1"/>
      <c r="N465" s="10"/>
      <c r="O465" s="10"/>
      <c r="P465" s="10"/>
      <c r="Q465" s="10"/>
      <c r="R465" s="10"/>
      <c r="S465" s="10"/>
      <c r="T465" s="10"/>
      <c r="U465" s="1"/>
      <c r="V465" s="205"/>
      <c r="W465" s="205"/>
      <c r="X465" s="205"/>
      <c r="Y465" s="183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 ht="16.5" customHeight="1">
      <c r="A466" s="1"/>
      <c r="B466" s="1"/>
      <c r="C466" s="199"/>
      <c r="D466" s="1"/>
      <c r="E466" s="1"/>
      <c r="F466" s="1"/>
      <c r="G466" s="199"/>
      <c r="H466" s="1"/>
      <c r="I466" s="1"/>
      <c r="J466" s="1"/>
      <c r="K466" s="1"/>
      <c r="L466" s="1"/>
      <c r="M466" s="1"/>
      <c r="N466" s="10"/>
      <c r="O466" s="10"/>
      <c r="P466" s="10"/>
      <c r="Q466" s="10"/>
      <c r="R466" s="10"/>
      <c r="S466" s="10"/>
      <c r="T466" s="10"/>
      <c r="U466" s="1"/>
      <c r="V466" s="205"/>
      <c r="W466" s="205"/>
      <c r="X466" s="205"/>
      <c r="Y466" s="183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 ht="16.5" customHeight="1">
      <c r="A467" s="1"/>
      <c r="B467" s="1"/>
      <c r="C467" s="199"/>
      <c r="D467" s="1"/>
      <c r="E467" s="1"/>
      <c r="F467" s="1"/>
      <c r="G467" s="199"/>
      <c r="H467" s="1"/>
      <c r="I467" s="1"/>
      <c r="J467" s="1"/>
      <c r="K467" s="1"/>
      <c r="L467" s="1"/>
      <c r="M467" s="1"/>
      <c r="N467" s="10"/>
      <c r="O467" s="10"/>
      <c r="P467" s="10"/>
      <c r="Q467" s="10"/>
      <c r="R467" s="10"/>
      <c r="S467" s="10"/>
      <c r="T467" s="10"/>
      <c r="U467" s="1"/>
      <c r="V467" s="205"/>
      <c r="W467" s="205"/>
      <c r="X467" s="205"/>
      <c r="Y467" s="183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 ht="16.5" customHeight="1">
      <c r="A468" s="1"/>
      <c r="B468" s="1"/>
      <c r="C468" s="199"/>
      <c r="D468" s="1"/>
      <c r="E468" s="1"/>
      <c r="F468" s="1"/>
      <c r="G468" s="199"/>
      <c r="H468" s="1"/>
      <c r="I468" s="1"/>
      <c r="J468" s="1"/>
      <c r="K468" s="1"/>
      <c r="L468" s="1"/>
      <c r="M468" s="1"/>
      <c r="N468" s="10"/>
      <c r="O468" s="10"/>
      <c r="P468" s="10"/>
      <c r="Q468" s="10"/>
      <c r="R468" s="10"/>
      <c r="S468" s="10"/>
      <c r="T468" s="10"/>
      <c r="U468" s="1"/>
      <c r="V468" s="205"/>
      <c r="W468" s="205"/>
      <c r="X468" s="205"/>
      <c r="Y468" s="183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 ht="16.5" customHeight="1">
      <c r="A469" s="1"/>
      <c r="B469" s="1"/>
      <c r="C469" s="199"/>
      <c r="D469" s="1"/>
      <c r="E469" s="1"/>
      <c r="F469" s="1"/>
      <c r="G469" s="199"/>
      <c r="H469" s="1"/>
      <c r="I469" s="1"/>
      <c r="J469" s="1"/>
      <c r="K469" s="1"/>
      <c r="L469" s="1"/>
      <c r="M469" s="1"/>
      <c r="N469" s="10"/>
      <c r="O469" s="10"/>
      <c r="P469" s="10"/>
      <c r="Q469" s="10"/>
      <c r="R469" s="10"/>
      <c r="S469" s="10"/>
      <c r="T469" s="10"/>
      <c r="U469" s="1"/>
      <c r="V469" s="205"/>
      <c r="W469" s="205"/>
      <c r="X469" s="205"/>
      <c r="Y469" s="183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 ht="16.5" customHeight="1">
      <c r="A470" s="1"/>
      <c r="B470" s="1"/>
      <c r="C470" s="199"/>
      <c r="D470" s="1"/>
      <c r="E470" s="1"/>
      <c r="F470" s="1"/>
      <c r="G470" s="199"/>
      <c r="H470" s="1"/>
      <c r="I470" s="1"/>
      <c r="J470" s="1"/>
      <c r="K470" s="1"/>
      <c r="L470" s="1"/>
      <c r="M470" s="1"/>
      <c r="N470" s="10"/>
      <c r="O470" s="10"/>
      <c r="P470" s="10"/>
      <c r="Q470" s="10"/>
      <c r="R470" s="10"/>
      <c r="S470" s="10"/>
      <c r="T470" s="10"/>
      <c r="U470" s="1"/>
      <c r="V470" s="205"/>
      <c r="W470" s="205"/>
      <c r="X470" s="205"/>
      <c r="Y470" s="183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 ht="16.5" customHeight="1">
      <c r="A471" s="1"/>
      <c r="B471" s="1"/>
      <c r="C471" s="199"/>
      <c r="D471" s="1"/>
      <c r="E471" s="1"/>
      <c r="F471" s="1"/>
      <c r="G471" s="199"/>
      <c r="H471" s="1"/>
      <c r="I471" s="1"/>
      <c r="J471" s="1"/>
      <c r="K471" s="1"/>
      <c r="L471" s="1"/>
      <c r="M471" s="1"/>
      <c r="N471" s="10"/>
      <c r="O471" s="10"/>
      <c r="P471" s="10"/>
      <c r="Q471" s="10"/>
      <c r="R471" s="10"/>
      <c r="S471" s="10"/>
      <c r="T471" s="10"/>
      <c r="U471" s="1"/>
      <c r="V471" s="205"/>
      <c r="W471" s="205"/>
      <c r="X471" s="205"/>
      <c r="Y471" s="183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 ht="16.5" customHeight="1">
      <c r="A472" s="1"/>
      <c r="B472" s="1"/>
      <c r="C472" s="199"/>
      <c r="D472" s="1"/>
      <c r="E472" s="1"/>
      <c r="F472" s="1"/>
      <c r="G472" s="199"/>
      <c r="H472" s="1"/>
      <c r="I472" s="1"/>
      <c r="J472" s="1"/>
      <c r="K472" s="1"/>
      <c r="L472" s="1"/>
      <c r="M472" s="1"/>
      <c r="N472" s="10"/>
      <c r="O472" s="10"/>
      <c r="P472" s="10"/>
      <c r="Q472" s="10"/>
      <c r="R472" s="10"/>
      <c r="S472" s="10"/>
      <c r="T472" s="10"/>
      <c r="U472" s="1"/>
      <c r="V472" s="205"/>
      <c r="W472" s="205"/>
      <c r="X472" s="205"/>
      <c r="Y472" s="183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 ht="16.5" customHeight="1">
      <c r="A473" s="1"/>
      <c r="B473" s="1"/>
      <c r="C473" s="199"/>
      <c r="D473" s="1"/>
      <c r="E473" s="1"/>
      <c r="F473" s="1"/>
      <c r="G473" s="199"/>
      <c r="H473" s="1"/>
      <c r="I473" s="1"/>
      <c r="J473" s="1"/>
      <c r="K473" s="1"/>
      <c r="L473" s="1"/>
      <c r="M473" s="1"/>
      <c r="N473" s="10"/>
      <c r="O473" s="10"/>
      <c r="P473" s="10"/>
      <c r="Q473" s="10"/>
      <c r="R473" s="10"/>
      <c r="S473" s="10"/>
      <c r="T473" s="10"/>
      <c r="U473" s="1"/>
      <c r="V473" s="205"/>
      <c r="W473" s="205"/>
      <c r="X473" s="205"/>
      <c r="Y473" s="183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 ht="16.5" customHeight="1">
      <c r="A474" s="1"/>
      <c r="B474" s="1"/>
      <c r="C474" s="199"/>
      <c r="D474" s="1"/>
      <c r="E474" s="1"/>
      <c r="F474" s="1"/>
      <c r="G474" s="199"/>
      <c r="H474" s="1"/>
      <c r="I474" s="1"/>
      <c r="J474" s="1"/>
      <c r="K474" s="1"/>
      <c r="L474" s="1"/>
      <c r="M474" s="1"/>
      <c r="N474" s="10"/>
      <c r="O474" s="10"/>
      <c r="P474" s="10"/>
      <c r="Q474" s="10"/>
      <c r="R474" s="10"/>
      <c r="S474" s="10"/>
      <c r="T474" s="10"/>
      <c r="U474" s="1"/>
      <c r="V474" s="205"/>
      <c r="W474" s="205"/>
      <c r="X474" s="205"/>
      <c r="Y474" s="183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 ht="16.5" customHeight="1">
      <c r="A475" s="1"/>
      <c r="B475" s="1"/>
      <c r="C475" s="199"/>
      <c r="D475" s="1"/>
      <c r="E475" s="1"/>
      <c r="F475" s="1"/>
      <c r="G475" s="199"/>
      <c r="H475" s="1"/>
      <c r="I475" s="1"/>
      <c r="J475" s="1"/>
      <c r="K475" s="1"/>
      <c r="L475" s="1"/>
      <c r="M475" s="1"/>
      <c r="N475" s="10"/>
      <c r="O475" s="10"/>
      <c r="P475" s="10"/>
      <c r="Q475" s="10"/>
      <c r="R475" s="10"/>
      <c r="S475" s="10"/>
      <c r="T475" s="10"/>
      <c r="U475" s="1"/>
      <c r="V475" s="205"/>
      <c r="W475" s="205"/>
      <c r="X475" s="205"/>
      <c r="Y475" s="183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ht="16.5" customHeight="1">
      <c r="A476" s="1"/>
      <c r="B476" s="1"/>
      <c r="C476" s="199"/>
      <c r="D476" s="1"/>
      <c r="E476" s="1"/>
      <c r="F476" s="1"/>
      <c r="G476" s="199"/>
      <c r="H476" s="1"/>
      <c r="I476" s="1"/>
      <c r="J476" s="1"/>
      <c r="K476" s="1"/>
      <c r="L476" s="1"/>
      <c r="M476" s="1"/>
      <c r="N476" s="10"/>
      <c r="O476" s="10"/>
      <c r="P476" s="10"/>
      <c r="Q476" s="10"/>
      <c r="R476" s="10"/>
      <c r="S476" s="10"/>
      <c r="T476" s="10"/>
      <c r="U476" s="1"/>
      <c r="V476" s="205"/>
      <c r="W476" s="205"/>
      <c r="X476" s="205"/>
      <c r="Y476" s="183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ht="16.5" customHeight="1">
      <c r="A477" s="1"/>
      <c r="B477" s="1"/>
      <c r="C477" s="199"/>
      <c r="D477" s="1"/>
      <c r="E477" s="1"/>
      <c r="F477" s="1"/>
      <c r="G477" s="199"/>
      <c r="H477" s="1"/>
      <c r="I477" s="1"/>
      <c r="J477" s="1"/>
      <c r="K477" s="1"/>
      <c r="L477" s="1"/>
      <c r="M477" s="1"/>
      <c r="N477" s="10"/>
      <c r="O477" s="10"/>
      <c r="P477" s="10"/>
      <c r="Q477" s="10"/>
      <c r="R477" s="10"/>
      <c r="S477" s="10"/>
      <c r="T477" s="10"/>
      <c r="U477" s="1"/>
      <c r="V477" s="205"/>
      <c r="W477" s="205"/>
      <c r="X477" s="205"/>
      <c r="Y477" s="183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 ht="16.5" customHeight="1">
      <c r="A478" s="1"/>
      <c r="B478" s="1"/>
      <c r="C478" s="199"/>
      <c r="D478" s="1"/>
      <c r="E478" s="1"/>
      <c r="F478" s="1"/>
      <c r="G478" s="199"/>
      <c r="H478" s="1"/>
      <c r="I478" s="1"/>
      <c r="J478" s="1"/>
      <c r="K478" s="1"/>
      <c r="L478" s="1"/>
      <c r="M478" s="1"/>
      <c r="N478" s="10"/>
      <c r="O478" s="10"/>
      <c r="P478" s="10"/>
      <c r="Q478" s="10"/>
      <c r="R478" s="10"/>
      <c r="S478" s="10"/>
      <c r="T478" s="10"/>
      <c r="U478" s="1"/>
      <c r="V478" s="205"/>
      <c r="W478" s="205"/>
      <c r="X478" s="205"/>
      <c r="Y478" s="183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 ht="16.5" customHeight="1">
      <c r="A479" s="1"/>
      <c r="B479" s="1"/>
      <c r="C479" s="199"/>
      <c r="D479" s="1"/>
      <c r="E479" s="1"/>
      <c r="F479" s="1"/>
      <c r="G479" s="199"/>
      <c r="H479" s="1"/>
      <c r="I479" s="1"/>
      <c r="J479" s="1"/>
      <c r="K479" s="1"/>
      <c r="L479" s="1"/>
      <c r="M479" s="1"/>
      <c r="N479" s="10"/>
      <c r="O479" s="10"/>
      <c r="P479" s="10"/>
      <c r="Q479" s="10"/>
      <c r="R479" s="10"/>
      <c r="S479" s="10"/>
      <c r="T479" s="10"/>
      <c r="U479" s="1"/>
      <c r="V479" s="205"/>
      <c r="W479" s="205"/>
      <c r="X479" s="205"/>
      <c r="Y479" s="183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 ht="16.5" customHeight="1">
      <c r="A480" s="1"/>
      <c r="B480" s="1"/>
      <c r="C480" s="199"/>
      <c r="D480" s="1"/>
      <c r="E480" s="1"/>
      <c r="F480" s="1"/>
      <c r="G480" s="199"/>
      <c r="H480" s="1"/>
      <c r="I480" s="1"/>
      <c r="J480" s="1"/>
      <c r="K480" s="1"/>
      <c r="L480" s="1"/>
      <c r="M480" s="1"/>
      <c r="N480" s="10"/>
      <c r="O480" s="10"/>
      <c r="P480" s="10"/>
      <c r="Q480" s="10"/>
      <c r="R480" s="10"/>
      <c r="S480" s="10"/>
      <c r="T480" s="10"/>
      <c r="U480" s="1"/>
      <c r="V480" s="205"/>
      <c r="W480" s="205"/>
      <c r="X480" s="205"/>
      <c r="Y480" s="183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ht="16.5" customHeight="1">
      <c r="A481" s="1"/>
      <c r="B481" s="1"/>
      <c r="C481" s="199"/>
      <c r="D481" s="1"/>
      <c r="E481" s="1"/>
      <c r="F481" s="1"/>
      <c r="G481" s="199"/>
      <c r="H481" s="1"/>
      <c r="I481" s="1"/>
      <c r="J481" s="1"/>
      <c r="K481" s="1"/>
      <c r="L481" s="1"/>
      <c r="M481" s="1"/>
      <c r="N481" s="10"/>
      <c r="O481" s="10"/>
      <c r="P481" s="10"/>
      <c r="Q481" s="10"/>
      <c r="R481" s="10"/>
      <c r="S481" s="10"/>
      <c r="T481" s="10"/>
      <c r="U481" s="1"/>
      <c r="V481" s="205"/>
      <c r="W481" s="205"/>
      <c r="X481" s="205"/>
      <c r="Y481" s="183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ht="16.5" customHeight="1">
      <c r="A482" s="1"/>
      <c r="B482" s="1"/>
      <c r="C482" s="199"/>
      <c r="D482" s="1"/>
      <c r="E482" s="1"/>
      <c r="F482" s="1"/>
      <c r="G482" s="199"/>
      <c r="H482" s="1"/>
      <c r="I482" s="1"/>
      <c r="J482" s="1"/>
      <c r="K482" s="1"/>
      <c r="L482" s="1"/>
      <c r="M482" s="1"/>
      <c r="N482" s="10"/>
      <c r="O482" s="10"/>
      <c r="P482" s="10"/>
      <c r="Q482" s="10"/>
      <c r="R482" s="10"/>
      <c r="S482" s="10"/>
      <c r="T482" s="10"/>
      <c r="U482" s="1"/>
      <c r="V482" s="205"/>
      <c r="W482" s="205"/>
      <c r="X482" s="205"/>
      <c r="Y482" s="183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 ht="16.5" customHeight="1">
      <c r="A483" s="1"/>
      <c r="B483" s="1"/>
      <c r="C483" s="199"/>
      <c r="D483" s="1"/>
      <c r="E483" s="1"/>
      <c r="F483" s="1"/>
      <c r="G483" s="199"/>
      <c r="H483" s="1"/>
      <c r="I483" s="1"/>
      <c r="J483" s="1"/>
      <c r="K483" s="1"/>
      <c r="L483" s="1"/>
      <c r="M483" s="1"/>
      <c r="N483" s="10"/>
      <c r="O483" s="10"/>
      <c r="P483" s="10"/>
      <c r="Q483" s="10"/>
      <c r="R483" s="10"/>
      <c r="S483" s="10"/>
      <c r="T483" s="10"/>
      <c r="U483" s="1"/>
      <c r="V483" s="205"/>
      <c r="W483" s="205"/>
      <c r="X483" s="205"/>
      <c r="Y483" s="183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ht="16.5" customHeight="1">
      <c r="A484" s="1"/>
      <c r="B484" s="1"/>
      <c r="C484" s="199"/>
      <c r="D484" s="1"/>
      <c r="E484" s="1"/>
      <c r="F484" s="1"/>
      <c r="G484" s="199"/>
      <c r="H484" s="1"/>
      <c r="I484" s="1"/>
      <c r="J484" s="1"/>
      <c r="K484" s="1"/>
      <c r="L484" s="1"/>
      <c r="M484" s="1"/>
      <c r="N484" s="10"/>
      <c r="O484" s="10"/>
      <c r="P484" s="10"/>
      <c r="Q484" s="10"/>
      <c r="R484" s="10"/>
      <c r="S484" s="10"/>
      <c r="T484" s="10"/>
      <c r="U484" s="1"/>
      <c r="V484" s="205"/>
      <c r="W484" s="205"/>
      <c r="X484" s="205"/>
      <c r="Y484" s="183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 ht="16.5" customHeight="1">
      <c r="A485" s="1"/>
      <c r="B485" s="1"/>
      <c r="C485" s="199"/>
      <c r="D485" s="1"/>
      <c r="E485" s="1"/>
      <c r="F485" s="1"/>
      <c r="G485" s="199"/>
      <c r="H485" s="1"/>
      <c r="I485" s="1"/>
      <c r="J485" s="1"/>
      <c r="K485" s="1"/>
      <c r="L485" s="1"/>
      <c r="M485" s="1"/>
      <c r="N485" s="10"/>
      <c r="O485" s="10"/>
      <c r="P485" s="10"/>
      <c r="Q485" s="10"/>
      <c r="R485" s="10"/>
      <c r="S485" s="10"/>
      <c r="T485" s="10"/>
      <c r="U485" s="1"/>
      <c r="V485" s="205"/>
      <c r="W485" s="205"/>
      <c r="X485" s="205"/>
      <c r="Y485" s="183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ht="16.5" customHeight="1">
      <c r="A486" s="1"/>
      <c r="B486" s="1"/>
      <c r="C486" s="199"/>
      <c r="D486" s="1"/>
      <c r="E486" s="1"/>
      <c r="F486" s="1"/>
      <c r="G486" s="199"/>
      <c r="H486" s="1"/>
      <c r="I486" s="1"/>
      <c r="J486" s="1"/>
      <c r="K486" s="1"/>
      <c r="L486" s="1"/>
      <c r="M486" s="1"/>
      <c r="N486" s="10"/>
      <c r="O486" s="10"/>
      <c r="P486" s="10"/>
      <c r="Q486" s="10"/>
      <c r="R486" s="10"/>
      <c r="S486" s="10"/>
      <c r="T486" s="10"/>
      <c r="U486" s="1"/>
      <c r="V486" s="205"/>
      <c r="W486" s="205"/>
      <c r="X486" s="205"/>
      <c r="Y486" s="183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ht="16.5" customHeight="1">
      <c r="A487" s="1"/>
      <c r="B487" s="1"/>
      <c r="C487" s="199"/>
      <c r="D487" s="1"/>
      <c r="E487" s="1"/>
      <c r="F487" s="1"/>
      <c r="G487" s="199"/>
      <c r="H487" s="1"/>
      <c r="I487" s="1"/>
      <c r="J487" s="1"/>
      <c r="K487" s="1"/>
      <c r="L487" s="1"/>
      <c r="M487" s="1"/>
      <c r="N487" s="10"/>
      <c r="O487" s="10"/>
      <c r="P487" s="10"/>
      <c r="Q487" s="10"/>
      <c r="R487" s="10"/>
      <c r="S487" s="10"/>
      <c r="T487" s="10"/>
      <c r="U487" s="1"/>
      <c r="V487" s="205"/>
      <c r="W487" s="205"/>
      <c r="X487" s="205"/>
      <c r="Y487" s="183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ht="16.5" customHeight="1">
      <c r="A488" s="1"/>
      <c r="B488" s="1"/>
      <c r="C488" s="199"/>
      <c r="D488" s="1"/>
      <c r="E488" s="1"/>
      <c r="F488" s="1"/>
      <c r="G488" s="199"/>
      <c r="H488" s="1"/>
      <c r="I488" s="1"/>
      <c r="J488" s="1"/>
      <c r="K488" s="1"/>
      <c r="L488" s="1"/>
      <c r="M488" s="1"/>
      <c r="N488" s="10"/>
      <c r="O488" s="10"/>
      <c r="P488" s="10"/>
      <c r="Q488" s="10"/>
      <c r="R488" s="10"/>
      <c r="S488" s="10"/>
      <c r="T488" s="10"/>
      <c r="U488" s="1"/>
      <c r="V488" s="205"/>
      <c r="W488" s="205"/>
      <c r="X488" s="205"/>
      <c r="Y488" s="183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 ht="16.5" customHeight="1">
      <c r="A489" s="1"/>
      <c r="B489" s="1"/>
      <c r="C489" s="199"/>
      <c r="D489" s="1"/>
      <c r="E489" s="1"/>
      <c r="F489" s="1"/>
      <c r="G489" s="199"/>
      <c r="H489" s="1"/>
      <c r="I489" s="1"/>
      <c r="J489" s="1"/>
      <c r="K489" s="1"/>
      <c r="L489" s="1"/>
      <c r="M489" s="1"/>
      <c r="N489" s="10"/>
      <c r="O489" s="10"/>
      <c r="P489" s="10"/>
      <c r="Q489" s="10"/>
      <c r="R489" s="10"/>
      <c r="S489" s="10"/>
      <c r="T489" s="10"/>
      <c r="U489" s="1"/>
      <c r="V489" s="205"/>
      <c r="W489" s="205"/>
      <c r="X489" s="205"/>
      <c r="Y489" s="183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 ht="16.5" customHeight="1">
      <c r="A490" s="1"/>
      <c r="B490" s="1"/>
      <c r="C490" s="199"/>
      <c r="D490" s="1"/>
      <c r="E490" s="1"/>
      <c r="F490" s="1"/>
      <c r="G490" s="199"/>
      <c r="H490" s="1"/>
      <c r="I490" s="1"/>
      <c r="J490" s="1"/>
      <c r="K490" s="1"/>
      <c r="L490" s="1"/>
      <c r="M490" s="1"/>
      <c r="N490" s="10"/>
      <c r="O490" s="10"/>
      <c r="P490" s="10"/>
      <c r="Q490" s="10"/>
      <c r="R490" s="10"/>
      <c r="S490" s="10"/>
      <c r="T490" s="10"/>
      <c r="U490" s="1"/>
      <c r="V490" s="205"/>
      <c r="W490" s="205"/>
      <c r="X490" s="205"/>
      <c r="Y490" s="183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 ht="16.5" customHeight="1">
      <c r="A491" s="1"/>
      <c r="B491" s="1"/>
      <c r="C491" s="199"/>
      <c r="D491" s="1"/>
      <c r="E491" s="1"/>
      <c r="F491" s="1"/>
      <c r="G491" s="199"/>
      <c r="H491" s="1"/>
      <c r="I491" s="1"/>
      <c r="J491" s="1"/>
      <c r="K491" s="1"/>
      <c r="L491" s="1"/>
      <c r="M491" s="1"/>
      <c r="N491" s="10"/>
      <c r="O491" s="10"/>
      <c r="P491" s="10"/>
      <c r="Q491" s="10"/>
      <c r="R491" s="10"/>
      <c r="S491" s="10"/>
      <c r="T491" s="10"/>
      <c r="U491" s="1"/>
      <c r="V491" s="205"/>
      <c r="W491" s="205"/>
      <c r="X491" s="205"/>
      <c r="Y491" s="183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ht="16.5" customHeight="1">
      <c r="A492" s="1"/>
      <c r="B492" s="1"/>
      <c r="C492" s="199"/>
      <c r="D492" s="1"/>
      <c r="E492" s="1"/>
      <c r="F492" s="1"/>
      <c r="G492" s="199"/>
      <c r="H492" s="1"/>
      <c r="I492" s="1"/>
      <c r="J492" s="1"/>
      <c r="K492" s="1"/>
      <c r="L492" s="1"/>
      <c r="M492" s="1"/>
      <c r="N492" s="10"/>
      <c r="O492" s="10"/>
      <c r="P492" s="10"/>
      <c r="Q492" s="10"/>
      <c r="R492" s="10"/>
      <c r="S492" s="10"/>
      <c r="T492" s="10"/>
      <c r="U492" s="1"/>
      <c r="V492" s="205"/>
      <c r="W492" s="205"/>
      <c r="X492" s="205"/>
      <c r="Y492" s="183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ht="16.5" customHeight="1">
      <c r="A493" s="1"/>
      <c r="B493" s="1"/>
      <c r="C493" s="199"/>
      <c r="D493" s="1"/>
      <c r="E493" s="1"/>
      <c r="F493" s="1"/>
      <c r="G493" s="199"/>
      <c r="H493" s="1"/>
      <c r="I493" s="1"/>
      <c r="J493" s="1"/>
      <c r="K493" s="1"/>
      <c r="L493" s="1"/>
      <c r="M493" s="1"/>
      <c r="N493" s="10"/>
      <c r="O493" s="10"/>
      <c r="P493" s="10"/>
      <c r="Q493" s="10"/>
      <c r="R493" s="10"/>
      <c r="S493" s="10"/>
      <c r="T493" s="10"/>
      <c r="U493" s="1"/>
      <c r="V493" s="205"/>
      <c r="W493" s="205"/>
      <c r="X493" s="205"/>
      <c r="Y493" s="183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ht="16.5" customHeight="1">
      <c r="A494" s="1"/>
      <c r="B494" s="1"/>
      <c r="C494" s="199"/>
      <c r="D494" s="1"/>
      <c r="E494" s="1"/>
      <c r="F494" s="1"/>
      <c r="G494" s="199"/>
      <c r="H494" s="1"/>
      <c r="I494" s="1"/>
      <c r="J494" s="1"/>
      <c r="K494" s="1"/>
      <c r="L494" s="1"/>
      <c r="M494" s="1"/>
      <c r="N494" s="10"/>
      <c r="O494" s="10"/>
      <c r="P494" s="10"/>
      <c r="Q494" s="10"/>
      <c r="R494" s="10"/>
      <c r="S494" s="10"/>
      <c r="T494" s="10"/>
      <c r="U494" s="1"/>
      <c r="V494" s="205"/>
      <c r="W494" s="205"/>
      <c r="X494" s="205"/>
      <c r="Y494" s="183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ht="16.5" customHeight="1">
      <c r="A495" s="1"/>
      <c r="B495" s="1"/>
      <c r="C495" s="199"/>
      <c r="D495" s="1"/>
      <c r="E495" s="1"/>
      <c r="F495" s="1"/>
      <c r="G495" s="199"/>
      <c r="H495" s="1"/>
      <c r="I495" s="1"/>
      <c r="J495" s="1"/>
      <c r="K495" s="1"/>
      <c r="L495" s="1"/>
      <c r="M495" s="1"/>
      <c r="N495" s="10"/>
      <c r="O495" s="10"/>
      <c r="P495" s="10"/>
      <c r="Q495" s="10"/>
      <c r="R495" s="10"/>
      <c r="S495" s="10"/>
      <c r="T495" s="10"/>
      <c r="U495" s="1"/>
      <c r="V495" s="205"/>
      <c r="W495" s="205"/>
      <c r="X495" s="205"/>
      <c r="Y495" s="183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ht="16.5" customHeight="1">
      <c r="A496" s="1"/>
      <c r="B496" s="1"/>
      <c r="C496" s="199"/>
      <c r="D496" s="1"/>
      <c r="E496" s="1"/>
      <c r="F496" s="1"/>
      <c r="G496" s="199"/>
      <c r="H496" s="1"/>
      <c r="I496" s="1"/>
      <c r="J496" s="1"/>
      <c r="K496" s="1"/>
      <c r="L496" s="1"/>
      <c r="M496" s="1"/>
      <c r="N496" s="10"/>
      <c r="O496" s="10"/>
      <c r="P496" s="10"/>
      <c r="Q496" s="10"/>
      <c r="R496" s="10"/>
      <c r="S496" s="10"/>
      <c r="T496" s="10"/>
      <c r="U496" s="1"/>
      <c r="V496" s="205"/>
      <c r="W496" s="205"/>
      <c r="X496" s="205"/>
      <c r="Y496" s="183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ht="16.5" customHeight="1">
      <c r="A497" s="1"/>
      <c r="B497" s="1"/>
      <c r="C497" s="199"/>
      <c r="D497" s="1"/>
      <c r="E497" s="1"/>
      <c r="F497" s="1"/>
      <c r="G497" s="199"/>
      <c r="H497" s="1"/>
      <c r="I497" s="1"/>
      <c r="J497" s="1"/>
      <c r="K497" s="1"/>
      <c r="L497" s="1"/>
      <c r="M497" s="1"/>
      <c r="N497" s="10"/>
      <c r="O497" s="10"/>
      <c r="P497" s="10"/>
      <c r="Q497" s="10"/>
      <c r="R497" s="10"/>
      <c r="S497" s="10"/>
      <c r="T497" s="10"/>
      <c r="U497" s="1"/>
      <c r="V497" s="205"/>
      <c r="W497" s="205"/>
      <c r="X497" s="205"/>
      <c r="Y497" s="183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 ht="16.5" customHeight="1">
      <c r="A498" s="1"/>
      <c r="B498" s="1"/>
      <c r="C498" s="199"/>
      <c r="D498" s="1"/>
      <c r="E498" s="1"/>
      <c r="F498" s="1"/>
      <c r="G498" s="199"/>
      <c r="H498" s="1"/>
      <c r="I498" s="1"/>
      <c r="J498" s="1"/>
      <c r="K498" s="1"/>
      <c r="L498" s="1"/>
      <c r="M498" s="1"/>
      <c r="N498" s="10"/>
      <c r="O498" s="10"/>
      <c r="P498" s="10"/>
      <c r="Q498" s="10"/>
      <c r="R498" s="10"/>
      <c r="S498" s="10"/>
      <c r="T498" s="10"/>
      <c r="U498" s="1"/>
      <c r="V498" s="205"/>
      <c r="W498" s="205"/>
      <c r="X498" s="205"/>
      <c r="Y498" s="183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ht="16.5" customHeight="1">
      <c r="A499" s="1"/>
      <c r="B499" s="1"/>
      <c r="C499" s="199"/>
      <c r="D499" s="1"/>
      <c r="E499" s="1"/>
      <c r="F499" s="1"/>
      <c r="G499" s="199"/>
      <c r="H499" s="1"/>
      <c r="I499" s="1"/>
      <c r="J499" s="1"/>
      <c r="K499" s="1"/>
      <c r="L499" s="1"/>
      <c r="M499" s="1"/>
      <c r="N499" s="10"/>
      <c r="O499" s="10"/>
      <c r="P499" s="10"/>
      <c r="Q499" s="10"/>
      <c r="R499" s="10"/>
      <c r="S499" s="10"/>
      <c r="T499" s="10"/>
      <c r="U499" s="1"/>
      <c r="V499" s="205"/>
      <c r="W499" s="205"/>
      <c r="X499" s="205"/>
      <c r="Y499" s="183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ht="16.5" customHeight="1">
      <c r="A500" s="1"/>
      <c r="B500" s="1"/>
      <c r="C500" s="199"/>
      <c r="D500" s="1"/>
      <c r="E500" s="1"/>
      <c r="F500" s="1"/>
      <c r="G500" s="199"/>
      <c r="H500" s="1"/>
      <c r="I500" s="1"/>
      <c r="J500" s="1"/>
      <c r="K500" s="1"/>
      <c r="L500" s="1"/>
      <c r="M500" s="1"/>
      <c r="N500" s="10"/>
      <c r="O500" s="10"/>
      <c r="P500" s="10"/>
      <c r="Q500" s="10"/>
      <c r="R500" s="10"/>
      <c r="S500" s="10"/>
      <c r="T500" s="10"/>
      <c r="U500" s="1"/>
      <c r="V500" s="205"/>
      <c r="W500" s="205"/>
      <c r="X500" s="205"/>
      <c r="Y500" s="183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 ht="16.5" customHeight="1">
      <c r="A501" s="1"/>
      <c r="B501" s="1"/>
      <c r="C501" s="199"/>
      <c r="D501" s="1"/>
      <c r="E501" s="1"/>
      <c r="F501" s="1"/>
      <c r="G501" s="199"/>
      <c r="H501" s="1"/>
      <c r="I501" s="1"/>
      <c r="J501" s="1"/>
      <c r="K501" s="1"/>
      <c r="L501" s="1"/>
      <c r="M501" s="1"/>
      <c r="N501" s="10"/>
      <c r="O501" s="10"/>
      <c r="P501" s="10"/>
      <c r="Q501" s="10"/>
      <c r="R501" s="10"/>
      <c r="S501" s="10"/>
      <c r="T501" s="10"/>
      <c r="U501" s="1"/>
      <c r="V501" s="205"/>
      <c r="W501" s="205"/>
      <c r="X501" s="205"/>
      <c r="Y501" s="183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ht="16.5" customHeight="1">
      <c r="A502" s="1"/>
      <c r="B502" s="1"/>
      <c r="C502" s="199"/>
      <c r="D502" s="1"/>
      <c r="E502" s="1"/>
      <c r="F502" s="1"/>
      <c r="G502" s="199"/>
      <c r="H502" s="1"/>
      <c r="I502" s="1"/>
      <c r="J502" s="1"/>
      <c r="K502" s="1"/>
      <c r="L502" s="1"/>
      <c r="M502" s="1"/>
      <c r="N502" s="10"/>
      <c r="O502" s="10"/>
      <c r="P502" s="10"/>
      <c r="Q502" s="10"/>
      <c r="R502" s="10"/>
      <c r="S502" s="10"/>
      <c r="T502" s="10"/>
      <c r="U502" s="1"/>
      <c r="V502" s="205"/>
      <c r="W502" s="205"/>
      <c r="X502" s="205"/>
      <c r="Y502" s="183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 ht="16.5" customHeight="1">
      <c r="A503" s="1"/>
      <c r="B503" s="1"/>
      <c r="C503" s="199"/>
      <c r="D503" s="1"/>
      <c r="E503" s="1"/>
      <c r="F503" s="1"/>
      <c r="G503" s="199"/>
      <c r="H503" s="1"/>
      <c r="I503" s="1"/>
      <c r="J503" s="1"/>
      <c r="K503" s="1"/>
      <c r="L503" s="1"/>
      <c r="M503" s="1"/>
      <c r="N503" s="10"/>
      <c r="O503" s="10"/>
      <c r="P503" s="10"/>
      <c r="Q503" s="10"/>
      <c r="R503" s="10"/>
      <c r="S503" s="10"/>
      <c r="T503" s="10"/>
      <c r="U503" s="1"/>
      <c r="V503" s="205"/>
      <c r="W503" s="205"/>
      <c r="X503" s="205"/>
      <c r="Y503" s="183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ht="16.5" customHeight="1">
      <c r="A504" s="1"/>
      <c r="B504" s="1"/>
      <c r="C504" s="199"/>
      <c r="D504" s="1"/>
      <c r="E504" s="1"/>
      <c r="F504" s="1"/>
      <c r="G504" s="199"/>
      <c r="H504" s="1"/>
      <c r="I504" s="1"/>
      <c r="J504" s="1"/>
      <c r="K504" s="1"/>
      <c r="L504" s="1"/>
      <c r="M504" s="1"/>
      <c r="N504" s="10"/>
      <c r="O504" s="10"/>
      <c r="P504" s="10"/>
      <c r="Q504" s="10"/>
      <c r="R504" s="10"/>
      <c r="S504" s="10"/>
      <c r="T504" s="10"/>
      <c r="U504" s="1"/>
      <c r="V504" s="205"/>
      <c r="W504" s="205"/>
      <c r="X504" s="205"/>
      <c r="Y504" s="183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ht="16.5" customHeight="1">
      <c r="A505" s="1"/>
      <c r="B505" s="1"/>
      <c r="C505" s="199"/>
      <c r="D505" s="1"/>
      <c r="E505" s="1"/>
      <c r="F505" s="1"/>
      <c r="G505" s="199"/>
      <c r="H505" s="1"/>
      <c r="I505" s="1"/>
      <c r="J505" s="1"/>
      <c r="K505" s="1"/>
      <c r="L505" s="1"/>
      <c r="M505" s="1"/>
      <c r="N505" s="10"/>
      <c r="O505" s="10"/>
      <c r="P505" s="10"/>
      <c r="Q505" s="10"/>
      <c r="R505" s="10"/>
      <c r="S505" s="10"/>
      <c r="T505" s="10"/>
      <c r="U505" s="1"/>
      <c r="V505" s="205"/>
      <c r="W505" s="205"/>
      <c r="X505" s="205"/>
      <c r="Y505" s="183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 ht="16.5" customHeight="1">
      <c r="A506" s="1"/>
      <c r="B506" s="1"/>
      <c r="C506" s="199"/>
      <c r="D506" s="1"/>
      <c r="E506" s="1"/>
      <c r="F506" s="1"/>
      <c r="G506" s="199"/>
      <c r="H506" s="1"/>
      <c r="I506" s="1"/>
      <c r="J506" s="1"/>
      <c r="K506" s="1"/>
      <c r="L506" s="1"/>
      <c r="M506" s="1"/>
      <c r="N506" s="10"/>
      <c r="O506" s="10"/>
      <c r="P506" s="10"/>
      <c r="Q506" s="10"/>
      <c r="R506" s="10"/>
      <c r="S506" s="10"/>
      <c r="T506" s="10"/>
      <c r="U506" s="1"/>
      <c r="V506" s="205"/>
      <c r="W506" s="205"/>
      <c r="X506" s="205"/>
      <c r="Y506" s="183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 ht="16.5" customHeight="1">
      <c r="A507" s="1"/>
      <c r="B507" s="1"/>
      <c r="C507" s="199"/>
      <c r="D507" s="1"/>
      <c r="E507" s="1"/>
      <c r="F507" s="1"/>
      <c r="G507" s="199"/>
      <c r="H507" s="1"/>
      <c r="I507" s="1"/>
      <c r="J507" s="1"/>
      <c r="K507" s="1"/>
      <c r="L507" s="1"/>
      <c r="M507" s="1"/>
      <c r="N507" s="10"/>
      <c r="O507" s="10"/>
      <c r="P507" s="10"/>
      <c r="Q507" s="10"/>
      <c r="R507" s="10"/>
      <c r="S507" s="10"/>
      <c r="T507" s="10"/>
      <c r="U507" s="1"/>
      <c r="V507" s="205"/>
      <c r="W507" s="205"/>
      <c r="X507" s="205"/>
      <c r="Y507" s="183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ht="16.5" customHeight="1">
      <c r="A508" s="1"/>
      <c r="B508" s="1"/>
      <c r="C508" s="199"/>
      <c r="D508" s="1"/>
      <c r="E508" s="1"/>
      <c r="F508" s="1"/>
      <c r="G508" s="199"/>
      <c r="H508" s="1"/>
      <c r="I508" s="1"/>
      <c r="J508" s="1"/>
      <c r="K508" s="1"/>
      <c r="L508" s="1"/>
      <c r="M508" s="1"/>
      <c r="N508" s="10"/>
      <c r="O508" s="10"/>
      <c r="P508" s="10"/>
      <c r="Q508" s="10"/>
      <c r="R508" s="10"/>
      <c r="S508" s="10"/>
      <c r="T508" s="10"/>
      <c r="U508" s="1"/>
      <c r="V508" s="205"/>
      <c r="W508" s="205"/>
      <c r="X508" s="205"/>
      <c r="Y508" s="183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 ht="16.5" customHeight="1">
      <c r="A509" s="1"/>
      <c r="B509" s="1"/>
      <c r="C509" s="199"/>
      <c r="D509" s="1"/>
      <c r="E509" s="1"/>
      <c r="F509" s="1"/>
      <c r="G509" s="199"/>
      <c r="H509" s="1"/>
      <c r="I509" s="1"/>
      <c r="J509" s="1"/>
      <c r="K509" s="1"/>
      <c r="L509" s="1"/>
      <c r="M509" s="1"/>
      <c r="N509" s="10"/>
      <c r="O509" s="10"/>
      <c r="P509" s="10"/>
      <c r="Q509" s="10"/>
      <c r="R509" s="10"/>
      <c r="S509" s="10"/>
      <c r="T509" s="10"/>
      <c r="U509" s="1"/>
      <c r="V509" s="205"/>
      <c r="W509" s="205"/>
      <c r="X509" s="205"/>
      <c r="Y509" s="183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 ht="16.5" customHeight="1">
      <c r="A510" s="1"/>
      <c r="B510" s="1"/>
      <c r="C510" s="199"/>
      <c r="D510" s="1"/>
      <c r="E510" s="1"/>
      <c r="F510" s="1"/>
      <c r="G510" s="199"/>
      <c r="H510" s="1"/>
      <c r="I510" s="1"/>
      <c r="J510" s="1"/>
      <c r="K510" s="1"/>
      <c r="L510" s="1"/>
      <c r="M510" s="1"/>
      <c r="N510" s="10"/>
      <c r="O510" s="10"/>
      <c r="P510" s="10"/>
      <c r="Q510" s="10"/>
      <c r="R510" s="10"/>
      <c r="S510" s="10"/>
      <c r="T510" s="10"/>
      <c r="U510" s="1"/>
      <c r="V510" s="205"/>
      <c r="W510" s="205"/>
      <c r="X510" s="205"/>
      <c r="Y510" s="183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ht="16.5" customHeight="1">
      <c r="A511" s="1"/>
      <c r="B511" s="1"/>
      <c r="C511" s="199"/>
      <c r="D511" s="1"/>
      <c r="E511" s="1"/>
      <c r="F511" s="1"/>
      <c r="G511" s="199"/>
      <c r="H511" s="1"/>
      <c r="I511" s="1"/>
      <c r="J511" s="1"/>
      <c r="K511" s="1"/>
      <c r="L511" s="1"/>
      <c r="M511" s="1"/>
      <c r="N511" s="10"/>
      <c r="O511" s="10"/>
      <c r="P511" s="10"/>
      <c r="Q511" s="10"/>
      <c r="R511" s="10"/>
      <c r="S511" s="10"/>
      <c r="T511" s="10"/>
      <c r="U511" s="1"/>
      <c r="V511" s="205"/>
      <c r="W511" s="205"/>
      <c r="X511" s="205"/>
      <c r="Y511" s="183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 ht="16.5" customHeight="1">
      <c r="A512" s="1"/>
      <c r="B512" s="1"/>
      <c r="C512" s="199"/>
      <c r="D512" s="1"/>
      <c r="E512" s="1"/>
      <c r="F512" s="1"/>
      <c r="G512" s="199"/>
      <c r="H512" s="1"/>
      <c r="I512" s="1"/>
      <c r="J512" s="1"/>
      <c r="K512" s="1"/>
      <c r="L512" s="1"/>
      <c r="M512" s="1"/>
      <c r="N512" s="10"/>
      <c r="O512" s="10"/>
      <c r="P512" s="10"/>
      <c r="Q512" s="10"/>
      <c r="R512" s="10"/>
      <c r="S512" s="10"/>
      <c r="T512" s="10"/>
      <c r="U512" s="1"/>
      <c r="V512" s="205"/>
      <c r="W512" s="205"/>
      <c r="X512" s="205"/>
      <c r="Y512" s="183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ht="16.5" customHeight="1">
      <c r="A513" s="1"/>
      <c r="B513" s="1"/>
      <c r="C513" s="199"/>
      <c r="D513" s="1"/>
      <c r="E513" s="1"/>
      <c r="F513" s="1"/>
      <c r="G513" s="199"/>
      <c r="H513" s="1"/>
      <c r="I513" s="1"/>
      <c r="J513" s="1"/>
      <c r="K513" s="1"/>
      <c r="L513" s="1"/>
      <c r="M513" s="1"/>
      <c r="N513" s="10"/>
      <c r="O513" s="10"/>
      <c r="P513" s="10"/>
      <c r="Q513" s="10"/>
      <c r="R513" s="10"/>
      <c r="S513" s="10"/>
      <c r="T513" s="10"/>
      <c r="U513" s="1"/>
      <c r="V513" s="205"/>
      <c r="W513" s="205"/>
      <c r="X513" s="205"/>
      <c r="Y513" s="183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 ht="16.5" customHeight="1">
      <c r="A514" s="1"/>
      <c r="B514" s="1"/>
      <c r="C514" s="199"/>
      <c r="D514" s="1"/>
      <c r="E514" s="1"/>
      <c r="F514" s="1"/>
      <c r="G514" s="199"/>
      <c r="H514" s="1"/>
      <c r="I514" s="1"/>
      <c r="J514" s="1"/>
      <c r="K514" s="1"/>
      <c r="L514" s="1"/>
      <c r="M514" s="1"/>
      <c r="N514" s="10"/>
      <c r="O514" s="10"/>
      <c r="P514" s="10"/>
      <c r="Q514" s="10"/>
      <c r="R514" s="10"/>
      <c r="S514" s="10"/>
      <c r="T514" s="10"/>
      <c r="U514" s="1"/>
      <c r="V514" s="205"/>
      <c r="W514" s="205"/>
      <c r="X514" s="205"/>
      <c r="Y514" s="183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 ht="16.5" customHeight="1">
      <c r="A515" s="1"/>
      <c r="B515" s="1"/>
      <c r="C515" s="199"/>
      <c r="D515" s="1"/>
      <c r="E515" s="1"/>
      <c r="F515" s="1"/>
      <c r="G515" s="199"/>
      <c r="H515" s="1"/>
      <c r="I515" s="1"/>
      <c r="J515" s="1"/>
      <c r="K515" s="1"/>
      <c r="L515" s="1"/>
      <c r="M515" s="1"/>
      <c r="N515" s="10"/>
      <c r="O515" s="10"/>
      <c r="P515" s="10"/>
      <c r="Q515" s="10"/>
      <c r="R515" s="10"/>
      <c r="S515" s="10"/>
      <c r="T515" s="10"/>
      <c r="U515" s="1"/>
      <c r="V515" s="205"/>
      <c r="W515" s="205"/>
      <c r="X515" s="205"/>
      <c r="Y515" s="183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ht="16.5" customHeight="1">
      <c r="A516" s="1"/>
      <c r="B516" s="1"/>
      <c r="C516" s="199"/>
      <c r="D516" s="1"/>
      <c r="E516" s="1"/>
      <c r="F516" s="1"/>
      <c r="G516" s="199"/>
      <c r="H516" s="1"/>
      <c r="I516" s="1"/>
      <c r="J516" s="1"/>
      <c r="K516" s="1"/>
      <c r="L516" s="1"/>
      <c r="M516" s="1"/>
      <c r="N516" s="10"/>
      <c r="O516" s="10"/>
      <c r="P516" s="10"/>
      <c r="Q516" s="10"/>
      <c r="R516" s="10"/>
      <c r="S516" s="10"/>
      <c r="T516" s="10"/>
      <c r="U516" s="1"/>
      <c r="V516" s="205"/>
      <c r="W516" s="205"/>
      <c r="X516" s="205"/>
      <c r="Y516" s="183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ht="16.5" customHeight="1">
      <c r="A517" s="1"/>
      <c r="B517" s="1"/>
      <c r="C517" s="199"/>
      <c r="D517" s="1"/>
      <c r="E517" s="1"/>
      <c r="F517" s="1"/>
      <c r="G517" s="199"/>
      <c r="H517" s="1"/>
      <c r="I517" s="1"/>
      <c r="J517" s="1"/>
      <c r="K517" s="1"/>
      <c r="L517" s="1"/>
      <c r="M517" s="1"/>
      <c r="N517" s="10"/>
      <c r="O517" s="10"/>
      <c r="P517" s="10"/>
      <c r="Q517" s="10"/>
      <c r="R517" s="10"/>
      <c r="S517" s="10"/>
      <c r="T517" s="10"/>
      <c r="U517" s="1"/>
      <c r="V517" s="205"/>
      <c r="W517" s="205"/>
      <c r="X517" s="205"/>
      <c r="Y517" s="183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 ht="16.5" customHeight="1">
      <c r="A518" s="1"/>
      <c r="B518" s="1"/>
      <c r="C518" s="199"/>
      <c r="D518" s="1"/>
      <c r="E518" s="1"/>
      <c r="F518" s="1"/>
      <c r="G518" s="199"/>
      <c r="H518" s="1"/>
      <c r="I518" s="1"/>
      <c r="J518" s="1"/>
      <c r="K518" s="1"/>
      <c r="L518" s="1"/>
      <c r="M518" s="1"/>
      <c r="N518" s="10"/>
      <c r="O518" s="10"/>
      <c r="P518" s="10"/>
      <c r="Q518" s="10"/>
      <c r="R518" s="10"/>
      <c r="S518" s="10"/>
      <c r="T518" s="10"/>
      <c r="U518" s="1"/>
      <c r="V518" s="205"/>
      <c r="W518" s="205"/>
      <c r="X518" s="205"/>
      <c r="Y518" s="183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ht="16.5" customHeight="1">
      <c r="A519" s="1"/>
      <c r="B519" s="1"/>
      <c r="C519" s="199"/>
      <c r="D519" s="1"/>
      <c r="E519" s="1"/>
      <c r="F519" s="1"/>
      <c r="G519" s="199"/>
      <c r="H519" s="1"/>
      <c r="I519" s="1"/>
      <c r="J519" s="1"/>
      <c r="K519" s="1"/>
      <c r="L519" s="1"/>
      <c r="M519" s="1"/>
      <c r="N519" s="10"/>
      <c r="O519" s="10"/>
      <c r="P519" s="10"/>
      <c r="Q519" s="10"/>
      <c r="R519" s="10"/>
      <c r="S519" s="10"/>
      <c r="T519" s="10"/>
      <c r="U519" s="1"/>
      <c r="V519" s="205"/>
      <c r="W519" s="205"/>
      <c r="X519" s="205"/>
      <c r="Y519" s="183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 ht="16.5" customHeight="1">
      <c r="A520" s="1"/>
      <c r="B520" s="1"/>
      <c r="C520" s="199"/>
      <c r="D520" s="1"/>
      <c r="E520" s="1"/>
      <c r="F520" s="1"/>
      <c r="G520" s="199"/>
      <c r="H520" s="1"/>
      <c r="I520" s="1"/>
      <c r="J520" s="1"/>
      <c r="K520" s="1"/>
      <c r="L520" s="1"/>
      <c r="M520" s="1"/>
      <c r="N520" s="10"/>
      <c r="O520" s="10"/>
      <c r="P520" s="10"/>
      <c r="Q520" s="10"/>
      <c r="R520" s="10"/>
      <c r="S520" s="10"/>
      <c r="T520" s="10"/>
      <c r="U520" s="1"/>
      <c r="V520" s="205"/>
      <c r="W520" s="205"/>
      <c r="X520" s="205"/>
      <c r="Y520" s="183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ht="16.5" customHeight="1">
      <c r="A521" s="1"/>
      <c r="B521" s="1"/>
      <c r="C521" s="199"/>
      <c r="D521" s="1"/>
      <c r="E521" s="1"/>
      <c r="F521" s="1"/>
      <c r="G521" s="199"/>
      <c r="H521" s="1"/>
      <c r="I521" s="1"/>
      <c r="J521" s="1"/>
      <c r="K521" s="1"/>
      <c r="L521" s="1"/>
      <c r="M521" s="1"/>
      <c r="N521" s="10"/>
      <c r="O521" s="10"/>
      <c r="P521" s="10"/>
      <c r="Q521" s="10"/>
      <c r="R521" s="10"/>
      <c r="S521" s="10"/>
      <c r="T521" s="10"/>
      <c r="U521" s="1"/>
      <c r="V521" s="205"/>
      <c r="W521" s="205"/>
      <c r="X521" s="205"/>
      <c r="Y521" s="183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ht="16.5" customHeight="1">
      <c r="A522" s="1"/>
      <c r="B522" s="1"/>
      <c r="C522" s="199"/>
      <c r="D522" s="1"/>
      <c r="E522" s="1"/>
      <c r="F522" s="1"/>
      <c r="G522" s="199"/>
      <c r="H522" s="1"/>
      <c r="I522" s="1"/>
      <c r="J522" s="1"/>
      <c r="K522" s="1"/>
      <c r="L522" s="1"/>
      <c r="M522" s="1"/>
      <c r="N522" s="10"/>
      <c r="O522" s="10"/>
      <c r="P522" s="10"/>
      <c r="Q522" s="10"/>
      <c r="R522" s="10"/>
      <c r="S522" s="10"/>
      <c r="T522" s="10"/>
      <c r="U522" s="1"/>
      <c r="V522" s="205"/>
      <c r="W522" s="205"/>
      <c r="X522" s="205"/>
      <c r="Y522" s="183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 ht="16.5" customHeight="1">
      <c r="A523" s="1"/>
      <c r="B523" s="1"/>
      <c r="C523" s="199"/>
      <c r="D523" s="1"/>
      <c r="E523" s="1"/>
      <c r="F523" s="1"/>
      <c r="G523" s="199"/>
      <c r="H523" s="1"/>
      <c r="I523" s="1"/>
      <c r="J523" s="1"/>
      <c r="K523" s="1"/>
      <c r="L523" s="1"/>
      <c r="M523" s="1"/>
      <c r="N523" s="10"/>
      <c r="O523" s="10"/>
      <c r="P523" s="10"/>
      <c r="Q523" s="10"/>
      <c r="R523" s="10"/>
      <c r="S523" s="10"/>
      <c r="T523" s="10"/>
      <c r="U523" s="1"/>
      <c r="V523" s="205"/>
      <c r="W523" s="205"/>
      <c r="X523" s="205"/>
      <c r="Y523" s="183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 ht="16.5" customHeight="1">
      <c r="A524" s="1"/>
      <c r="B524" s="1"/>
      <c r="C524" s="199"/>
      <c r="D524" s="1"/>
      <c r="E524" s="1"/>
      <c r="F524" s="1"/>
      <c r="G524" s="199"/>
      <c r="H524" s="1"/>
      <c r="I524" s="1"/>
      <c r="J524" s="1"/>
      <c r="K524" s="1"/>
      <c r="L524" s="1"/>
      <c r="M524" s="1"/>
      <c r="N524" s="10"/>
      <c r="O524" s="10"/>
      <c r="P524" s="10"/>
      <c r="Q524" s="10"/>
      <c r="R524" s="10"/>
      <c r="S524" s="10"/>
      <c r="T524" s="10"/>
      <c r="U524" s="1"/>
      <c r="V524" s="205"/>
      <c r="W524" s="205"/>
      <c r="X524" s="205"/>
      <c r="Y524" s="183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 ht="16.5" customHeight="1">
      <c r="A525" s="1"/>
      <c r="B525" s="1"/>
      <c r="C525" s="199"/>
      <c r="D525" s="1"/>
      <c r="E525" s="1"/>
      <c r="F525" s="1"/>
      <c r="G525" s="199"/>
      <c r="H525" s="1"/>
      <c r="I525" s="1"/>
      <c r="J525" s="1"/>
      <c r="K525" s="1"/>
      <c r="L525" s="1"/>
      <c r="M525" s="1"/>
      <c r="N525" s="10"/>
      <c r="O525" s="10"/>
      <c r="P525" s="10"/>
      <c r="Q525" s="10"/>
      <c r="R525" s="10"/>
      <c r="S525" s="10"/>
      <c r="T525" s="10"/>
      <c r="U525" s="1"/>
      <c r="V525" s="205"/>
      <c r="W525" s="205"/>
      <c r="X525" s="205"/>
      <c r="Y525" s="183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ht="16.5" customHeight="1">
      <c r="A526" s="1"/>
      <c r="B526" s="1"/>
      <c r="C526" s="199"/>
      <c r="D526" s="1"/>
      <c r="E526" s="1"/>
      <c r="F526" s="1"/>
      <c r="G526" s="199"/>
      <c r="H526" s="1"/>
      <c r="I526" s="1"/>
      <c r="J526" s="1"/>
      <c r="K526" s="1"/>
      <c r="L526" s="1"/>
      <c r="M526" s="1"/>
      <c r="N526" s="10"/>
      <c r="O526" s="10"/>
      <c r="P526" s="10"/>
      <c r="Q526" s="10"/>
      <c r="R526" s="10"/>
      <c r="S526" s="10"/>
      <c r="T526" s="10"/>
      <c r="U526" s="1"/>
      <c r="V526" s="205"/>
      <c r="W526" s="205"/>
      <c r="X526" s="205"/>
      <c r="Y526" s="183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ht="16.5" customHeight="1">
      <c r="A527" s="1"/>
      <c r="B527" s="1"/>
      <c r="C527" s="199"/>
      <c r="D527" s="1"/>
      <c r="E527" s="1"/>
      <c r="F527" s="1"/>
      <c r="G527" s="199"/>
      <c r="H527" s="1"/>
      <c r="I527" s="1"/>
      <c r="J527" s="1"/>
      <c r="K527" s="1"/>
      <c r="L527" s="1"/>
      <c r="M527" s="1"/>
      <c r="N527" s="10"/>
      <c r="O527" s="10"/>
      <c r="P527" s="10"/>
      <c r="Q527" s="10"/>
      <c r="R527" s="10"/>
      <c r="S527" s="10"/>
      <c r="T527" s="10"/>
      <c r="U527" s="1"/>
      <c r="V527" s="205"/>
      <c r="W527" s="205"/>
      <c r="X527" s="205"/>
      <c r="Y527" s="183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ht="16.5" customHeight="1">
      <c r="A528" s="1"/>
      <c r="B528" s="1"/>
      <c r="C528" s="199"/>
      <c r="D528" s="1"/>
      <c r="E528" s="1"/>
      <c r="F528" s="1"/>
      <c r="G528" s="199"/>
      <c r="H528" s="1"/>
      <c r="I528" s="1"/>
      <c r="J528" s="1"/>
      <c r="K528" s="1"/>
      <c r="L528" s="1"/>
      <c r="M528" s="1"/>
      <c r="N528" s="10"/>
      <c r="O528" s="10"/>
      <c r="P528" s="10"/>
      <c r="Q528" s="10"/>
      <c r="R528" s="10"/>
      <c r="S528" s="10"/>
      <c r="T528" s="10"/>
      <c r="U528" s="1"/>
      <c r="V528" s="205"/>
      <c r="W528" s="205"/>
      <c r="X528" s="205"/>
      <c r="Y528" s="183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ht="16.5" customHeight="1">
      <c r="A529" s="1"/>
      <c r="B529" s="1"/>
      <c r="C529" s="199"/>
      <c r="D529" s="1"/>
      <c r="E529" s="1"/>
      <c r="F529" s="1"/>
      <c r="G529" s="199"/>
      <c r="H529" s="1"/>
      <c r="I529" s="1"/>
      <c r="J529" s="1"/>
      <c r="K529" s="1"/>
      <c r="L529" s="1"/>
      <c r="M529" s="1"/>
      <c r="N529" s="10"/>
      <c r="O529" s="10"/>
      <c r="P529" s="10"/>
      <c r="Q529" s="10"/>
      <c r="R529" s="10"/>
      <c r="S529" s="10"/>
      <c r="T529" s="10"/>
      <c r="U529" s="1"/>
      <c r="V529" s="205"/>
      <c r="W529" s="205"/>
      <c r="X529" s="205"/>
      <c r="Y529" s="183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ht="16.5" customHeight="1">
      <c r="A530" s="1"/>
      <c r="B530" s="1"/>
      <c r="C530" s="199"/>
      <c r="D530" s="1"/>
      <c r="E530" s="1"/>
      <c r="F530" s="1"/>
      <c r="G530" s="199"/>
      <c r="H530" s="1"/>
      <c r="I530" s="1"/>
      <c r="J530" s="1"/>
      <c r="K530" s="1"/>
      <c r="L530" s="1"/>
      <c r="M530" s="1"/>
      <c r="N530" s="10"/>
      <c r="O530" s="10"/>
      <c r="P530" s="10"/>
      <c r="Q530" s="10"/>
      <c r="R530" s="10"/>
      <c r="S530" s="10"/>
      <c r="T530" s="10"/>
      <c r="U530" s="1"/>
      <c r="V530" s="205"/>
      <c r="W530" s="205"/>
      <c r="X530" s="205"/>
      <c r="Y530" s="183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ht="16.5" customHeight="1">
      <c r="A531" s="1"/>
      <c r="B531" s="1"/>
      <c r="C531" s="199"/>
      <c r="D531" s="1"/>
      <c r="E531" s="1"/>
      <c r="F531" s="1"/>
      <c r="G531" s="199"/>
      <c r="H531" s="1"/>
      <c r="I531" s="1"/>
      <c r="J531" s="1"/>
      <c r="K531" s="1"/>
      <c r="L531" s="1"/>
      <c r="M531" s="1"/>
      <c r="N531" s="10"/>
      <c r="O531" s="10"/>
      <c r="P531" s="10"/>
      <c r="Q531" s="10"/>
      <c r="R531" s="10"/>
      <c r="S531" s="10"/>
      <c r="T531" s="10"/>
      <c r="U531" s="1"/>
      <c r="V531" s="205"/>
      <c r="W531" s="205"/>
      <c r="X531" s="205"/>
      <c r="Y531" s="183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ht="16.5" customHeight="1">
      <c r="A532" s="1"/>
      <c r="B532" s="1"/>
      <c r="C532" s="199"/>
      <c r="D532" s="1"/>
      <c r="E532" s="1"/>
      <c r="F532" s="1"/>
      <c r="G532" s="199"/>
      <c r="H532" s="1"/>
      <c r="I532" s="1"/>
      <c r="J532" s="1"/>
      <c r="K532" s="1"/>
      <c r="L532" s="1"/>
      <c r="M532" s="1"/>
      <c r="N532" s="10"/>
      <c r="O532" s="10"/>
      <c r="P532" s="10"/>
      <c r="Q532" s="10"/>
      <c r="R532" s="10"/>
      <c r="S532" s="10"/>
      <c r="T532" s="10"/>
      <c r="U532" s="1"/>
      <c r="V532" s="205"/>
      <c r="W532" s="205"/>
      <c r="X532" s="205"/>
      <c r="Y532" s="183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 ht="16.5" customHeight="1">
      <c r="A533" s="1"/>
      <c r="B533" s="1"/>
      <c r="C533" s="199"/>
      <c r="D533" s="1"/>
      <c r="E533" s="1"/>
      <c r="F533" s="1"/>
      <c r="G533" s="199"/>
      <c r="H533" s="1"/>
      <c r="I533" s="1"/>
      <c r="J533" s="1"/>
      <c r="K533" s="1"/>
      <c r="L533" s="1"/>
      <c r="M533" s="1"/>
      <c r="N533" s="10"/>
      <c r="O533" s="10"/>
      <c r="P533" s="10"/>
      <c r="Q533" s="10"/>
      <c r="R533" s="10"/>
      <c r="S533" s="10"/>
      <c r="T533" s="10"/>
      <c r="U533" s="1"/>
      <c r="V533" s="205"/>
      <c r="W533" s="205"/>
      <c r="X533" s="205"/>
      <c r="Y533" s="183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ht="16.5" customHeight="1">
      <c r="A534" s="1"/>
      <c r="B534" s="1"/>
      <c r="C534" s="199"/>
      <c r="D534" s="1"/>
      <c r="E534" s="1"/>
      <c r="F534" s="1"/>
      <c r="G534" s="199"/>
      <c r="H534" s="1"/>
      <c r="I534" s="1"/>
      <c r="J534" s="1"/>
      <c r="K534" s="1"/>
      <c r="L534" s="1"/>
      <c r="M534" s="1"/>
      <c r="N534" s="10"/>
      <c r="O534" s="10"/>
      <c r="P534" s="10"/>
      <c r="Q534" s="10"/>
      <c r="R534" s="10"/>
      <c r="S534" s="10"/>
      <c r="T534" s="10"/>
      <c r="U534" s="1"/>
      <c r="V534" s="205"/>
      <c r="W534" s="205"/>
      <c r="X534" s="205"/>
      <c r="Y534" s="183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ht="16.5" customHeight="1">
      <c r="A535" s="1"/>
      <c r="B535" s="1"/>
      <c r="C535" s="199"/>
      <c r="D535" s="1"/>
      <c r="E535" s="1"/>
      <c r="F535" s="1"/>
      <c r="G535" s="199"/>
      <c r="H535" s="1"/>
      <c r="I535" s="1"/>
      <c r="J535" s="1"/>
      <c r="K535" s="1"/>
      <c r="L535" s="1"/>
      <c r="M535" s="1"/>
      <c r="N535" s="10"/>
      <c r="O535" s="10"/>
      <c r="P535" s="10"/>
      <c r="Q535" s="10"/>
      <c r="R535" s="10"/>
      <c r="S535" s="10"/>
      <c r="T535" s="10"/>
      <c r="U535" s="1"/>
      <c r="V535" s="205"/>
      <c r="W535" s="205"/>
      <c r="X535" s="205"/>
      <c r="Y535" s="183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ht="16.5" customHeight="1">
      <c r="A536" s="1"/>
      <c r="B536" s="1"/>
      <c r="C536" s="199"/>
      <c r="D536" s="1"/>
      <c r="E536" s="1"/>
      <c r="F536" s="1"/>
      <c r="G536" s="199"/>
      <c r="H536" s="1"/>
      <c r="I536" s="1"/>
      <c r="J536" s="1"/>
      <c r="K536" s="1"/>
      <c r="L536" s="1"/>
      <c r="M536" s="1"/>
      <c r="N536" s="10"/>
      <c r="O536" s="10"/>
      <c r="P536" s="10"/>
      <c r="Q536" s="10"/>
      <c r="R536" s="10"/>
      <c r="S536" s="10"/>
      <c r="T536" s="10"/>
      <c r="U536" s="1"/>
      <c r="V536" s="205"/>
      <c r="W536" s="205"/>
      <c r="X536" s="205"/>
      <c r="Y536" s="183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 ht="16.5" customHeight="1">
      <c r="A537" s="1"/>
      <c r="B537" s="1"/>
      <c r="C537" s="199"/>
      <c r="D537" s="1"/>
      <c r="E537" s="1"/>
      <c r="F537" s="1"/>
      <c r="G537" s="199"/>
      <c r="H537" s="1"/>
      <c r="I537" s="1"/>
      <c r="J537" s="1"/>
      <c r="K537" s="1"/>
      <c r="L537" s="1"/>
      <c r="M537" s="1"/>
      <c r="N537" s="10"/>
      <c r="O537" s="10"/>
      <c r="P537" s="10"/>
      <c r="Q537" s="10"/>
      <c r="R537" s="10"/>
      <c r="S537" s="10"/>
      <c r="T537" s="10"/>
      <c r="U537" s="1"/>
      <c r="V537" s="205"/>
      <c r="W537" s="205"/>
      <c r="X537" s="205"/>
      <c r="Y537" s="183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ht="16.5" customHeight="1">
      <c r="A538" s="1"/>
      <c r="B538" s="1"/>
      <c r="C538" s="199"/>
      <c r="D538" s="1"/>
      <c r="E538" s="1"/>
      <c r="F538" s="1"/>
      <c r="G538" s="199"/>
      <c r="H538" s="1"/>
      <c r="I538" s="1"/>
      <c r="J538" s="1"/>
      <c r="K538" s="1"/>
      <c r="L538" s="1"/>
      <c r="M538" s="1"/>
      <c r="N538" s="10"/>
      <c r="O538" s="10"/>
      <c r="P538" s="10"/>
      <c r="Q538" s="10"/>
      <c r="R538" s="10"/>
      <c r="S538" s="10"/>
      <c r="T538" s="10"/>
      <c r="U538" s="1"/>
      <c r="V538" s="205"/>
      <c r="W538" s="205"/>
      <c r="X538" s="205"/>
      <c r="Y538" s="183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 ht="16.5" customHeight="1">
      <c r="A539" s="1"/>
      <c r="B539" s="1"/>
      <c r="C539" s="199"/>
      <c r="D539" s="1"/>
      <c r="E539" s="1"/>
      <c r="F539" s="1"/>
      <c r="G539" s="199"/>
      <c r="H539" s="1"/>
      <c r="I539" s="1"/>
      <c r="J539" s="1"/>
      <c r="K539" s="1"/>
      <c r="L539" s="1"/>
      <c r="M539" s="1"/>
      <c r="N539" s="10"/>
      <c r="O539" s="10"/>
      <c r="P539" s="10"/>
      <c r="Q539" s="10"/>
      <c r="R539" s="10"/>
      <c r="S539" s="10"/>
      <c r="T539" s="10"/>
      <c r="U539" s="1"/>
      <c r="V539" s="205"/>
      <c r="W539" s="205"/>
      <c r="X539" s="205"/>
      <c r="Y539" s="183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 ht="16.5" customHeight="1">
      <c r="A540" s="1"/>
      <c r="B540" s="1"/>
      <c r="C540" s="199"/>
      <c r="D540" s="1"/>
      <c r="E540" s="1"/>
      <c r="F540" s="1"/>
      <c r="G540" s="199"/>
      <c r="H540" s="1"/>
      <c r="I540" s="1"/>
      <c r="J540" s="1"/>
      <c r="K540" s="1"/>
      <c r="L540" s="1"/>
      <c r="M540" s="1"/>
      <c r="N540" s="10"/>
      <c r="O540" s="10"/>
      <c r="P540" s="10"/>
      <c r="Q540" s="10"/>
      <c r="R540" s="10"/>
      <c r="S540" s="10"/>
      <c r="T540" s="10"/>
      <c r="U540" s="1"/>
      <c r="V540" s="205"/>
      <c r="W540" s="205"/>
      <c r="X540" s="205"/>
      <c r="Y540" s="183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ht="16.5" customHeight="1">
      <c r="A541" s="1"/>
      <c r="B541" s="1"/>
      <c r="C541" s="199"/>
      <c r="D541" s="1"/>
      <c r="E541" s="1"/>
      <c r="F541" s="1"/>
      <c r="G541" s="199"/>
      <c r="H541" s="1"/>
      <c r="I541" s="1"/>
      <c r="J541" s="1"/>
      <c r="K541" s="1"/>
      <c r="L541" s="1"/>
      <c r="M541" s="1"/>
      <c r="N541" s="10"/>
      <c r="O541" s="10"/>
      <c r="P541" s="10"/>
      <c r="Q541" s="10"/>
      <c r="R541" s="10"/>
      <c r="S541" s="10"/>
      <c r="T541" s="10"/>
      <c r="U541" s="1"/>
      <c r="V541" s="205"/>
      <c r="W541" s="205"/>
      <c r="X541" s="205"/>
      <c r="Y541" s="183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ht="16.5" customHeight="1">
      <c r="A542" s="1"/>
      <c r="B542" s="1"/>
      <c r="C542" s="199"/>
      <c r="D542" s="1"/>
      <c r="E542" s="1"/>
      <c r="F542" s="1"/>
      <c r="G542" s="199"/>
      <c r="H542" s="1"/>
      <c r="I542" s="1"/>
      <c r="J542" s="1"/>
      <c r="K542" s="1"/>
      <c r="L542" s="1"/>
      <c r="M542" s="1"/>
      <c r="N542" s="10"/>
      <c r="O542" s="10"/>
      <c r="P542" s="10"/>
      <c r="Q542" s="10"/>
      <c r="R542" s="10"/>
      <c r="S542" s="10"/>
      <c r="T542" s="10"/>
      <c r="U542" s="1"/>
      <c r="V542" s="205"/>
      <c r="W542" s="205"/>
      <c r="X542" s="205"/>
      <c r="Y542" s="183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 ht="16.5" customHeight="1">
      <c r="A543" s="1"/>
      <c r="B543" s="1"/>
      <c r="C543" s="199"/>
      <c r="D543" s="1"/>
      <c r="E543" s="1"/>
      <c r="F543" s="1"/>
      <c r="G543" s="199"/>
      <c r="H543" s="1"/>
      <c r="I543" s="1"/>
      <c r="J543" s="1"/>
      <c r="K543" s="1"/>
      <c r="L543" s="1"/>
      <c r="M543" s="1"/>
      <c r="N543" s="10"/>
      <c r="O543" s="10"/>
      <c r="P543" s="10"/>
      <c r="Q543" s="10"/>
      <c r="R543" s="10"/>
      <c r="S543" s="10"/>
      <c r="T543" s="10"/>
      <c r="U543" s="1"/>
      <c r="V543" s="205"/>
      <c r="W543" s="205"/>
      <c r="X543" s="205"/>
      <c r="Y543" s="183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ht="16.5" customHeight="1">
      <c r="A544" s="1"/>
      <c r="B544" s="1"/>
      <c r="C544" s="199"/>
      <c r="D544" s="1"/>
      <c r="E544" s="1"/>
      <c r="F544" s="1"/>
      <c r="G544" s="199"/>
      <c r="H544" s="1"/>
      <c r="I544" s="1"/>
      <c r="J544" s="1"/>
      <c r="K544" s="1"/>
      <c r="L544" s="1"/>
      <c r="M544" s="1"/>
      <c r="N544" s="10"/>
      <c r="O544" s="10"/>
      <c r="P544" s="10"/>
      <c r="Q544" s="10"/>
      <c r="R544" s="10"/>
      <c r="S544" s="10"/>
      <c r="T544" s="10"/>
      <c r="U544" s="1"/>
      <c r="V544" s="205"/>
      <c r="W544" s="205"/>
      <c r="X544" s="205"/>
      <c r="Y544" s="183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 ht="16.5" customHeight="1">
      <c r="A545" s="1"/>
      <c r="B545" s="1"/>
      <c r="C545" s="199"/>
      <c r="D545" s="1"/>
      <c r="E545" s="1"/>
      <c r="F545" s="1"/>
      <c r="G545" s="199"/>
      <c r="H545" s="1"/>
      <c r="I545" s="1"/>
      <c r="J545" s="1"/>
      <c r="K545" s="1"/>
      <c r="L545" s="1"/>
      <c r="M545" s="1"/>
      <c r="N545" s="10"/>
      <c r="O545" s="10"/>
      <c r="P545" s="10"/>
      <c r="Q545" s="10"/>
      <c r="R545" s="10"/>
      <c r="S545" s="10"/>
      <c r="T545" s="10"/>
      <c r="U545" s="1"/>
      <c r="V545" s="205"/>
      <c r="W545" s="205"/>
      <c r="X545" s="205"/>
      <c r="Y545" s="183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ht="16.5" customHeight="1">
      <c r="A546" s="1"/>
      <c r="B546" s="1"/>
      <c r="C546" s="199"/>
      <c r="D546" s="1"/>
      <c r="E546" s="1"/>
      <c r="F546" s="1"/>
      <c r="G546" s="199"/>
      <c r="H546" s="1"/>
      <c r="I546" s="1"/>
      <c r="J546" s="1"/>
      <c r="K546" s="1"/>
      <c r="L546" s="1"/>
      <c r="M546" s="1"/>
      <c r="N546" s="10"/>
      <c r="O546" s="10"/>
      <c r="P546" s="10"/>
      <c r="Q546" s="10"/>
      <c r="R546" s="10"/>
      <c r="S546" s="10"/>
      <c r="T546" s="10"/>
      <c r="U546" s="1"/>
      <c r="V546" s="205"/>
      <c r="W546" s="205"/>
      <c r="X546" s="205"/>
      <c r="Y546" s="183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ht="16.5" customHeight="1">
      <c r="A547" s="1"/>
      <c r="B547" s="1"/>
      <c r="C547" s="199"/>
      <c r="D547" s="1"/>
      <c r="E547" s="1"/>
      <c r="F547" s="1"/>
      <c r="G547" s="199"/>
      <c r="H547" s="1"/>
      <c r="I547" s="1"/>
      <c r="J547" s="1"/>
      <c r="K547" s="1"/>
      <c r="L547" s="1"/>
      <c r="M547" s="1"/>
      <c r="N547" s="10"/>
      <c r="O547" s="10"/>
      <c r="P547" s="10"/>
      <c r="Q547" s="10"/>
      <c r="R547" s="10"/>
      <c r="S547" s="10"/>
      <c r="T547" s="10"/>
      <c r="U547" s="1"/>
      <c r="V547" s="205"/>
      <c r="W547" s="205"/>
      <c r="X547" s="205"/>
      <c r="Y547" s="183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 ht="16.5" customHeight="1">
      <c r="A548" s="1"/>
      <c r="B548" s="1"/>
      <c r="C548" s="199"/>
      <c r="D548" s="1"/>
      <c r="E548" s="1"/>
      <c r="F548" s="1"/>
      <c r="G548" s="199"/>
      <c r="H548" s="1"/>
      <c r="I548" s="1"/>
      <c r="J548" s="1"/>
      <c r="K548" s="1"/>
      <c r="L548" s="1"/>
      <c r="M548" s="1"/>
      <c r="N548" s="10"/>
      <c r="O548" s="10"/>
      <c r="P548" s="10"/>
      <c r="Q548" s="10"/>
      <c r="R548" s="10"/>
      <c r="S548" s="10"/>
      <c r="T548" s="10"/>
      <c r="U548" s="1"/>
      <c r="V548" s="205"/>
      <c r="W548" s="205"/>
      <c r="X548" s="205"/>
      <c r="Y548" s="183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 ht="16.5" customHeight="1">
      <c r="A549" s="1"/>
      <c r="B549" s="1"/>
      <c r="C549" s="199"/>
      <c r="D549" s="1"/>
      <c r="E549" s="1"/>
      <c r="F549" s="1"/>
      <c r="G549" s="199"/>
      <c r="H549" s="1"/>
      <c r="I549" s="1"/>
      <c r="J549" s="1"/>
      <c r="K549" s="1"/>
      <c r="L549" s="1"/>
      <c r="M549" s="1"/>
      <c r="N549" s="10"/>
      <c r="O549" s="10"/>
      <c r="P549" s="10"/>
      <c r="Q549" s="10"/>
      <c r="R549" s="10"/>
      <c r="S549" s="10"/>
      <c r="T549" s="10"/>
      <c r="U549" s="1"/>
      <c r="V549" s="205"/>
      <c r="W549" s="205"/>
      <c r="X549" s="205"/>
      <c r="Y549" s="183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 ht="16.5" customHeight="1">
      <c r="A550" s="1"/>
      <c r="B550" s="1"/>
      <c r="C550" s="199"/>
      <c r="D550" s="1"/>
      <c r="E550" s="1"/>
      <c r="F550" s="1"/>
      <c r="G550" s="199"/>
      <c r="H550" s="1"/>
      <c r="I550" s="1"/>
      <c r="J550" s="1"/>
      <c r="K550" s="1"/>
      <c r="L550" s="1"/>
      <c r="M550" s="1"/>
      <c r="N550" s="10"/>
      <c r="O550" s="10"/>
      <c r="P550" s="10"/>
      <c r="Q550" s="10"/>
      <c r="R550" s="10"/>
      <c r="S550" s="10"/>
      <c r="T550" s="10"/>
      <c r="U550" s="1"/>
      <c r="V550" s="205"/>
      <c r="W550" s="205"/>
      <c r="X550" s="205"/>
      <c r="Y550" s="183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 ht="16.5" customHeight="1">
      <c r="A551" s="1"/>
      <c r="B551" s="1"/>
      <c r="C551" s="199"/>
      <c r="D551" s="1"/>
      <c r="E551" s="1"/>
      <c r="F551" s="1"/>
      <c r="G551" s="199"/>
      <c r="H551" s="1"/>
      <c r="I551" s="1"/>
      <c r="J551" s="1"/>
      <c r="K551" s="1"/>
      <c r="L551" s="1"/>
      <c r="M551" s="1"/>
      <c r="N551" s="10"/>
      <c r="O551" s="10"/>
      <c r="P551" s="10"/>
      <c r="Q551" s="10"/>
      <c r="R551" s="10"/>
      <c r="S551" s="10"/>
      <c r="T551" s="10"/>
      <c r="U551" s="1"/>
      <c r="V551" s="205"/>
      <c r="W551" s="205"/>
      <c r="X551" s="205"/>
      <c r="Y551" s="183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 ht="16.5" customHeight="1">
      <c r="A552" s="1"/>
      <c r="B552" s="1"/>
      <c r="C552" s="199"/>
      <c r="D552" s="1"/>
      <c r="E552" s="1"/>
      <c r="F552" s="1"/>
      <c r="G552" s="199"/>
      <c r="H552" s="1"/>
      <c r="I552" s="1"/>
      <c r="J552" s="1"/>
      <c r="K552" s="1"/>
      <c r="L552" s="1"/>
      <c r="M552" s="1"/>
      <c r="N552" s="10"/>
      <c r="O552" s="10"/>
      <c r="P552" s="10"/>
      <c r="Q552" s="10"/>
      <c r="R552" s="10"/>
      <c r="S552" s="10"/>
      <c r="T552" s="10"/>
      <c r="U552" s="1"/>
      <c r="V552" s="205"/>
      <c r="W552" s="205"/>
      <c r="X552" s="205"/>
      <c r="Y552" s="183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 ht="16.5" customHeight="1">
      <c r="A553" s="1"/>
      <c r="B553" s="1"/>
      <c r="C553" s="199"/>
      <c r="D553" s="1"/>
      <c r="E553" s="1"/>
      <c r="F553" s="1"/>
      <c r="G553" s="199"/>
      <c r="H553" s="1"/>
      <c r="I553" s="1"/>
      <c r="J553" s="1"/>
      <c r="K553" s="1"/>
      <c r="L553" s="1"/>
      <c r="M553" s="1"/>
      <c r="N553" s="10"/>
      <c r="O553" s="10"/>
      <c r="P553" s="10"/>
      <c r="Q553" s="10"/>
      <c r="R553" s="10"/>
      <c r="S553" s="10"/>
      <c r="T553" s="10"/>
      <c r="U553" s="1"/>
      <c r="V553" s="205"/>
      <c r="W553" s="205"/>
      <c r="X553" s="205"/>
      <c r="Y553" s="183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 ht="16.5" customHeight="1">
      <c r="A554" s="1"/>
      <c r="B554" s="1"/>
      <c r="C554" s="199"/>
      <c r="D554" s="1"/>
      <c r="E554" s="1"/>
      <c r="F554" s="1"/>
      <c r="G554" s="199"/>
      <c r="H554" s="1"/>
      <c r="I554" s="1"/>
      <c r="J554" s="1"/>
      <c r="K554" s="1"/>
      <c r="L554" s="1"/>
      <c r="M554" s="1"/>
      <c r="N554" s="10"/>
      <c r="O554" s="10"/>
      <c r="P554" s="10"/>
      <c r="Q554" s="10"/>
      <c r="R554" s="10"/>
      <c r="S554" s="10"/>
      <c r="T554" s="10"/>
      <c r="U554" s="1"/>
      <c r="V554" s="205"/>
      <c r="W554" s="205"/>
      <c r="X554" s="205"/>
      <c r="Y554" s="183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 ht="16.5" customHeight="1">
      <c r="A555" s="1"/>
      <c r="B555" s="1"/>
      <c r="C555" s="199"/>
      <c r="D555" s="1"/>
      <c r="E555" s="1"/>
      <c r="F555" s="1"/>
      <c r="G555" s="199"/>
      <c r="H555" s="1"/>
      <c r="I555" s="1"/>
      <c r="J555" s="1"/>
      <c r="K555" s="1"/>
      <c r="L555" s="1"/>
      <c r="M555" s="1"/>
      <c r="N555" s="10"/>
      <c r="O555" s="10"/>
      <c r="P555" s="10"/>
      <c r="Q555" s="10"/>
      <c r="R555" s="10"/>
      <c r="S555" s="10"/>
      <c r="T555" s="10"/>
      <c r="U555" s="1"/>
      <c r="V555" s="205"/>
      <c r="W555" s="205"/>
      <c r="X555" s="205"/>
      <c r="Y555" s="183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 ht="16.5" customHeight="1">
      <c r="A556" s="1"/>
      <c r="B556" s="1"/>
      <c r="C556" s="199"/>
      <c r="D556" s="1"/>
      <c r="E556" s="1"/>
      <c r="F556" s="1"/>
      <c r="G556" s="199"/>
      <c r="H556" s="1"/>
      <c r="I556" s="1"/>
      <c r="J556" s="1"/>
      <c r="K556" s="1"/>
      <c r="L556" s="1"/>
      <c r="M556" s="1"/>
      <c r="N556" s="10"/>
      <c r="O556" s="10"/>
      <c r="P556" s="10"/>
      <c r="Q556" s="10"/>
      <c r="R556" s="10"/>
      <c r="S556" s="10"/>
      <c r="T556" s="10"/>
      <c r="U556" s="1"/>
      <c r="V556" s="205"/>
      <c r="W556" s="205"/>
      <c r="X556" s="205"/>
      <c r="Y556" s="183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 ht="16.5" customHeight="1">
      <c r="A557" s="1"/>
      <c r="B557" s="1"/>
      <c r="C557" s="199"/>
      <c r="D557" s="1"/>
      <c r="E557" s="1"/>
      <c r="F557" s="1"/>
      <c r="G557" s="199"/>
      <c r="H557" s="1"/>
      <c r="I557" s="1"/>
      <c r="J557" s="1"/>
      <c r="K557" s="1"/>
      <c r="L557" s="1"/>
      <c r="M557" s="1"/>
      <c r="N557" s="10"/>
      <c r="O557" s="10"/>
      <c r="P557" s="10"/>
      <c r="Q557" s="10"/>
      <c r="R557" s="10"/>
      <c r="S557" s="10"/>
      <c r="T557" s="10"/>
      <c r="U557" s="1"/>
      <c r="V557" s="205"/>
      <c r="W557" s="205"/>
      <c r="X557" s="205"/>
      <c r="Y557" s="183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 ht="16.5" customHeight="1">
      <c r="A558" s="1"/>
      <c r="B558" s="1"/>
      <c r="C558" s="199"/>
      <c r="D558" s="1"/>
      <c r="E558" s="1"/>
      <c r="F558" s="1"/>
      <c r="G558" s="199"/>
      <c r="H558" s="1"/>
      <c r="I558" s="1"/>
      <c r="J558" s="1"/>
      <c r="K558" s="1"/>
      <c r="L558" s="1"/>
      <c r="M558" s="1"/>
      <c r="N558" s="10"/>
      <c r="O558" s="10"/>
      <c r="P558" s="10"/>
      <c r="Q558" s="10"/>
      <c r="R558" s="10"/>
      <c r="S558" s="10"/>
      <c r="T558" s="10"/>
      <c r="U558" s="1"/>
      <c r="V558" s="205"/>
      <c r="W558" s="205"/>
      <c r="X558" s="205"/>
      <c r="Y558" s="183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 ht="16.5" customHeight="1">
      <c r="A559" s="1"/>
      <c r="B559" s="1"/>
      <c r="C559" s="199"/>
      <c r="D559" s="1"/>
      <c r="E559" s="1"/>
      <c r="F559" s="1"/>
      <c r="G559" s="199"/>
      <c r="H559" s="1"/>
      <c r="I559" s="1"/>
      <c r="J559" s="1"/>
      <c r="K559" s="1"/>
      <c r="L559" s="1"/>
      <c r="M559" s="1"/>
      <c r="N559" s="10"/>
      <c r="O559" s="10"/>
      <c r="P559" s="10"/>
      <c r="Q559" s="10"/>
      <c r="R559" s="10"/>
      <c r="S559" s="10"/>
      <c r="T559" s="10"/>
      <c r="U559" s="1"/>
      <c r="V559" s="205"/>
      <c r="W559" s="205"/>
      <c r="X559" s="205"/>
      <c r="Y559" s="183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 ht="16.5" customHeight="1">
      <c r="A560" s="1"/>
      <c r="B560" s="1"/>
      <c r="C560" s="199"/>
      <c r="D560" s="1"/>
      <c r="E560" s="1"/>
      <c r="F560" s="1"/>
      <c r="G560" s="199"/>
      <c r="H560" s="1"/>
      <c r="I560" s="1"/>
      <c r="J560" s="1"/>
      <c r="K560" s="1"/>
      <c r="L560" s="1"/>
      <c r="M560" s="1"/>
      <c r="N560" s="10"/>
      <c r="O560" s="10"/>
      <c r="P560" s="10"/>
      <c r="Q560" s="10"/>
      <c r="R560" s="10"/>
      <c r="S560" s="10"/>
      <c r="T560" s="10"/>
      <c r="U560" s="1"/>
      <c r="V560" s="205"/>
      <c r="W560" s="205"/>
      <c r="X560" s="205"/>
      <c r="Y560" s="183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 ht="16.5" customHeight="1">
      <c r="A561" s="1"/>
      <c r="B561" s="1"/>
      <c r="C561" s="199"/>
      <c r="D561" s="1"/>
      <c r="E561" s="1"/>
      <c r="F561" s="1"/>
      <c r="G561" s="199"/>
      <c r="H561" s="1"/>
      <c r="I561" s="1"/>
      <c r="J561" s="1"/>
      <c r="K561" s="1"/>
      <c r="L561" s="1"/>
      <c r="M561" s="1"/>
      <c r="N561" s="10"/>
      <c r="O561" s="10"/>
      <c r="P561" s="10"/>
      <c r="Q561" s="10"/>
      <c r="R561" s="10"/>
      <c r="S561" s="10"/>
      <c r="T561" s="10"/>
      <c r="U561" s="1"/>
      <c r="V561" s="205"/>
      <c r="W561" s="205"/>
      <c r="X561" s="205"/>
      <c r="Y561" s="183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 ht="16.5" customHeight="1">
      <c r="A562" s="1"/>
      <c r="B562" s="1"/>
      <c r="C562" s="199"/>
      <c r="D562" s="1"/>
      <c r="E562" s="1"/>
      <c r="F562" s="1"/>
      <c r="G562" s="199"/>
      <c r="H562" s="1"/>
      <c r="I562" s="1"/>
      <c r="J562" s="1"/>
      <c r="K562" s="1"/>
      <c r="L562" s="1"/>
      <c r="M562" s="1"/>
      <c r="N562" s="10"/>
      <c r="O562" s="10"/>
      <c r="P562" s="10"/>
      <c r="Q562" s="10"/>
      <c r="R562" s="10"/>
      <c r="S562" s="10"/>
      <c r="T562" s="10"/>
      <c r="U562" s="1"/>
      <c r="V562" s="205"/>
      <c r="W562" s="205"/>
      <c r="X562" s="205"/>
      <c r="Y562" s="183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 ht="16.5" customHeight="1">
      <c r="A563" s="1"/>
      <c r="B563" s="1"/>
      <c r="C563" s="199"/>
      <c r="D563" s="1"/>
      <c r="E563" s="1"/>
      <c r="F563" s="1"/>
      <c r="G563" s="199"/>
      <c r="H563" s="1"/>
      <c r="I563" s="1"/>
      <c r="J563" s="1"/>
      <c r="K563" s="1"/>
      <c r="L563" s="1"/>
      <c r="M563" s="1"/>
      <c r="N563" s="10"/>
      <c r="O563" s="10"/>
      <c r="P563" s="10"/>
      <c r="Q563" s="10"/>
      <c r="R563" s="10"/>
      <c r="S563" s="10"/>
      <c r="T563" s="10"/>
      <c r="U563" s="1"/>
      <c r="V563" s="205"/>
      <c r="W563" s="205"/>
      <c r="X563" s="205"/>
      <c r="Y563" s="183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 ht="16.5" customHeight="1">
      <c r="A564" s="1"/>
      <c r="B564" s="1"/>
      <c r="C564" s="199"/>
      <c r="D564" s="1"/>
      <c r="E564" s="1"/>
      <c r="F564" s="1"/>
      <c r="G564" s="199"/>
      <c r="H564" s="1"/>
      <c r="I564" s="1"/>
      <c r="J564" s="1"/>
      <c r="K564" s="1"/>
      <c r="L564" s="1"/>
      <c r="M564" s="1"/>
      <c r="N564" s="10"/>
      <c r="O564" s="10"/>
      <c r="P564" s="10"/>
      <c r="Q564" s="10"/>
      <c r="R564" s="10"/>
      <c r="S564" s="10"/>
      <c r="T564" s="10"/>
      <c r="U564" s="1"/>
      <c r="V564" s="205"/>
      <c r="W564" s="205"/>
      <c r="X564" s="205"/>
      <c r="Y564" s="183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 ht="16.5" customHeight="1">
      <c r="A565" s="1"/>
      <c r="B565" s="1"/>
      <c r="C565" s="199"/>
      <c r="D565" s="1"/>
      <c r="E565" s="1"/>
      <c r="F565" s="1"/>
      <c r="G565" s="199"/>
      <c r="H565" s="1"/>
      <c r="I565" s="1"/>
      <c r="J565" s="1"/>
      <c r="K565" s="1"/>
      <c r="L565" s="1"/>
      <c r="M565" s="1"/>
      <c r="N565" s="10"/>
      <c r="O565" s="10"/>
      <c r="P565" s="10"/>
      <c r="Q565" s="10"/>
      <c r="R565" s="10"/>
      <c r="S565" s="10"/>
      <c r="T565" s="10"/>
      <c r="U565" s="1"/>
      <c r="V565" s="205"/>
      <c r="W565" s="205"/>
      <c r="X565" s="205"/>
      <c r="Y565" s="183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 ht="16.5" customHeight="1">
      <c r="A566" s="1"/>
      <c r="B566" s="1"/>
      <c r="C566" s="199"/>
      <c r="D566" s="1"/>
      <c r="E566" s="1"/>
      <c r="F566" s="1"/>
      <c r="G566" s="199"/>
      <c r="H566" s="1"/>
      <c r="I566" s="1"/>
      <c r="J566" s="1"/>
      <c r="K566" s="1"/>
      <c r="L566" s="1"/>
      <c r="M566" s="1"/>
      <c r="N566" s="10"/>
      <c r="O566" s="10"/>
      <c r="P566" s="10"/>
      <c r="Q566" s="10"/>
      <c r="R566" s="10"/>
      <c r="S566" s="10"/>
      <c r="T566" s="10"/>
      <c r="U566" s="1"/>
      <c r="V566" s="205"/>
      <c r="W566" s="205"/>
      <c r="X566" s="205"/>
      <c r="Y566" s="183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 ht="16.5" customHeight="1">
      <c r="A567" s="1"/>
      <c r="B567" s="1"/>
      <c r="C567" s="199"/>
      <c r="D567" s="1"/>
      <c r="E567" s="1"/>
      <c r="F567" s="1"/>
      <c r="G567" s="199"/>
      <c r="H567" s="1"/>
      <c r="I567" s="1"/>
      <c r="J567" s="1"/>
      <c r="K567" s="1"/>
      <c r="L567" s="1"/>
      <c r="M567" s="1"/>
      <c r="N567" s="10"/>
      <c r="O567" s="10"/>
      <c r="P567" s="10"/>
      <c r="Q567" s="10"/>
      <c r="R567" s="10"/>
      <c r="S567" s="10"/>
      <c r="T567" s="10"/>
      <c r="U567" s="1"/>
      <c r="V567" s="205"/>
      <c r="W567" s="205"/>
      <c r="X567" s="205"/>
      <c r="Y567" s="183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ht="16.5" customHeight="1">
      <c r="A568" s="1"/>
      <c r="B568" s="1"/>
      <c r="C568" s="199"/>
      <c r="D568" s="1"/>
      <c r="E568" s="1"/>
      <c r="F568" s="1"/>
      <c r="G568" s="199"/>
      <c r="H568" s="1"/>
      <c r="I568" s="1"/>
      <c r="J568" s="1"/>
      <c r="K568" s="1"/>
      <c r="L568" s="1"/>
      <c r="M568" s="1"/>
      <c r="N568" s="10"/>
      <c r="O568" s="10"/>
      <c r="P568" s="10"/>
      <c r="Q568" s="10"/>
      <c r="R568" s="10"/>
      <c r="S568" s="10"/>
      <c r="T568" s="10"/>
      <c r="U568" s="1"/>
      <c r="V568" s="205"/>
      <c r="W568" s="205"/>
      <c r="X568" s="205"/>
      <c r="Y568" s="183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 ht="16.5" customHeight="1">
      <c r="A569" s="1"/>
      <c r="B569" s="1"/>
      <c r="C569" s="199"/>
      <c r="D569" s="1"/>
      <c r="E569" s="1"/>
      <c r="F569" s="1"/>
      <c r="G569" s="199"/>
      <c r="H569" s="1"/>
      <c r="I569" s="1"/>
      <c r="J569" s="1"/>
      <c r="K569" s="1"/>
      <c r="L569" s="1"/>
      <c r="M569" s="1"/>
      <c r="N569" s="10"/>
      <c r="O569" s="10"/>
      <c r="P569" s="10"/>
      <c r="Q569" s="10"/>
      <c r="R569" s="10"/>
      <c r="S569" s="10"/>
      <c r="T569" s="10"/>
      <c r="U569" s="1"/>
      <c r="V569" s="205"/>
      <c r="W569" s="205"/>
      <c r="X569" s="205"/>
      <c r="Y569" s="183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 ht="16.5" customHeight="1">
      <c r="A570" s="1"/>
      <c r="B570" s="1"/>
      <c r="C570" s="199"/>
      <c r="D570" s="1"/>
      <c r="E570" s="1"/>
      <c r="F570" s="1"/>
      <c r="G570" s="199"/>
      <c r="H570" s="1"/>
      <c r="I570" s="1"/>
      <c r="J570" s="1"/>
      <c r="K570" s="1"/>
      <c r="L570" s="1"/>
      <c r="M570" s="1"/>
      <c r="N570" s="10"/>
      <c r="O570" s="10"/>
      <c r="P570" s="10"/>
      <c r="Q570" s="10"/>
      <c r="R570" s="10"/>
      <c r="S570" s="10"/>
      <c r="T570" s="10"/>
      <c r="U570" s="1"/>
      <c r="V570" s="205"/>
      <c r="W570" s="205"/>
      <c r="X570" s="205"/>
      <c r="Y570" s="183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 ht="16.5" customHeight="1">
      <c r="A571" s="1"/>
      <c r="B571" s="1"/>
      <c r="C571" s="199"/>
      <c r="D571" s="1"/>
      <c r="E571" s="1"/>
      <c r="F571" s="1"/>
      <c r="G571" s="199"/>
      <c r="H571" s="1"/>
      <c r="I571" s="1"/>
      <c r="J571" s="1"/>
      <c r="K571" s="1"/>
      <c r="L571" s="1"/>
      <c r="M571" s="1"/>
      <c r="N571" s="10"/>
      <c r="O571" s="10"/>
      <c r="P571" s="10"/>
      <c r="Q571" s="10"/>
      <c r="R571" s="10"/>
      <c r="S571" s="10"/>
      <c r="T571" s="10"/>
      <c r="U571" s="1"/>
      <c r="V571" s="205"/>
      <c r="W571" s="205"/>
      <c r="X571" s="205"/>
      <c r="Y571" s="183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 ht="16.5" customHeight="1">
      <c r="A572" s="1"/>
      <c r="B572" s="1"/>
      <c r="C572" s="199"/>
      <c r="D572" s="1"/>
      <c r="E572" s="1"/>
      <c r="F572" s="1"/>
      <c r="G572" s="199"/>
      <c r="H572" s="1"/>
      <c r="I572" s="1"/>
      <c r="J572" s="1"/>
      <c r="K572" s="1"/>
      <c r="L572" s="1"/>
      <c r="M572" s="1"/>
      <c r="N572" s="10"/>
      <c r="O572" s="10"/>
      <c r="P572" s="10"/>
      <c r="Q572" s="10"/>
      <c r="R572" s="10"/>
      <c r="S572" s="10"/>
      <c r="T572" s="10"/>
      <c r="U572" s="1"/>
      <c r="V572" s="205"/>
      <c r="W572" s="205"/>
      <c r="X572" s="205"/>
      <c r="Y572" s="183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 ht="16.5" customHeight="1">
      <c r="A573" s="1"/>
      <c r="B573" s="1"/>
      <c r="C573" s="199"/>
      <c r="D573" s="1"/>
      <c r="E573" s="1"/>
      <c r="F573" s="1"/>
      <c r="G573" s="199"/>
      <c r="H573" s="1"/>
      <c r="I573" s="1"/>
      <c r="J573" s="1"/>
      <c r="K573" s="1"/>
      <c r="L573" s="1"/>
      <c r="M573" s="1"/>
      <c r="N573" s="10"/>
      <c r="O573" s="10"/>
      <c r="P573" s="10"/>
      <c r="Q573" s="10"/>
      <c r="R573" s="10"/>
      <c r="S573" s="10"/>
      <c r="T573" s="10"/>
      <c r="U573" s="1"/>
      <c r="V573" s="205"/>
      <c r="W573" s="205"/>
      <c r="X573" s="205"/>
      <c r="Y573" s="183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 ht="16.5" customHeight="1">
      <c r="A574" s="1"/>
      <c r="B574" s="1"/>
      <c r="C574" s="199"/>
      <c r="D574" s="1"/>
      <c r="E574" s="1"/>
      <c r="F574" s="1"/>
      <c r="G574" s="199"/>
      <c r="H574" s="1"/>
      <c r="I574" s="1"/>
      <c r="J574" s="1"/>
      <c r="K574" s="1"/>
      <c r="L574" s="1"/>
      <c r="M574" s="1"/>
      <c r="N574" s="10"/>
      <c r="O574" s="10"/>
      <c r="P574" s="10"/>
      <c r="Q574" s="10"/>
      <c r="R574" s="10"/>
      <c r="S574" s="10"/>
      <c r="T574" s="10"/>
      <c r="U574" s="1"/>
      <c r="V574" s="205"/>
      <c r="W574" s="205"/>
      <c r="X574" s="205"/>
      <c r="Y574" s="183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 ht="16.5" customHeight="1">
      <c r="A575" s="1"/>
      <c r="B575" s="1"/>
      <c r="C575" s="199"/>
      <c r="D575" s="1"/>
      <c r="E575" s="1"/>
      <c r="F575" s="1"/>
      <c r="G575" s="199"/>
      <c r="H575" s="1"/>
      <c r="I575" s="1"/>
      <c r="J575" s="1"/>
      <c r="K575" s="1"/>
      <c r="L575" s="1"/>
      <c r="M575" s="1"/>
      <c r="N575" s="10"/>
      <c r="O575" s="10"/>
      <c r="P575" s="10"/>
      <c r="Q575" s="10"/>
      <c r="R575" s="10"/>
      <c r="S575" s="10"/>
      <c r="T575" s="10"/>
      <c r="U575" s="1"/>
      <c r="V575" s="205"/>
      <c r="W575" s="205"/>
      <c r="X575" s="205"/>
      <c r="Y575" s="183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 ht="16.5" customHeight="1">
      <c r="A576" s="1"/>
      <c r="B576" s="1"/>
      <c r="C576" s="199"/>
      <c r="D576" s="1"/>
      <c r="E576" s="1"/>
      <c r="F576" s="1"/>
      <c r="G576" s="199"/>
      <c r="H576" s="1"/>
      <c r="I576" s="1"/>
      <c r="J576" s="1"/>
      <c r="K576" s="1"/>
      <c r="L576" s="1"/>
      <c r="M576" s="1"/>
      <c r="N576" s="10"/>
      <c r="O576" s="10"/>
      <c r="P576" s="10"/>
      <c r="Q576" s="10"/>
      <c r="R576" s="10"/>
      <c r="S576" s="10"/>
      <c r="T576" s="10"/>
      <c r="U576" s="1"/>
      <c r="V576" s="205"/>
      <c r="W576" s="205"/>
      <c r="X576" s="205"/>
      <c r="Y576" s="183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 ht="16.5" customHeight="1">
      <c r="A577" s="1"/>
      <c r="B577" s="1"/>
      <c r="C577" s="199"/>
      <c r="D577" s="1"/>
      <c r="E577" s="1"/>
      <c r="F577" s="1"/>
      <c r="G577" s="199"/>
      <c r="H577" s="1"/>
      <c r="I577" s="1"/>
      <c r="J577" s="1"/>
      <c r="K577" s="1"/>
      <c r="L577" s="1"/>
      <c r="M577" s="1"/>
      <c r="N577" s="10"/>
      <c r="O577" s="10"/>
      <c r="P577" s="10"/>
      <c r="Q577" s="10"/>
      <c r="R577" s="10"/>
      <c r="S577" s="10"/>
      <c r="T577" s="10"/>
      <c r="U577" s="1"/>
      <c r="V577" s="205"/>
      <c r="W577" s="205"/>
      <c r="X577" s="205"/>
      <c r="Y577" s="183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 ht="16.5" customHeight="1">
      <c r="A578" s="1"/>
      <c r="B578" s="1"/>
      <c r="C578" s="199"/>
      <c r="D578" s="1"/>
      <c r="E578" s="1"/>
      <c r="F578" s="1"/>
      <c r="G578" s="199"/>
      <c r="H578" s="1"/>
      <c r="I578" s="1"/>
      <c r="J578" s="1"/>
      <c r="K578" s="1"/>
      <c r="L578" s="1"/>
      <c r="M578" s="1"/>
      <c r="N578" s="10"/>
      <c r="O578" s="10"/>
      <c r="P578" s="10"/>
      <c r="Q578" s="10"/>
      <c r="R578" s="10"/>
      <c r="S578" s="10"/>
      <c r="T578" s="10"/>
      <c r="U578" s="1"/>
      <c r="V578" s="205"/>
      <c r="W578" s="205"/>
      <c r="X578" s="205"/>
      <c r="Y578" s="183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 ht="16.5" customHeight="1">
      <c r="A579" s="1"/>
      <c r="B579" s="1"/>
      <c r="C579" s="199"/>
      <c r="D579" s="1"/>
      <c r="E579" s="1"/>
      <c r="F579" s="1"/>
      <c r="G579" s="199"/>
      <c r="H579" s="1"/>
      <c r="I579" s="1"/>
      <c r="J579" s="1"/>
      <c r="K579" s="1"/>
      <c r="L579" s="1"/>
      <c r="M579" s="1"/>
      <c r="N579" s="10"/>
      <c r="O579" s="10"/>
      <c r="P579" s="10"/>
      <c r="Q579" s="10"/>
      <c r="R579" s="10"/>
      <c r="S579" s="10"/>
      <c r="T579" s="10"/>
      <c r="U579" s="1"/>
      <c r="V579" s="205"/>
      <c r="W579" s="205"/>
      <c r="X579" s="205"/>
      <c r="Y579" s="183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 ht="16.5" customHeight="1">
      <c r="A580" s="1"/>
      <c r="B580" s="1"/>
      <c r="C580" s="199"/>
      <c r="D580" s="1"/>
      <c r="E580" s="1"/>
      <c r="F580" s="1"/>
      <c r="G580" s="199"/>
      <c r="H580" s="1"/>
      <c r="I580" s="1"/>
      <c r="J580" s="1"/>
      <c r="K580" s="1"/>
      <c r="L580" s="1"/>
      <c r="M580" s="1"/>
      <c r="N580" s="10"/>
      <c r="O580" s="10"/>
      <c r="P580" s="10"/>
      <c r="Q580" s="10"/>
      <c r="R580" s="10"/>
      <c r="S580" s="10"/>
      <c r="T580" s="10"/>
      <c r="U580" s="1"/>
      <c r="V580" s="205"/>
      <c r="W580" s="205"/>
      <c r="X580" s="205"/>
      <c r="Y580" s="183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ht="16.5" customHeight="1">
      <c r="A581" s="1"/>
      <c r="B581" s="1"/>
      <c r="C581" s="199"/>
      <c r="D581" s="1"/>
      <c r="E581" s="1"/>
      <c r="F581" s="1"/>
      <c r="G581" s="199"/>
      <c r="H581" s="1"/>
      <c r="I581" s="1"/>
      <c r="J581" s="1"/>
      <c r="K581" s="1"/>
      <c r="L581" s="1"/>
      <c r="M581" s="1"/>
      <c r="N581" s="10"/>
      <c r="O581" s="10"/>
      <c r="P581" s="10"/>
      <c r="Q581" s="10"/>
      <c r="R581" s="10"/>
      <c r="S581" s="10"/>
      <c r="T581" s="10"/>
      <c r="U581" s="1"/>
      <c r="V581" s="205"/>
      <c r="W581" s="205"/>
      <c r="X581" s="205"/>
      <c r="Y581" s="183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 ht="16.5" customHeight="1">
      <c r="A582" s="1"/>
      <c r="B582" s="1"/>
      <c r="C582" s="199"/>
      <c r="D582" s="1"/>
      <c r="E582" s="1"/>
      <c r="F582" s="1"/>
      <c r="G582" s="199"/>
      <c r="H582" s="1"/>
      <c r="I582" s="1"/>
      <c r="J582" s="1"/>
      <c r="K582" s="1"/>
      <c r="L582" s="1"/>
      <c r="M582" s="1"/>
      <c r="N582" s="10"/>
      <c r="O582" s="10"/>
      <c r="P582" s="10"/>
      <c r="Q582" s="10"/>
      <c r="R582" s="10"/>
      <c r="S582" s="10"/>
      <c r="T582" s="10"/>
      <c r="U582" s="1"/>
      <c r="V582" s="205"/>
      <c r="W582" s="205"/>
      <c r="X582" s="205"/>
      <c r="Y582" s="183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 ht="16.5" customHeight="1">
      <c r="A583" s="1"/>
      <c r="B583" s="1"/>
      <c r="C583" s="199"/>
      <c r="D583" s="1"/>
      <c r="E583" s="1"/>
      <c r="F583" s="1"/>
      <c r="G583" s="199"/>
      <c r="H583" s="1"/>
      <c r="I583" s="1"/>
      <c r="J583" s="1"/>
      <c r="K583" s="1"/>
      <c r="L583" s="1"/>
      <c r="M583" s="1"/>
      <c r="N583" s="10"/>
      <c r="O583" s="10"/>
      <c r="P583" s="10"/>
      <c r="Q583" s="10"/>
      <c r="R583" s="10"/>
      <c r="S583" s="10"/>
      <c r="T583" s="10"/>
      <c r="U583" s="1"/>
      <c r="V583" s="205"/>
      <c r="W583" s="205"/>
      <c r="X583" s="205"/>
      <c r="Y583" s="183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 ht="16.5" customHeight="1">
      <c r="A584" s="1"/>
      <c r="B584" s="1"/>
      <c r="C584" s="199"/>
      <c r="D584" s="1"/>
      <c r="E584" s="1"/>
      <c r="F584" s="1"/>
      <c r="G584" s="199"/>
      <c r="H584" s="1"/>
      <c r="I584" s="1"/>
      <c r="J584" s="1"/>
      <c r="K584" s="1"/>
      <c r="L584" s="1"/>
      <c r="M584" s="1"/>
      <c r="N584" s="10"/>
      <c r="O584" s="10"/>
      <c r="P584" s="10"/>
      <c r="Q584" s="10"/>
      <c r="R584" s="10"/>
      <c r="S584" s="10"/>
      <c r="T584" s="10"/>
      <c r="U584" s="1"/>
      <c r="V584" s="205"/>
      <c r="W584" s="205"/>
      <c r="X584" s="205"/>
      <c r="Y584" s="183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 ht="16.5" customHeight="1">
      <c r="A585" s="1"/>
      <c r="B585" s="1"/>
      <c r="C585" s="199"/>
      <c r="D585" s="1"/>
      <c r="E585" s="1"/>
      <c r="F585" s="1"/>
      <c r="G585" s="199"/>
      <c r="H585" s="1"/>
      <c r="I585" s="1"/>
      <c r="J585" s="1"/>
      <c r="K585" s="1"/>
      <c r="L585" s="1"/>
      <c r="M585" s="1"/>
      <c r="N585" s="10"/>
      <c r="O585" s="10"/>
      <c r="P585" s="10"/>
      <c r="Q585" s="10"/>
      <c r="R585" s="10"/>
      <c r="S585" s="10"/>
      <c r="T585" s="10"/>
      <c r="U585" s="1"/>
      <c r="V585" s="205"/>
      <c r="W585" s="205"/>
      <c r="X585" s="205"/>
      <c r="Y585" s="183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 ht="16.5" customHeight="1">
      <c r="A586" s="1"/>
      <c r="B586" s="1"/>
      <c r="C586" s="199"/>
      <c r="D586" s="1"/>
      <c r="E586" s="1"/>
      <c r="F586" s="1"/>
      <c r="G586" s="199"/>
      <c r="H586" s="1"/>
      <c r="I586" s="1"/>
      <c r="J586" s="1"/>
      <c r="K586" s="1"/>
      <c r="L586" s="1"/>
      <c r="M586" s="1"/>
      <c r="N586" s="10"/>
      <c r="O586" s="10"/>
      <c r="P586" s="10"/>
      <c r="Q586" s="10"/>
      <c r="R586" s="10"/>
      <c r="S586" s="10"/>
      <c r="T586" s="10"/>
      <c r="U586" s="1"/>
      <c r="V586" s="205"/>
      <c r="W586" s="205"/>
      <c r="X586" s="205"/>
      <c r="Y586" s="183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 ht="16.5" customHeight="1">
      <c r="A587" s="1"/>
      <c r="B587" s="1"/>
      <c r="C587" s="199"/>
      <c r="D587" s="1"/>
      <c r="E587" s="1"/>
      <c r="F587" s="1"/>
      <c r="G587" s="199"/>
      <c r="H587" s="1"/>
      <c r="I587" s="1"/>
      <c r="J587" s="1"/>
      <c r="K587" s="1"/>
      <c r="L587" s="1"/>
      <c r="M587" s="1"/>
      <c r="N587" s="10"/>
      <c r="O587" s="10"/>
      <c r="P587" s="10"/>
      <c r="Q587" s="10"/>
      <c r="R587" s="10"/>
      <c r="S587" s="10"/>
      <c r="T587" s="10"/>
      <c r="U587" s="1"/>
      <c r="V587" s="205"/>
      <c r="W587" s="205"/>
      <c r="X587" s="205"/>
      <c r="Y587" s="183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 ht="16.5" customHeight="1">
      <c r="A588" s="1"/>
      <c r="B588" s="1"/>
      <c r="C588" s="199"/>
      <c r="D588" s="1"/>
      <c r="E588" s="1"/>
      <c r="F588" s="1"/>
      <c r="G588" s="199"/>
      <c r="H588" s="1"/>
      <c r="I588" s="1"/>
      <c r="J588" s="1"/>
      <c r="K588" s="1"/>
      <c r="L588" s="1"/>
      <c r="M588" s="1"/>
      <c r="N588" s="10"/>
      <c r="O588" s="10"/>
      <c r="P588" s="10"/>
      <c r="Q588" s="10"/>
      <c r="R588" s="10"/>
      <c r="S588" s="10"/>
      <c r="T588" s="10"/>
      <c r="U588" s="1"/>
      <c r="V588" s="205"/>
      <c r="W588" s="205"/>
      <c r="X588" s="205"/>
      <c r="Y588" s="183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 ht="16.5" customHeight="1">
      <c r="A589" s="1"/>
      <c r="B589" s="1"/>
      <c r="C589" s="199"/>
      <c r="D589" s="1"/>
      <c r="E589" s="1"/>
      <c r="F589" s="1"/>
      <c r="G589" s="199"/>
      <c r="H589" s="1"/>
      <c r="I589" s="1"/>
      <c r="J589" s="1"/>
      <c r="K589" s="1"/>
      <c r="L589" s="1"/>
      <c r="M589" s="1"/>
      <c r="N589" s="10"/>
      <c r="O589" s="10"/>
      <c r="P589" s="10"/>
      <c r="Q589" s="10"/>
      <c r="R589" s="10"/>
      <c r="S589" s="10"/>
      <c r="T589" s="10"/>
      <c r="U589" s="1"/>
      <c r="V589" s="205"/>
      <c r="W589" s="205"/>
      <c r="X589" s="205"/>
      <c r="Y589" s="183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 ht="16.5" customHeight="1">
      <c r="A590" s="1"/>
      <c r="B590" s="1"/>
      <c r="C590" s="199"/>
      <c r="D590" s="1"/>
      <c r="E590" s="1"/>
      <c r="F590" s="1"/>
      <c r="G590" s="199"/>
      <c r="H590" s="1"/>
      <c r="I590" s="1"/>
      <c r="J590" s="1"/>
      <c r="K590" s="1"/>
      <c r="L590" s="1"/>
      <c r="M590" s="1"/>
      <c r="N590" s="10"/>
      <c r="O590" s="10"/>
      <c r="P590" s="10"/>
      <c r="Q590" s="10"/>
      <c r="R590" s="10"/>
      <c r="S590" s="10"/>
      <c r="T590" s="10"/>
      <c r="U590" s="1"/>
      <c r="V590" s="205"/>
      <c r="W590" s="205"/>
      <c r="X590" s="205"/>
      <c r="Y590" s="183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 ht="16.5" customHeight="1">
      <c r="A591" s="1"/>
      <c r="B591" s="1"/>
      <c r="C591" s="199"/>
      <c r="D591" s="1"/>
      <c r="E591" s="1"/>
      <c r="F591" s="1"/>
      <c r="G591" s="199"/>
      <c r="H591" s="1"/>
      <c r="I591" s="1"/>
      <c r="J591" s="1"/>
      <c r="K591" s="1"/>
      <c r="L591" s="1"/>
      <c r="M591" s="1"/>
      <c r="N591" s="10"/>
      <c r="O591" s="10"/>
      <c r="P591" s="10"/>
      <c r="Q591" s="10"/>
      <c r="R591" s="10"/>
      <c r="S591" s="10"/>
      <c r="T591" s="10"/>
      <c r="U591" s="1"/>
      <c r="V591" s="205"/>
      <c r="W591" s="205"/>
      <c r="X591" s="205"/>
      <c r="Y591" s="183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 ht="16.5" customHeight="1">
      <c r="A592" s="1"/>
      <c r="B592" s="1"/>
      <c r="C592" s="199"/>
      <c r="D592" s="1"/>
      <c r="E592" s="1"/>
      <c r="F592" s="1"/>
      <c r="G592" s="199"/>
      <c r="H592" s="1"/>
      <c r="I592" s="1"/>
      <c r="J592" s="1"/>
      <c r="K592" s="1"/>
      <c r="L592" s="1"/>
      <c r="M592" s="1"/>
      <c r="N592" s="10"/>
      <c r="O592" s="10"/>
      <c r="P592" s="10"/>
      <c r="Q592" s="10"/>
      <c r="R592" s="10"/>
      <c r="S592" s="10"/>
      <c r="T592" s="10"/>
      <c r="U592" s="1"/>
      <c r="V592" s="205"/>
      <c r="W592" s="205"/>
      <c r="X592" s="205"/>
      <c r="Y592" s="183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 ht="16.5" customHeight="1">
      <c r="A593" s="1"/>
      <c r="B593" s="1"/>
      <c r="C593" s="199"/>
      <c r="D593" s="1"/>
      <c r="E593" s="1"/>
      <c r="F593" s="1"/>
      <c r="G593" s="199"/>
      <c r="H593" s="1"/>
      <c r="I593" s="1"/>
      <c r="J593" s="1"/>
      <c r="K593" s="1"/>
      <c r="L593" s="1"/>
      <c r="M593" s="1"/>
      <c r="N593" s="10"/>
      <c r="O593" s="10"/>
      <c r="P593" s="10"/>
      <c r="Q593" s="10"/>
      <c r="R593" s="10"/>
      <c r="S593" s="10"/>
      <c r="T593" s="10"/>
      <c r="U593" s="1"/>
      <c r="V593" s="205"/>
      <c r="W593" s="205"/>
      <c r="X593" s="205"/>
      <c r="Y593" s="183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 ht="16.5" customHeight="1">
      <c r="A594" s="1"/>
      <c r="B594" s="1"/>
      <c r="C594" s="199"/>
      <c r="D594" s="1"/>
      <c r="E594" s="1"/>
      <c r="F594" s="1"/>
      <c r="G594" s="199"/>
      <c r="H594" s="1"/>
      <c r="I594" s="1"/>
      <c r="J594" s="1"/>
      <c r="K594" s="1"/>
      <c r="L594" s="1"/>
      <c r="M594" s="1"/>
      <c r="N594" s="10"/>
      <c r="O594" s="10"/>
      <c r="P594" s="10"/>
      <c r="Q594" s="10"/>
      <c r="R594" s="10"/>
      <c r="S594" s="10"/>
      <c r="T594" s="10"/>
      <c r="U594" s="1"/>
      <c r="V594" s="205"/>
      <c r="W594" s="205"/>
      <c r="X594" s="205"/>
      <c r="Y594" s="183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 ht="16.5" customHeight="1">
      <c r="A595" s="1"/>
      <c r="B595" s="1"/>
      <c r="C595" s="199"/>
      <c r="D595" s="1"/>
      <c r="E595" s="1"/>
      <c r="F595" s="1"/>
      <c r="G595" s="199"/>
      <c r="H595" s="1"/>
      <c r="I595" s="1"/>
      <c r="J595" s="1"/>
      <c r="K595" s="1"/>
      <c r="L595" s="1"/>
      <c r="M595" s="1"/>
      <c r="N595" s="10"/>
      <c r="O595" s="10"/>
      <c r="P595" s="10"/>
      <c r="Q595" s="10"/>
      <c r="R595" s="10"/>
      <c r="S595" s="10"/>
      <c r="T595" s="10"/>
      <c r="U595" s="1"/>
      <c r="V595" s="205"/>
      <c r="W595" s="205"/>
      <c r="X595" s="205"/>
      <c r="Y595" s="183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 ht="16.5" customHeight="1">
      <c r="A596" s="1"/>
      <c r="B596" s="1"/>
      <c r="C596" s="199"/>
      <c r="D596" s="1"/>
      <c r="E596" s="1"/>
      <c r="F596" s="1"/>
      <c r="G596" s="199"/>
      <c r="H596" s="1"/>
      <c r="I596" s="1"/>
      <c r="J596" s="1"/>
      <c r="K596" s="1"/>
      <c r="L596" s="1"/>
      <c r="M596" s="1"/>
      <c r="N596" s="10"/>
      <c r="O596" s="10"/>
      <c r="P596" s="10"/>
      <c r="Q596" s="10"/>
      <c r="R596" s="10"/>
      <c r="S596" s="10"/>
      <c r="T596" s="10"/>
      <c r="U596" s="1"/>
      <c r="V596" s="205"/>
      <c r="W596" s="205"/>
      <c r="X596" s="205"/>
      <c r="Y596" s="183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 ht="16.5" customHeight="1">
      <c r="A597" s="1"/>
      <c r="B597" s="1"/>
      <c r="C597" s="199"/>
      <c r="D597" s="1"/>
      <c r="E597" s="1"/>
      <c r="F597" s="1"/>
      <c r="G597" s="199"/>
      <c r="H597" s="1"/>
      <c r="I597" s="1"/>
      <c r="J597" s="1"/>
      <c r="K597" s="1"/>
      <c r="L597" s="1"/>
      <c r="M597" s="1"/>
      <c r="N597" s="10"/>
      <c r="O597" s="10"/>
      <c r="P597" s="10"/>
      <c r="Q597" s="10"/>
      <c r="R597" s="10"/>
      <c r="S597" s="10"/>
      <c r="T597" s="10"/>
      <c r="U597" s="1"/>
      <c r="V597" s="205"/>
      <c r="W597" s="205"/>
      <c r="X597" s="205"/>
      <c r="Y597" s="183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 ht="16.5" customHeight="1">
      <c r="A598" s="1"/>
      <c r="B598" s="1"/>
      <c r="C598" s="199"/>
      <c r="D598" s="1"/>
      <c r="E598" s="1"/>
      <c r="F598" s="1"/>
      <c r="G598" s="199"/>
      <c r="H598" s="1"/>
      <c r="I598" s="1"/>
      <c r="J598" s="1"/>
      <c r="K598" s="1"/>
      <c r="L598" s="1"/>
      <c r="M598" s="1"/>
      <c r="N598" s="10"/>
      <c r="O598" s="10"/>
      <c r="P598" s="10"/>
      <c r="Q598" s="10"/>
      <c r="R598" s="10"/>
      <c r="S598" s="10"/>
      <c r="T598" s="10"/>
      <c r="U598" s="1"/>
      <c r="V598" s="205"/>
      <c r="W598" s="205"/>
      <c r="X598" s="205"/>
      <c r="Y598" s="183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 ht="16.5" customHeight="1">
      <c r="A599" s="1"/>
      <c r="B599" s="1"/>
      <c r="C599" s="199"/>
      <c r="D599" s="1"/>
      <c r="E599" s="1"/>
      <c r="F599" s="1"/>
      <c r="G599" s="199"/>
      <c r="H599" s="1"/>
      <c r="I599" s="1"/>
      <c r="J599" s="1"/>
      <c r="K599" s="1"/>
      <c r="L599" s="1"/>
      <c r="M599" s="1"/>
      <c r="N599" s="10"/>
      <c r="O599" s="10"/>
      <c r="P599" s="10"/>
      <c r="Q599" s="10"/>
      <c r="R599" s="10"/>
      <c r="S599" s="10"/>
      <c r="T599" s="10"/>
      <c r="U599" s="1"/>
      <c r="V599" s="205"/>
      <c r="W599" s="205"/>
      <c r="X599" s="205"/>
      <c r="Y599" s="183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 ht="16.5" customHeight="1">
      <c r="A600" s="1"/>
      <c r="B600" s="1"/>
      <c r="C600" s="199"/>
      <c r="D600" s="1"/>
      <c r="E600" s="1"/>
      <c r="F600" s="1"/>
      <c r="G600" s="199"/>
      <c r="H600" s="1"/>
      <c r="I600" s="1"/>
      <c r="J600" s="1"/>
      <c r="K600" s="1"/>
      <c r="L600" s="1"/>
      <c r="M600" s="1"/>
      <c r="N600" s="10"/>
      <c r="O600" s="10"/>
      <c r="P600" s="10"/>
      <c r="Q600" s="10"/>
      <c r="R600" s="10"/>
      <c r="S600" s="10"/>
      <c r="T600" s="10"/>
      <c r="U600" s="1"/>
      <c r="V600" s="205"/>
      <c r="W600" s="205"/>
      <c r="X600" s="205"/>
      <c r="Y600" s="183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 ht="16.5" customHeight="1">
      <c r="A601" s="1"/>
      <c r="B601" s="1"/>
      <c r="C601" s="199"/>
      <c r="D601" s="1"/>
      <c r="E601" s="1"/>
      <c r="F601" s="1"/>
      <c r="G601" s="199"/>
      <c r="H601" s="1"/>
      <c r="I601" s="1"/>
      <c r="J601" s="1"/>
      <c r="K601" s="1"/>
      <c r="L601" s="1"/>
      <c r="M601" s="1"/>
      <c r="N601" s="10"/>
      <c r="O601" s="10"/>
      <c r="P601" s="10"/>
      <c r="Q601" s="10"/>
      <c r="R601" s="10"/>
      <c r="S601" s="10"/>
      <c r="T601" s="10"/>
      <c r="U601" s="1"/>
      <c r="V601" s="205"/>
      <c r="W601" s="205"/>
      <c r="X601" s="205"/>
      <c r="Y601" s="183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 ht="16.5" customHeight="1">
      <c r="A602" s="1"/>
      <c r="B602" s="1"/>
      <c r="C602" s="199"/>
      <c r="D602" s="1"/>
      <c r="E602" s="1"/>
      <c r="F602" s="1"/>
      <c r="G602" s="199"/>
      <c r="H602" s="1"/>
      <c r="I602" s="1"/>
      <c r="J602" s="1"/>
      <c r="K602" s="1"/>
      <c r="L602" s="1"/>
      <c r="M602" s="1"/>
      <c r="N602" s="10"/>
      <c r="O602" s="10"/>
      <c r="P602" s="10"/>
      <c r="Q602" s="10"/>
      <c r="R602" s="10"/>
      <c r="S602" s="10"/>
      <c r="T602" s="10"/>
      <c r="U602" s="1"/>
      <c r="V602" s="205"/>
      <c r="W602" s="205"/>
      <c r="X602" s="205"/>
      <c r="Y602" s="183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 ht="16.5" customHeight="1">
      <c r="A603" s="1"/>
      <c r="B603" s="1"/>
      <c r="C603" s="199"/>
      <c r="D603" s="1"/>
      <c r="E603" s="1"/>
      <c r="F603" s="1"/>
      <c r="G603" s="199"/>
      <c r="H603" s="1"/>
      <c r="I603" s="1"/>
      <c r="J603" s="1"/>
      <c r="K603" s="1"/>
      <c r="L603" s="1"/>
      <c r="M603" s="1"/>
      <c r="N603" s="10"/>
      <c r="O603" s="10"/>
      <c r="P603" s="10"/>
      <c r="Q603" s="10"/>
      <c r="R603" s="10"/>
      <c r="S603" s="10"/>
      <c r="T603" s="10"/>
      <c r="U603" s="1"/>
      <c r="V603" s="205"/>
      <c r="W603" s="205"/>
      <c r="X603" s="205"/>
      <c r="Y603" s="183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 ht="16.5" customHeight="1">
      <c r="A604" s="1"/>
      <c r="B604" s="1"/>
      <c r="C604" s="199"/>
      <c r="D604" s="1"/>
      <c r="E604" s="1"/>
      <c r="F604" s="1"/>
      <c r="G604" s="199"/>
      <c r="H604" s="1"/>
      <c r="I604" s="1"/>
      <c r="J604" s="1"/>
      <c r="K604" s="1"/>
      <c r="L604" s="1"/>
      <c r="M604" s="1"/>
      <c r="N604" s="10"/>
      <c r="O604" s="10"/>
      <c r="P604" s="10"/>
      <c r="Q604" s="10"/>
      <c r="R604" s="10"/>
      <c r="S604" s="10"/>
      <c r="T604" s="10"/>
      <c r="U604" s="1"/>
      <c r="V604" s="205"/>
      <c r="W604" s="205"/>
      <c r="X604" s="205"/>
      <c r="Y604" s="183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 ht="16.5" customHeight="1">
      <c r="A605" s="1"/>
      <c r="B605" s="1"/>
      <c r="C605" s="199"/>
      <c r="D605" s="1"/>
      <c r="E605" s="1"/>
      <c r="F605" s="1"/>
      <c r="G605" s="199"/>
      <c r="H605" s="1"/>
      <c r="I605" s="1"/>
      <c r="J605" s="1"/>
      <c r="K605" s="1"/>
      <c r="L605" s="1"/>
      <c r="M605" s="1"/>
      <c r="N605" s="10"/>
      <c r="O605" s="10"/>
      <c r="P605" s="10"/>
      <c r="Q605" s="10"/>
      <c r="R605" s="10"/>
      <c r="S605" s="10"/>
      <c r="T605" s="10"/>
      <c r="U605" s="1"/>
      <c r="V605" s="205"/>
      <c r="W605" s="205"/>
      <c r="X605" s="205"/>
      <c r="Y605" s="183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 ht="16.5" customHeight="1">
      <c r="A606" s="1"/>
      <c r="B606" s="1"/>
      <c r="C606" s="199"/>
      <c r="D606" s="1"/>
      <c r="E606" s="1"/>
      <c r="F606" s="1"/>
      <c r="G606" s="199"/>
      <c r="H606" s="1"/>
      <c r="I606" s="1"/>
      <c r="J606" s="1"/>
      <c r="K606" s="1"/>
      <c r="L606" s="1"/>
      <c r="M606" s="1"/>
      <c r="N606" s="10"/>
      <c r="O606" s="10"/>
      <c r="P606" s="10"/>
      <c r="Q606" s="10"/>
      <c r="R606" s="10"/>
      <c r="S606" s="10"/>
      <c r="T606" s="10"/>
      <c r="U606" s="1"/>
      <c r="V606" s="205"/>
      <c r="W606" s="205"/>
      <c r="X606" s="205"/>
      <c r="Y606" s="183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 ht="16.5" customHeight="1">
      <c r="A607" s="1"/>
      <c r="B607" s="1"/>
      <c r="C607" s="199"/>
      <c r="D607" s="1"/>
      <c r="E607" s="1"/>
      <c r="F607" s="1"/>
      <c r="G607" s="199"/>
      <c r="H607" s="1"/>
      <c r="I607" s="1"/>
      <c r="J607" s="1"/>
      <c r="K607" s="1"/>
      <c r="L607" s="1"/>
      <c r="M607" s="1"/>
      <c r="N607" s="10"/>
      <c r="O607" s="10"/>
      <c r="P607" s="10"/>
      <c r="Q607" s="10"/>
      <c r="R607" s="10"/>
      <c r="S607" s="10"/>
      <c r="T607" s="10"/>
      <c r="U607" s="1"/>
      <c r="V607" s="205"/>
      <c r="W607" s="205"/>
      <c r="X607" s="205"/>
      <c r="Y607" s="183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 ht="16.5" customHeight="1">
      <c r="A608" s="1"/>
      <c r="B608" s="1"/>
      <c r="C608" s="199"/>
      <c r="D608" s="1"/>
      <c r="E608" s="1"/>
      <c r="F608" s="1"/>
      <c r="G608" s="199"/>
      <c r="H608" s="1"/>
      <c r="I608" s="1"/>
      <c r="J608" s="1"/>
      <c r="K608" s="1"/>
      <c r="L608" s="1"/>
      <c r="M608" s="1"/>
      <c r="N608" s="10"/>
      <c r="O608" s="10"/>
      <c r="P608" s="10"/>
      <c r="Q608" s="10"/>
      <c r="R608" s="10"/>
      <c r="S608" s="10"/>
      <c r="T608" s="10"/>
      <c r="U608" s="1"/>
      <c r="V608" s="205"/>
      <c r="W608" s="205"/>
      <c r="X608" s="205"/>
      <c r="Y608" s="183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 ht="16.5" customHeight="1">
      <c r="A609" s="1"/>
      <c r="B609" s="1"/>
      <c r="C609" s="199"/>
      <c r="D609" s="1"/>
      <c r="E609" s="1"/>
      <c r="F609" s="1"/>
      <c r="G609" s="199"/>
      <c r="H609" s="1"/>
      <c r="I609" s="1"/>
      <c r="J609" s="1"/>
      <c r="K609" s="1"/>
      <c r="L609" s="1"/>
      <c r="M609" s="1"/>
      <c r="N609" s="10"/>
      <c r="O609" s="10"/>
      <c r="P609" s="10"/>
      <c r="Q609" s="10"/>
      <c r="R609" s="10"/>
      <c r="S609" s="10"/>
      <c r="T609" s="10"/>
      <c r="U609" s="1"/>
      <c r="V609" s="205"/>
      <c r="W609" s="205"/>
      <c r="X609" s="205"/>
      <c r="Y609" s="183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 ht="16.5" customHeight="1">
      <c r="A610" s="1"/>
      <c r="B610" s="1"/>
      <c r="C610" s="199"/>
      <c r="D610" s="1"/>
      <c r="E610" s="1"/>
      <c r="F610" s="1"/>
      <c r="G610" s="199"/>
      <c r="H610" s="1"/>
      <c r="I610" s="1"/>
      <c r="J610" s="1"/>
      <c r="K610" s="1"/>
      <c r="L610" s="1"/>
      <c r="M610" s="1"/>
      <c r="N610" s="10"/>
      <c r="O610" s="10"/>
      <c r="P610" s="10"/>
      <c r="Q610" s="10"/>
      <c r="R610" s="10"/>
      <c r="S610" s="10"/>
      <c r="T610" s="10"/>
      <c r="U610" s="1"/>
      <c r="V610" s="205"/>
      <c r="W610" s="205"/>
      <c r="X610" s="205"/>
      <c r="Y610" s="183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 ht="16.5" customHeight="1">
      <c r="A611" s="1"/>
      <c r="B611" s="1"/>
      <c r="C611" s="199"/>
      <c r="D611" s="1"/>
      <c r="E611" s="1"/>
      <c r="F611" s="1"/>
      <c r="G611" s="199"/>
      <c r="H611" s="1"/>
      <c r="I611" s="1"/>
      <c r="J611" s="1"/>
      <c r="K611" s="1"/>
      <c r="L611" s="1"/>
      <c r="M611" s="1"/>
      <c r="N611" s="10"/>
      <c r="O611" s="10"/>
      <c r="P611" s="10"/>
      <c r="Q611" s="10"/>
      <c r="R611" s="10"/>
      <c r="S611" s="10"/>
      <c r="T611" s="10"/>
      <c r="U611" s="1"/>
      <c r="V611" s="205"/>
      <c r="W611" s="205"/>
      <c r="X611" s="205"/>
      <c r="Y611" s="183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 ht="16.5" customHeight="1">
      <c r="A612" s="1"/>
      <c r="B612" s="1"/>
      <c r="C612" s="199"/>
      <c r="D612" s="1"/>
      <c r="E612" s="1"/>
      <c r="F612" s="1"/>
      <c r="G612" s="199"/>
      <c r="H612" s="1"/>
      <c r="I612" s="1"/>
      <c r="J612" s="1"/>
      <c r="K612" s="1"/>
      <c r="L612" s="1"/>
      <c r="M612" s="1"/>
      <c r="N612" s="10"/>
      <c r="O612" s="10"/>
      <c r="P612" s="10"/>
      <c r="Q612" s="10"/>
      <c r="R612" s="10"/>
      <c r="S612" s="10"/>
      <c r="T612" s="10"/>
      <c r="U612" s="1"/>
      <c r="V612" s="205"/>
      <c r="W612" s="205"/>
      <c r="X612" s="205"/>
      <c r="Y612" s="183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 ht="16.5" customHeight="1">
      <c r="A613" s="1"/>
      <c r="B613" s="1"/>
      <c r="C613" s="199"/>
      <c r="D613" s="1"/>
      <c r="E613" s="1"/>
      <c r="F613" s="1"/>
      <c r="G613" s="199"/>
      <c r="H613" s="1"/>
      <c r="I613" s="1"/>
      <c r="J613" s="1"/>
      <c r="K613" s="1"/>
      <c r="L613" s="1"/>
      <c r="M613" s="1"/>
      <c r="N613" s="10"/>
      <c r="O613" s="10"/>
      <c r="P613" s="10"/>
      <c r="Q613" s="10"/>
      <c r="R613" s="10"/>
      <c r="S613" s="10"/>
      <c r="T613" s="10"/>
      <c r="U613" s="1"/>
      <c r="V613" s="205"/>
      <c r="W613" s="205"/>
      <c r="X613" s="205"/>
      <c r="Y613" s="183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 ht="16.5" customHeight="1">
      <c r="A614" s="1"/>
      <c r="B614" s="1"/>
      <c r="C614" s="199"/>
      <c r="D614" s="1"/>
      <c r="E614" s="1"/>
      <c r="F614" s="1"/>
      <c r="G614" s="199"/>
      <c r="H614" s="1"/>
      <c r="I614" s="1"/>
      <c r="J614" s="1"/>
      <c r="K614" s="1"/>
      <c r="L614" s="1"/>
      <c r="M614" s="1"/>
      <c r="N614" s="10"/>
      <c r="O614" s="10"/>
      <c r="P614" s="10"/>
      <c r="Q614" s="10"/>
      <c r="R614" s="10"/>
      <c r="S614" s="10"/>
      <c r="T614" s="10"/>
      <c r="U614" s="1"/>
      <c r="V614" s="205"/>
      <c r="W614" s="205"/>
      <c r="X614" s="205"/>
      <c r="Y614" s="183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 ht="16.5" customHeight="1">
      <c r="A615" s="1"/>
      <c r="B615" s="1"/>
      <c r="C615" s="199"/>
      <c r="D615" s="1"/>
      <c r="E615" s="1"/>
      <c r="F615" s="1"/>
      <c r="G615" s="199"/>
      <c r="H615" s="1"/>
      <c r="I615" s="1"/>
      <c r="J615" s="1"/>
      <c r="K615" s="1"/>
      <c r="L615" s="1"/>
      <c r="M615" s="1"/>
      <c r="N615" s="10"/>
      <c r="O615" s="10"/>
      <c r="P615" s="10"/>
      <c r="Q615" s="10"/>
      <c r="R615" s="10"/>
      <c r="S615" s="10"/>
      <c r="T615" s="10"/>
      <c r="U615" s="1"/>
      <c r="V615" s="205"/>
      <c r="W615" s="205"/>
      <c r="X615" s="205"/>
      <c r="Y615" s="183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 ht="16.5" customHeight="1">
      <c r="A616" s="1"/>
      <c r="B616" s="1"/>
      <c r="C616" s="199"/>
      <c r="D616" s="1"/>
      <c r="E616" s="1"/>
      <c r="F616" s="1"/>
      <c r="G616" s="199"/>
      <c r="H616" s="1"/>
      <c r="I616" s="1"/>
      <c r="J616" s="1"/>
      <c r="K616" s="1"/>
      <c r="L616" s="1"/>
      <c r="M616" s="1"/>
      <c r="N616" s="10"/>
      <c r="O616" s="10"/>
      <c r="P616" s="10"/>
      <c r="Q616" s="10"/>
      <c r="R616" s="10"/>
      <c r="S616" s="10"/>
      <c r="T616" s="10"/>
      <c r="U616" s="1"/>
      <c r="V616" s="205"/>
      <c r="W616" s="205"/>
      <c r="X616" s="205"/>
      <c r="Y616" s="183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 ht="16.5" customHeight="1">
      <c r="A617" s="1"/>
      <c r="B617" s="1"/>
      <c r="C617" s="199"/>
      <c r="D617" s="1"/>
      <c r="E617" s="1"/>
      <c r="F617" s="1"/>
      <c r="G617" s="199"/>
      <c r="H617" s="1"/>
      <c r="I617" s="1"/>
      <c r="J617" s="1"/>
      <c r="K617" s="1"/>
      <c r="L617" s="1"/>
      <c r="M617" s="1"/>
      <c r="N617" s="10"/>
      <c r="O617" s="10"/>
      <c r="P617" s="10"/>
      <c r="Q617" s="10"/>
      <c r="R617" s="10"/>
      <c r="S617" s="10"/>
      <c r="T617" s="10"/>
      <c r="U617" s="1"/>
      <c r="V617" s="205"/>
      <c r="W617" s="205"/>
      <c r="X617" s="205"/>
      <c r="Y617" s="183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 ht="16.5" customHeight="1">
      <c r="A618" s="1"/>
      <c r="B618" s="1"/>
      <c r="C618" s="199"/>
      <c r="D618" s="1"/>
      <c r="E618" s="1"/>
      <c r="F618" s="1"/>
      <c r="G618" s="199"/>
      <c r="H618" s="1"/>
      <c r="I618" s="1"/>
      <c r="J618" s="1"/>
      <c r="K618" s="1"/>
      <c r="L618" s="1"/>
      <c r="M618" s="1"/>
      <c r="N618" s="10"/>
      <c r="O618" s="10"/>
      <c r="P618" s="10"/>
      <c r="Q618" s="10"/>
      <c r="R618" s="10"/>
      <c r="S618" s="10"/>
      <c r="T618" s="10"/>
      <c r="U618" s="1"/>
      <c r="V618" s="205"/>
      <c r="W618" s="205"/>
      <c r="X618" s="205"/>
      <c r="Y618" s="183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ht="16.5" customHeight="1">
      <c r="A619" s="1"/>
      <c r="B619" s="1"/>
      <c r="C619" s="199"/>
      <c r="D619" s="1"/>
      <c r="E619" s="1"/>
      <c r="F619" s="1"/>
      <c r="G619" s="199"/>
      <c r="H619" s="1"/>
      <c r="I619" s="1"/>
      <c r="J619" s="1"/>
      <c r="K619" s="1"/>
      <c r="L619" s="1"/>
      <c r="M619" s="1"/>
      <c r="N619" s="10"/>
      <c r="O619" s="10"/>
      <c r="P619" s="10"/>
      <c r="Q619" s="10"/>
      <c r="R619" s="10"/>
      <c r="S619" s="10"/>
      <c r="T619" s="10"/>
      <c r="U619" s="1"/>
      <c r="V619" s="205"/>
      <c r="W619" s="205"/>
      <c r="X619" s="205"/>
      <c r="Y619" s="183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 ht="16.5" customHeight="1">
      <c r="A620" s="1"/>
      <c r="B620" s="1"/>
      <c r="C620" s="199"/>
      <c r="D620" s="1"/>
      <c r="E620" s="1"/>
      <c r="F620" s="1"/>
      <c r="G620" s="199"/>
      <c r="H620" s="1"/>
      <c r="I620" s="1"/>
      <c r="J620" s="1"/>
      <c r="K620" s="1"/>
      <c r="L620" s="1"/>
      <c r="M620" s="1"/>
      <c r="N620" s="10"/>
      <c r="O620" s="10"/>
      <c r="P620" s="10"/>
      <c r="Q620" s="10"/>
      <c r="R620" s="10"/>
      <c r="S620" s="10"/>
      <c r="T620" s="10"/>
      <c r="U620" s="1"/>
      <c r="V620" s="205"/>
      <c r="W620" s="205"/>
      <c r="X620" s="205"/>
      <c r="Y620" s="183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 ht="16.5" customHeight="1">
      <c r="A621" s="1"/>
      <c r="B621" s="1"/>
      <c r="C621" s="199"/>
      <c r="D621" s="1"/>
      <c r="E621" s="1"/>
      <c r="F621" s="1"/>
      <c r="G621" s="199"/>
      <c r="H621" s="1"/>
      <c r="I621" s="1"/>
      <c r="J621" s="1"/>
      <c r="K621" s="1"/>
      <c r="L621" s="1"/>
      <c r="M621" s="1"/>
      <c r="N621" s="10"/>
      <c r="O621" s="10"/>
      <c r="P621" s="10"/>
      <c r="Q621" s="10"/>
      <c r="R621" s="10"/>
      <c r="S621" s="10"/>
      <c r="T621" s="10"/>
      <c r="U621" s="1"/>
      <c r="V621" s="205"/>
      <c r="W621" s="205"/>
      <c r="X621" s="205"/>
      <c r="Y621" s="183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 ht="16.5" customHeight="1">
      <c r="A622" s="1"/>
      <c r="B622" s="1"/>
      <c r="C622" s="199"/>
      <c r="D622" s="1"/>
      <c r="E622" s="1"/>
      <c r="F622" s="1"/>
      <c r="G622" s="199"/>
      <c r="H622" s="1"/>
      <c r="I622" s="1"/>
      <c r="J622" s="1"/>
      <c r="K622" s="1"/>
      <c r="L622" s="1"/>
      <c r="M622" s="1"/>
      <c r="N622" s="10"/>
      <c r="O622" s="10"/>
      <c r="P622" s="10"/>
      <c r="Q622" s="10"/>
      <c r="R622" s="10"/>
      <c r="S622" s="10"/>
      <c r="T622" s="10"/>
      <c r="U622" s="1"/>
      <c r="V622" s="205"/>
      <c r="W622" s="205"/>
      <c r="X622" s="205"/>
      <c r="Y622" s="183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 ht="16.5" customHeight="1">
      <c r="A623" s="1"/>
      <c r="B623" s="1"/>
      <c r="C623" s="199"/>
      <c r="D623" s="1"/>
      <c r="E623" s="1"/>
      <c r="F623" s="1"/>
      <c r="G623" s="199"/>
      <c r="H623" s="1"/>
      <c r="I623" s="1"/>
      <c r="J623" s="1"/>
      <c r="K623" s="1"/>
      <c r="L623" s="1"/>
      <c r="M623" s="1"/>
      <c r="N623" s="10"/>
      <c r="O623" s="10"/>
      <c r="P623" s="10"/>
      <c r="Q623" s="10"/>
      <c r="R623" s="10"/>
      <c r="S623" s="10"/>
      <c r="T623" s="10"/>
      <c r="U623" s="1"/>
      <c r="V623" s="205"/>
      <c r="W623" s="205"/>
      <c r="X623" s="205"/>
      <c r="Y623" s="183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 ht="16.5" customHeight="1">
      <c r="A624" s="1"/>
      <c r="B624" s="1"/>
      <c r="C624" s="199"/>
      <c r="D624" s="1"/>
      <c r="E624" s="1"/>
      <c r="F624" s="1"/>
      <c r="G624" s="199"/>
      <c r="H624" s="1"/>
      <c r="I624" s="1"/>
      <c r="J624" s="1"/>
      <c r="K624" s="1"/>
      <c r="L624" s="1"/>
      <c r="M624" s="1"/>
      <c r="N624" s="10"/>
      <c r="O624" s="10"/>
      <c r="P624" s="10"/>
      <c r="Q624" s="10"/>
      <c r="R624" s="10"/>
      <c r="S624" s="10"/>
      <c r="T624" s="10"/>
      <c r="U624" s="1"/>
      <c r="V624" s="205"/>
      <c r="W624" s="205"/>
      <c r="X624" s="205"/>
      <c r="Y624" s="183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 ht="16.5" customHeight="1">
      <c r="A625" s="1"/>
      <c r="B625" s="1"/>
      <c r="C625" s="199"/>
      <c r="D625" s="1"/>
      <c r="E625" s="1"/>
      <c r="F625" s="1"/>
      <c r="G625" s="199"/>
      <c r="H625" s="1"/>
      <c r="I625" s="1"/>
      <c r="J625" s="1"/>
      <c r="K625" s="1"/>
      <c r="L625" s="1"/>
      <c r="M625" s="1"/>
      <c r="N625" s="10"/>
      <c r="O625" s="10"/>
      <c r="P625" s="10"/>
      <c r="Q625" s="10"/>
      <c r="R625" s="10"/>
      <c r="S625" s="10"/>
      <c r="T625" s="10"/>
      <c r="U625" s="1"/>
      <c r="V625" s="205"/>
      <c r="W625" s="205"/>
      <c r="X625" s="205"/>
      <c r="Y625" s="183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 ht="16.5" customHeight="1">
      <c r="A626" s="1"/>
      <c r="B626" s="1"/>
      <c r="C626" s="199"/>
      <c r="D626" s="1"/>
      <c r="E626" s="1"/>
      <c r="F626" s="1"/>
      <c r="G626" s="199"/>
      <c r="H626" s="1"/>
      <c r="I626" s="1"/>
      <c r="J626" s="1"/>
      <c r="K626" s="1"/>
      <c r="L626" s="1"/>
      <c r="M626" s="1"/>
      <c r="N626" s="10"/>
      <c r="O626" s="10"/>
      <c r="P626" s="10"/>
      <c r="Q626" s="10"/>
      <c r="R626" s="10"/>
      <c r="S626" s="10"/>
      <c r="T626" s="10"/>
      <c r="U626" s="1"/>
      <c r="V626" s="205"/>
      <c r="W626" s="205"/>
      <c r="X626" s="205"/>
      <c r="Y626" s="183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 ht="16.5" customHeight="1">
      <c r="A627" s="1"/>
      <c r="B627" s="1"/>
      <c r="C627" s="199"/>
      <c r="D627" s="1"/>
      <c r="E627" s="1"/>
      <c r="F627" s="1"/>
      <c r="G627" s="199"/>
      <c r="H627" s="1"/>
      <c r="I627" s="1"/>
      <c r="J627" s="1"/>
      <c r="K627" s="1"/>
      <c r="L627" s="1"/>
      <c r="M627" s="1"/>
      <c r="N627" s="10"/>
      <c r="O627" s="10"/>
      <c r="P627" s="10"/>
      <c r="Q627" s="10"/>
      <c r="R627" s="10"/>
      <c r="S627" s="10"/>
      <c r="T627" s="10"/>
      <c r="U627" s="1"/>
      <c r="V627" s="205"/>
      <c r="W627" s="205"/>
      <c r="X627" s="205"/>
      <c r="Y627" s="183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 ht="16.5" customHeight="1">
      <c r="A628" s="1"/>
      <c r="B628" s="1"/>
      <c r="C628" s="199"/>
      <c r="D628" s="1"/>
      <c r="E628" s="1"/>
      <c r="F628" s="1"/>
      <c r="G628" s="199"/>
      <c r="H628" s="1"/>
      <c r="I628" s="1"/>
      <c r="J628" s="1"/>
      <c r="K628" s="1"/>
      <c r="L628" s="1"/>
      <c r="M628" s="1"/>
      <c r="N628" s="10"/>
      <c r="O628" s="10"/>
      <c r="P628" s="10"/>
      <c r="Q628" s="10"/>
      <c r="R628" s="10"/>
      <c r="S628" s="10"/>
      <c r="T628" s="10"/>
      <c r="U628" s="1"/>
      <c r="V628" s="205"/>
      <c r="W628" s="205"/>
      <c r="X628" s="205"/>
      <c r="Y628" s="183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 ht="16.5" customHeight="1">
      <c r="A629" s="1"/>
      <c r="B629" s="1"/>
      <c r="C629" s="199"/>
      <c r="D629" s="1"/>
      <c r="E629" s="1"/>
      <c r="F629" s="1"/>
      <c r="G629" s="199"/>
      <c r="H629" s="1"/>
      <c r="I629" s="1"/>
      <c r="J629" s="1"/>
      <c r="K629" s="1"/>
      <c r="L629" s="1"/>
      <c r="M629" s="1"/>
      <c r="N629" s="10"/>
      <c r="O629" s="10"/>
      <c r="P629" s="10"/>
      <c r="Q629" s="10"/>
      <c r="R629" s="10"/>
      <c r="S629" s="10"/>
      <c r="T629" s="10"/>
      <c r="U629" s="1"/>
      <c r="V629" s="205"/>
      <c r="W629" s="205"/>
      <c r="X629" s="205"/>
      <c r="Y629" s="183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 ht="16.5" customHeight="1">
      <c r="A630" s="1"/>
      <c r="B630" s="1"/>
      <c r="C630" s="199"/>
      <c r="D630" s="1"/>
      <c r="E630" s="1"/>
      <c r="F630" s="1"/>
      <c r="G630" s="199"/>
      <c r="H630" s="1"/>
      <c r="I630" s="1"/>
      <c r="J630" s="1"/>
      <c r="K630" s="1"/>
      <c r="L630" s="1"/>
      <c r="M630" s="1"/>
      <c r="N630" s="10"/>
      <c r="O630" s="10"/>
      <c r="P630" s="10"/>
      <c r="Q630" s="10"/>
      <c r="R630" s="10"/>
      <c r="S630" s="10"/>
      <c r="T630" s="10"/>
      <c r="U630" s="1"/>
      <c r="V630" s="205"/>
      <c r="W630" s="205"/>
      <c r="X630" s="205"/>
      <c r="Y630" s="183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 ht="16.5" customHeight="1">
      <c r="A631" s="1"/>
      <c r="B631" s="1"/>
      <c r="C631" s="199"/>
      <c r="D631" s="1"/>
      <c r="E631" s="1"/>
      <c r="F631" s="1"/>
      <c r="G631" s="199"/>
      <c r="H631" s="1"/>
      <c r="I631" s="1"/>
      <c r="J631" s="1"/>
      <c r="K631" s="1"/>
      <c r="L631" s="1"/>
      <c r="M631" s="1"/>
      <c r="N631" s="10"/>
      <c r="O631" s="10"/>
      <c r="P631" s="10"/>
      <c r="Q631" s="10"/>
      <c r="R631" s="10"/>
      <c r="S631" s="10"/>
      <c r="T631" s="10"/>
      <c r="U631" s="1"/>
      <c r="V631" s="205"/>
      <c r="W631" s="205"/>
      <c r="X631" s="205"/>
      <c r="Y631" s="183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 ht="16.5" customHeight="1">
      <c r="A632" s="1"/>
      <c r="B632" s="1"/>
      <c r="C632" s="199"/>
      <c r="D632" s="1"/>
      <c r="E632" s="1"/>
      <c r="F632" s="1"/>
      <c r="G632" s="199"/>
      <c r="H632" s="1"/>
      <c r="I632" s="1"/>
      <c r="J632" s="1"/>
      <c r="K632" s="1"/>
      <c r="L632" s="1"/>
      <c r="M632" s="1"/>
      <c r="N632" s="10"/>
      <c r="O632" s="10"/>
      <c r="P632" s="10"/>
      <c r="Q632" s="10"/>
      <c r="R632" s="10"/>
      <c r="S632" s="10"/>
      <c r="T632" s="10"/>
      <c r="U632" s="1"/>
      <c r="V632" s="205"/>
      <c r="W632" s="205"/>
      <c r="X632" s="205"/>
      <c r="Y632" s="183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 ht="16.5" customHeight="1">
      <c r="A633" s="1"/>
      <c r="B633" s="1"/>
      <c r="C633" s="199"/>
      <c r="D633" s="1"/>
      <c r="E633" s="1"/>
      <c r="F633" s="1"/>
      <c r="G633" s="199"/>
      <c r="H633" s="1"/>
      <c r="I633" s="1"/>
      <c r="J633" s="1"/>
      <c r="K633" s="1"/>
      <c r="L633" s="1"/>
      <c r="M633" s="1"/>
      <c r="N633" s="10"/>
      <c r="O633" s="10"/>
      <c r="P633" s="10"/>
      <c r="Q633" s="10"/>
      <c r="R633" s="10"/>
      <c r="S633" s="10"/>
      <c r="T633" s="10"/>
      <c r="U633" s="1"/>
      <c r="V633" s="205"/>
      <c r="W633" s="205"/>
      <c r="X633" s="205"/>
      <c r="Y633" s="183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 ht="16.5" customHeight="1">
      <c r="A634" s="1"/>
      <c r="B634" s="1"/>
      <c r="C634" s="199"/>
      <c r="D634" s="1"/>
      <c r="E634" s="1"/>
      <c r="F634" s="1"/>
      <c r="G634" s="199"/>
      <c r="H634" s="1"/>
      <c r="I634" s="1"/>
      <c r="J634" s="1"/>
      <c r="K634" s="1"/>
      <c r="L634" s="1"/>
      <c r="M634" s="1"/>
      <c r="N634" s="10"/>
      <c r="O634" s="10"/>
      <c r="P634" s="10"/>
      <c r="Q634" s="10"/>
      <c r="R634" s="10"/>
      <c r="S634" s="10"/>
      <c r="T634" s="10"/>
      <c r="U634" s="1"/>
      <c r="V634" s="205"/>
      <c r="W634" s="205"/>
      <c r="X634" s="205"/>
      <c r="Y634" s="183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 ht="16.5" customHeight="1">
      <c r="A635" s="1"/>
      <c r="B635" s="1"/>
      <c r="C635" s="199"/>
      <c r="D635" s="1"/>
      <c r="E635" s="1"/>
      <c r="F635" s="1"/>
      <c r="G635" s="199"/>
      <c r="H635" s="1"/>
      <c r="I635" s="1"/>
      <c r="J635" s="1"/>
      <c r="K635" s="1"/>
      <c r="L635" s="1"/>
      <c r="M635" s="1"/>
      <c r="N635" s="10"/>
      <c r="O635" s="10"/>
      <c r="P635" s="10"/>
      <c r="Q635" s="10"/>
      <c r="R635" s="10"/>
      <c r="S635" s="10"/>
      <c r="T635" s="10"/>
      <c r="U635" s="1"/>
      <c r="V635" s="205"/>
      <c r="W635" s="205"/>
      <c r="X635" s="205"/>
      <c r="Y635" s="183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 ht="16.5" customHeight="1">
      <c r="A636" s="1"/>
      <c r="B636" s="1"/>
      <c r="C636" s="199"/>
      <c r="D636" s="1"/>
      <c r="E636" s="1"/>
      <c r="F636" s="1"/>
      <c r="G636" s="199"/>
      <c r="H636" s="1"/>
      <c r="I636" s="1"/>
      <c r="J636" s="1"/>
      <c r="K636" s="1"/>
      <c r="L636" s="1"/>
      <c r="M636" s="1"/>
      <c r="N636" s="10"/>
      <c r="O636" s="10"/>
      <c r="P636" s="10"/>
      <c r="Q636" s="10"/>
      <c r="R636" s="10"/>
      <c r="S636" s="10"/>
      <c r="T636" s="10"/>
      <c r="U636" s="1"/>
      <c r="V636" s="205"/>
      <c r="W636" s="205"/>
      <c r="X636" s="205"/>
      <c r="Y636" s="183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 ht="16.5" customHeight="1">
      <c r="A637" s="1"/>
      <c r="B637" s="1"/>
      <c r="C637" s="199"/>
      <c r="D637" s="1"/>
      <c r="E637" s="1"/>
      <c r="F637" s="1"/>
      <c r="G637" s="199"/>
      <c r="H637" s="1"/>
      <c r="I637" s="1"/>
      <c r="J637" s="1"/>
      <c r="K637" s="1"/>
      <c r="L637" s="1"/>
      <c r="M637" s="1"/>
      <c r="N637" s="10"/>
      <c r="O637" s="10"/>
      <c r="P637" s="10"/>
      <c r="Q637" s="10"/>
      <c r="R637" s="10"/>
      <c r="S637" s="10"/>
      <c r="T637" s="10"/>
      <c r="U637" s="1"/>
      <c r="V637" s="205"/>
      <c r="W637" s="205"/>
      <c r="X637" s="205"/>
      <c r="Y637" s="183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 ht="16.5" customHeight="1">
      <c r="A638" s="1"/>
      <c r="B638" s="1"/>
      <c r="C638" s="199"/>
      <c r="D638" s="1"/>
      <c r="E638" s="1"/>
      <c r="F638" s="1"/>
      <c r="G638" s="199"/>
      <c r="H638" s="1"/>
      <c r="I638" s="1"/>
      <c r="J638" s="1"/>
      <c r="K638" s="1"/>
      <c r="L638" s="1"/>
      <c r="M638" s="1"/>
      <c r="N638" s="10"/>
      <c r="O638" s="10"/>
      <c r="P638" s="10"/>
      <c r="Q638" s="10"/>
      <c r="R638" s="10"/>
      <c r="S638" s="10"/>
      <c r="T638" s="10"/>
      <c r="U638" s="1"/>
      <c r="V638" s="205"/>
      <c r="W638" s="205"/>
      <c r="X638" s="205"/>
      <c r="Y638" s="183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 ht="16.5" customHeight="1">
      <c r="A639" s="1"/>
      <c r="B639" s="1"/>
      <c r="C639" s="199"/>
      <c r="D639" s="1"/>
      <c r="E639" s="1"/>
      <c r="F639" s="1"/>
      <c r="G639" s="199"/>
      <c r="H639" s="1"/>
      <c r="I639" s="1"/>
      <c r="J639" s="1"/>
      <c r="K639" s="1"/>
      <c r="L639" s="1"/>
      <c r="M639" s="1"/>
      <c r="N639" s="10"/>
      <c r="O639" s="10"/>
      <c r="P639" s="10"/>
      <c r="Q639" s="10"/>
      <c r="R639" s="10"/>
      <c r="S639" s="10"/>
      <c r="T639" s="10"/>
      <c r="U639" s="1"/>
      <c r="V639" s="205"/>
      <c r="W639" s="205"/>
      <c r="X639" s="205"/>
      <c r="Y639" s="183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 ht="16.5" customHeight="1">
      <c r="A640" s="1"/>
      <c r="B640" s="1"/>
      <c r="C640" s="199"/>
      <c r="D640" s="1"/>
      <c r="E640" s="1"/>
      <c r="F640" s="1"/>
      <c r="G640" s="199"/>
      <c r="H640" s="1"/>
      <c r="I640" s="1"/>
      <c r="J640" s="1"/>
      <c r="K640" s="1"/>
      <c r="L640" s="1"/>
      <c r="M640" s="1"/>
      <c r="N640" s="10"/>
      <c r="O640" s="10"/>
      <c r="P640" s="10"/>
      <c r="Q640" s="10"/>
      <c r="R640" s="10"/>
      <c r="S640" s="10"/>
      <c r="T640" s="10"/>
      <c r="U640" s="1"/>
      <c r="V640" s="205"/>
      <c r="W640" s="205"/>
      <c r="X640" s="205"/>
      <c r="Y640" s="183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 ht="16.5" customHeight="1">
      <c r="A641" s="1"/>
      <c r="B641" s="1"/>
      <c r="C641" s="199"/>
      <c r="D641" s="1"/>
      <c r="E641" s="1"/>
      <c r="F641" s="1"/>
      <c r="G641" s="199"/>
      <c r="H641" s="1"/>
      <c r="I641" s="1"/>
      <c r="J641" s="1"/>
      <c r="K641" s="1"/>
      <c r="L641" s="1"/>
      <c r="M641" s="1"/>
      <c r="N641" s="10"/>
      <c r="O641" s="10"/>
      <c r="P641" s="10"/>
      <c r="Q641" s="10"/>
      <c r="R641" s="10"/>
      <c r="S641" s="10"/>
      <c r="T641" s="10"/>
      <c r="U641" s="1"/>
      <c r="V641" s="205"/>
      <c r="W641" s="205"/>
      <c r="X641" s="205"/>
      <c r="Y641" s="183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 ht="16.5" customHeight="1">
      <c r="A642" s="1"/>
      <c r="B642" s="1"/>
      <c r="C642" s="199"/>
      <c r="D642" s="1"/>
      <c r="E642" s="1"/>
      <c r="F642" s="1"/>
      <c r="G642" s="199"/>
      <c r="H642" s="1"/>
      <c r="I642" s="1"/>
      <c r="J642" s="1"/>
      <c r="K642" s="1"/>
      <c r="L642" s="1"/>
      <c r="M642" s="1"/>
      <c r="N642" s="10"/>
      <c r="O642" s="10"/>
      <c r="P642" s="10"/>
      <c r="Q642" s="10"/>
      <c r="R642" s="10"/>
      <c r="S642" s="10"/>
      <c r="T642" s="10"/>
      <c r="U642" s="1"/>
      <c r="V642" s="205"/>
      <c r="W642" s="205"/>
      <c r="X642" s="205"/>
      <c r="Y642" s="183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 ht="16.5" customHeight="1">
      <c r="A643" s="1"/>
      <c r="B643" s="1"/>
      <c r="C643" s="199"/>
      <c r="D643" s="1"/>
      <c r="E643" s="1"/>
      <c r="F643" s="1"/>
      <c r="G643" s="199"/>
      <c r="H643" s="1"/>
      <c r="I643" s="1"/>
      <c r="J643" s="1"/>
      <c r="K643" s="1"/>
      <c r="L643" s="1"/>
      <c r="M643" s="1"/>
      <c r="N643" s="10"/>
      <c r="O643" s="10"/>
      <c r="P643" s="10"/>
      <c r="Q643" s="10"/>
      <c r="R643" s="10"/>
      <c r="S643" s="10"/>
      <c r="T643" s="10"/>
      <c r="U643" s="1"/>
      <c r="V643" s="205"/>
      <c r="W643" s="205"/>
      <c r="X643" s="205"/>
      <c r="Y643" s="183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 ht="16.5" customHeight="1">
      <c r="A644" s="1"/>
      <c r="B644" s="1"/>
      <c r="C644" s="199"/>
      <c r="D644" s="1"/>
      <c r="E644" s="1"/>
      <c r="F644" s="1"/>
      <c r="G644" s="199"/>
      <c r="H644" s="1"/>
      <c r="I644" s="1"/>
      <c r="J644" s="1"/>
      <c r="K644" s="1"/>
      <c r="L644" s="1"/>
      <c r="M644" s="1"/>
      <c r="N644" s="10"/>
      <c r="O644" s="10"/>
      <c r="P644" s="10"/>
      <c r="Q644" s="10"/>
      <c r="R644" s="10"/>
      <c r="S644" s="10"/>
      <c r="T644" s="10"/>
      <c r="U644" s="1"/>
      <c r="V644" s="205"/>
      <c r="W644" s="205"/>
      <c r="X644" s="205"/>
      <c r="Y644" s="183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 ht="16.5" customHeight="1">
      <c r="A645" s="1"/>
      <c r="B645" s="1"/>
      <c r="C645" s="199"/>
      <c r="D645" s="1"/>
      <c r="E645" s="1"/>
      <c r="F645" s="1"/>
      <c r="G645" s="199"/>
      <c r="H645" s="1"/>
      <c r="I645" s="1"/>
      <c r="J645" s="1"/>
      <c r="K645" s="1"/>
      <c r="L645" s="1"/>
      <c r="M645" s="1"/>
      <c r="N645" s="10"/>
      <c r="O645" s="10"/>
      <c r="P645" s="10"/>
      <c r="Q645" s="10"/>
      <c r="R645" s="10"/>
      <c r="S645" s="10"/>
      <c r="T645" s="10"/>
      <c r="U645" s="1"/>
      <c r="V645" s="205"/>
      <c r="W645" s="205"/>
      <c r="X645" s="205"/>
      <c r="Y645" s="183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 ht="16.5" customHeight="1">
      <c r="A646" s="1"/>
      <c r="B646" s="1"/>
      <c r="C646" s="199"/>
      <c r="D646" s="1"/>
      <c r="E646" s="1"/>
      <c r="F646" s="1"/>
      <c r="G646" s="199"/>
      <c r="H646" s="1"/>
      <c r="I646" s="1"/>
      <c r="J646" s="1"/>
      <c r="K646" s="1"/>
      <c r="L646" s="1"/>
      <c r="M646" s="1"/>
      <c r="N646" s="10"/>
      <c r="O646" s="10"/>
      <c r="P646" s="10"/>
      <c r="Q646" s="10"/>
      <c r="R646" s="10"/>
      <c r="S646" s="10"/>
      <c r="T646" s="10"/>
      <c r="U646" s="1"/>
      <c r="V646" s="205"/>
      <c r="W646" s="205"/>
      <c r="X646" s="205"/>
      <c r="Y646" s="183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 ht="16.5" customHeight="1">
      <c r="A647" s="1"/>
      <c r="B647" s="1"/>
      <c r="C647" s="199"/>
      <c r="D647" s="1"/>
      <c r="E647" s="1"/>
      <c r="F647" s="1"/>
      <c r="G647" s="199"/>
      <c r="H647" s="1"/>
      <c r="I647" s="1"/>
      <c r="J647" s="1"/>
      <c r="K647" s="1"/>
      <c r="L647" s="1"/>
      <c r="M647" s="1"/>
      <c r="N647" s="10"/>
      <c r="O647" s="10"/>
      <c r="P647" s="10"/>
      <c r="Q647" s="10"/>
      <c r="R647" s="10"/>
      <c r="S647" s="10"/>
      <c r="T647" s="10"/>
      <c r="U647" s="1"/>
      <c r="V647" s="205"/>
      <c r="W647" s="205"/>
      <c r="X647" s="205"/>
      <c r="Y647" s="183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 ht="16.5" customHeight="1">
      <c r="A648" s="1"/>
      <c r="B648" s="1"/>
      <c r="C648" s="199"/>
      <c r="D648" s="1"/>
      <c r="E648" s="1"/>
      <c r="F648" s="1"/>
      <c r="G648" s="199"/>
      <c r="H648" s="1"/>
      <c r="I648" s="1"/>
      <c r="J648" s="1"/>
      <c r="K648" s="1"/>
      <c r="L648" s="1"/>
      <c r="M648" s="1"/>
      <c r="N648" s="10"/>
      <c r="O648" s="10"/>
      <c r="P648" s="10"/>
      <c r="Q648" s="10"/>
      <c r="R648" s="10"/>
      <c r="S648" s="10"/>
      <c r="T648" s="10"/>
      <c r="U648" s="1"/>
      <c r="V648" s="205"/>
      <c r="W648" s="205"/>
      <c r="X648" s="205"/>
      <c r="Y648" s="183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 ht="16.5" customHeight="1">
      <c r="A649" s="1"/>
      <c r="B649" s="1"/>
      <c r="C649" s="199"/>
      <c r="D649" s="1"/>
      <c r="E649" s="1"/>
      <c r="F649" s="1"/>
      <c r="G649" s="199"/>
      <c r="H649" s="1"/>
      <c r="I649" s="1"/>
      <c r="J649" s="1"/>
      <c r="K649" s="1"/>
      <c r="L649" s="1"/>
      <c r="M649" s="1"/>
      <c r="N649" s="10"/>
      <c r="O649" s="10"/>
      <c r="P649" s="10"/>
      <c r="Q649" s="10"/>
      <c r="R649" s="10"/>
      <c r="S649" s="10"/>
      <c r="T649" s="10"/>
      <c r="U649" s="1"/>
      <c r="V649" s="205"/>
      <c r="W649" s="205"/>
      <c r="X649" s="205"/>
      <c r="Y649" s="183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 ht="16.5" customHeight="1">
      <c r="A650" s="1"/>
      <c r="B650" s="1"/>
      <c r="C650" s="199"/>
      <c r="D650" s="1"/>
      <c r="E650" s="1"/>
      <c r="F650" s="1"/>
      <c r="G650" s="199"/>
      <c r="H650" s="1"/>
      <c r="I650" s="1"/>
      <c r="J650" s="1"/>
      <c r="K650" s="1"/>
      <c r="L650" s="1"/>
      <c r="M650" s="1"/>
      <c r="N650" s="10"/>
      <c r="O650" s="10"/>
      <c r="P650" s="10"/>
      <c r="Q650" s="10"/>
      <c r="R650" s="10"/>
      <c r="S650" s="10"/>
      <c r="T650" s="10"/>
      <c r="U650" s="1"/>
      <c r="V650" s="205"/>
      <c r="W650" s="205"/>
      <c r="X650" s="205"/>
      <c r="Y650" s="183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 ht="16.5" customHeight="1">
      <c r="A651" s="1"/>
      <c r="B651" s="1"/>
      <c r="C651" s="199"/>
      <c r="D651" s="1"/>
      <c r="E651" s="1"/>
      <c r="F651" s="1"/>
      <c r="G651" s="199"/>
      <c r="H651" s="1"/>
      <c r="I651" s="1"/>
      <c r="J651" s="1"/>
      <c r="K651" s="1"/>
      <c r="L651" s="1"/>
      <c r="M651" s="1"/>
      <c r="N651" s="10"/>
      <c r="O651" s="10"/>
      <c r="P651" s="10"/>
      <c r="Q651" s="10"/>
      <c r="R651" s="10"/>
      <c r="S651" s="10"/>
      <c r="T651" s="10"/>
      <c r="U651" s="1"/>
      <c r="V651" s="205"/>
      <c r="W651" s="205"/>
      <c r="X651" s="205"/>
      <c r="Y651" s="183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 ht="16.5" customHeight="1">
      <c r="A652" s="1"/>
      <c r="B652" s="1"/>
      <c r="C652" s="199"/>
      <c r="D652" s="1"/>
      <c r="E652" s="1"/>
      <c r="F652" s="1"/>
      <c r="G652" s="199"/>
      <c r="H652" s="1"/>
      <c r="I652" s="1"/>
      <c r="J652" s="1"/>
      <c r="K652" s="1"/>
      <c r="L652" s="1"/>
      <c r="M652" s="1"/>
      <c r="N652" s="10"/>
      <c r="O652" s="10"/>
      <c r="P652" s="10"/>
      <c r="Q652" s="10"/>
      <c r="R652" s="10"/>
      <c r="S652" s="10"/>
      <c r="T652" s="10"/>
      <c r="U652" s="1"/>
      <c r="V652" s="205"/>
      <c r="W652" s="205"/>
      <c r="X652" s="205"/>
      <c r="Y652" s="183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 ht="16.5" customHeight="1">
      <c r="A653" s="1"/>
      <c r="B653" s="1"/>
      <c r="C653" s="199"/>
      <c r="D653" s="1"/>
      <c r="E653" s="1"/>
      <c r="F653" s="1"/>
      <c r="G653" s="199"/>
      <c r="H653" s="1"/>
      <c r="I653" s="1"/>
      <c r="J653" s="1"/>
      <c r="K653" s="1"/>
      <c r="L653" s="1"/>
      <c r="M653" s="1"/>
      <c r="N653" s="10"/>
      <c r="O653" s="10"/>
      <c r="P653" s="10"/>
      <c r="Q653" s="10"/>
      <c r="R653" s="10"/>
      <c r="S653" s="10"/>
      <c r="T653" s="10"/>
      <c r="U653" s="1"/>
      <c r="V653" s="205"/>
      <c r="W653" s="205"/>
      <c r="X653" s="205"/>
      <c r="Y653" s="183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 ht="16.5" customHeight="1">
      <c r="A654" s="1"/>
      <c r="B654" s="1"/>
      <c r="C654" s="199"/>
      <c r="D654" s="1"/>
      <c r="E654" s="1"/>
      <c r="F654" s="1"/>
      <c r="G654" s="199"/>
      <c r="H654" s="1"/>
      <c r="I654" s="1"/>
      <c r="J654" s="1"/>
      <c r="K654" s="1"/>
      <c r="L654" s="1"/>
      <c r="M654" s="1"/>
      <c r="N654" s="10"/>
      <c r="O654" s="10"/>
      <c r="P654" s="10"/>
      <c r="Q654" s="10"/>
      <c r="R654" s="10"/>
      <c r="S654" s="10"/>
      <c r="T654" s="10"/>
      <c r="U654" s="1"/>
      <c r="V654" s="205"/>
      <c r="W654" s="205"/>
      <c r="X654" s="205"/>
      <c r="Y654" s="183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 ht="16.5" customHeight="1">
      <c r="A655" s="1"/>
      <c r="B655" s="1"/>
      <c r="C655" s="199"/>
      <c r="D655" s="1"/>
      <c r="E655" s="1"/>
      <c r="F655" s="1"/>
      <c r="G655" s="199"/>
      <c r="H655" s="1"/>
      <c r="I655" s="1"/>
      <c r="J655" s="1"/>
      <c r="K655" s="1"/>
      <c r="L655" s="1"/>
      <c r="M655" s="1"/>
      <c r="N655" s="10"/>
      <c r="O655" s="10"/>
      <c r="P655" s="10"/>
      <c r="Q655" s="10"/>
      <c r="R655" s="10"/>
      <c r="S655" s="10"/>
      <c r="T655" s="10"/>
      <c r="U655" s="1"/>
      <c r="V655" s="205"/>
      <c r="W655" s="205"/>
      <c r="X655" s="205"/>
      <c r="Y655" s="183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 ht="16.5" customHeight="1">
      <c r="A656" s="1"/>
      <c r="B656" s="1"/>
      <c r="C656" s="199"/>
      <c r="D656" s="1"/>
      <c r="E656" s="1"/>
      <c r="F656" s="1"/>
      <c r="G656" s="199"/>
      <c r="H656" s="1"/>
      <c r="I656" s="1"/>
      <c r="J656" s="1"/>
      <c r="K656" s="1"/>
      <c r="L656" s="1"/>
      <c r="M656" s="1"/>
      <c r="N656" s="10"/>
      <c r="O656" s="10"/>
      <c r="P656" s="10"/>
      <c r="Q656" s="10"/>
      <c r="R656" s="10"/>
      <c r="S656" s="10"/>
      <c r="T656" s="10"/>
      <c r="U656" s="1"/>
      <c r="V656" s="205"/>
      <c r="W656" s="205"/>
      <c r="X656" s="205"/>
      <c r="Y656" s="183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 ht="16.5" customHeight="1">
      <c r="A657" s="1"/>
      <c r="B657" s="1"/>
      <c r="C657" s="199"/>
      <c r="D657" s="1"/>
      <c r="E657" s="1"/>
      <c r="F657" s="1"/>
      <c r="G657" s="199"/>
      <c r="H657" s="1"/>
      <c r="I657" s="1"/>
      <c r="J657" s="1"/>
      <c r="K657" s="1"/>
      <c r="L657" s="1"/>
      <c r="M657" s="1"/>
      <c r="N657" s="10"/>
      <c r="O657" s="10"/>
      <c r="P657" s="10"/>
      <c r="Q657" s="10"/>
      <c r="R657" s="10"/>
      <c r="S657" s="10"/>
      <c r="T657" s="10"/>
      <c r="U657" s="1"/>
      <c r="V657" s="205"/>
      <c r="W657" s="205"/>
      <c r="X657" s="205"/>
      <c r="Y657" s="183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 ht="16.5" customHeight="1">
      <c r="A658" s="1"/>
      <c r="B658" s="1"/>
      <c r="C658" s="199"/>
      <c r="D658" s="1"/>
      <c r="E658" s="1"/>
      <c r="F658" s="1"/>
      <c r="G658" s="199"/>
      <c r="H658" s="1"/>
      <c r="I658" s="1"/>
      <c r="J658" s="1"/>
      <c r="K658" s="1"/>
      <c r="L658" s="1"/>
      <c r="M658" s="1"/>
      <c r="N658" s="10"/>
      <c r="O658" s="10"/>
      <c r="P658" s="10"/>
      <c r="Q658" s="10"/>
      <c r="R658" s="10"/>
      <c r="S658" s="10"/>
      <c r="T658" s="10"/>
      <c r="U658" s="1"/>
      <c r="V658" s="205"/>
      <c r="W658" s="205"/>
      <c r="X658" s="205"/>
      <c r="Y658" s="183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 ht="16.5" customHeight="1">
      <c r="A659" s="1"/>
      <c r="B659" s="1"/>
      <c r="C659" s="199"/>
      <c r="D659" s="1"/>
      <c r="E659" s="1"/>
      <c r="F659" s="1"/>
      <c r="G659" s="199"/>
      <c r="H659" s="1"/>
      <c r="I659" s="1"/>
      <c r="J659" s="1"/>
      <c r="K659" s="1"/>
      <c r="L659" s="1"/>
      <c r="M659" s="1"/>
      <c r="N659" s="10"/>
      <c r="O659" s="10"/>
      <c r="P659" s="10"/>
      <c r="Q659" s="10"/>
      <c r="R659" s="10"/>
      <c r="S659" s="10"/>
      <c r="T659" s="10"/>
      <c r="U659" s="1"/>
      <c r="V659" s="205"/>
      <c r="W659" s="205"/>
      <c r="X659" s="205"/>
      <c r="Y659" s="183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 ht="16.5" customHeight="1">
      <c r="A660" s="1"/>
      <c r="B660" s="1"/>
      <c r="C660" s="199"/>
      <c r="D660" s="1"/>
      <c r="E660" s="1"/>
      <c r="F660" s="1"/>
      <c r="G660" s="199"/>
      <c r="H660" s="1"/>
      <c r="I660" s="1"/>
      <c r="J660" s="1"/>
      <c r="K660" s="1"/>
      <c r="L660" s="1"/>
      <c r="M660" s="1"/>
      <c r="N660" s="10"/>
      <c r="O660" s="10"/>
      <c r="P660" s="10"/>
      <c r="Q660" s="10"/>
      <c r="R660" s="10"/>
      <c r="S660" s="10"/>
      <c r="T660" s="10"/>
      <c r="U660" s="1"/>
      <c r="V660" s="205"/>
      <c r="W660" s="205"/>
      <c r="X660" s="205"/>
      <c r="Y660" s="183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 ht="16.5" customHeight="1">
      <c r="A661" s="1"/>
      <c r="B661" s="1"/>
      <c r="C661" s="199"/>
      <c r="D661" s="1"/>
      <c r="E661" s="1"/>
      <c r="F661" s="1"/>
      <c r="G661" s="199"/>
      <c r="H661" s="1"/>
      <c r="I661" s="1"/>
      <c r="J661" s="1"/>
      <c r="K661" s="1"/>
      <c r="L661" s="1"/>
      <c r="M661" s="1"/>
      <c r="N661" s="10"/>
      <c r="O661" s="10"/>
      <c r="P661" s="10"/>
      <c r="Q661" s="10"/>
      <c r="R661" s="10"/>
      <c r="S661" s="10"/>
      <c r="T661" s="10"/>
      <c r="U661" s="1"/>
      <c r="V661" s="205"/>
      <c r="W661" s="205"/>
      <c r="X661" s="205"/>
      <c r="Y661" s="183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 ht="16.5" customHeight="1">
      <c r="A662" s="1"/>
      <c r="B662" s="1"/>
      <c r="C662" s="199"/>
      <c r="D662" s="1"/>
      <c r="E662" s="1"/>
      <c r="F662" s="1"/>
      <c r="G662" s="199"/>
      <c r="H662" s="1"/>
      <c r="I662" s="1"/>
      <c r="J662" s="1"/>
      <c r="K662" s="1"/>
      <c r="L662" s="1"/>
      <c r="M662" s="1"/>
      <c r="N662" s="10"/>
      <c r="O662" s="10"/>
      <c r="P662" s="10"/>
      <c r="Q662" s="10"/>
      <c r="R662" s="10"/>
      <c r="S662" s="10"/>
      <c r="T662" s="10"/>
      <c r="U662" s="1"/>
      <c r="V662" s="205"/>
      <c r="W662" s="205"/>
      <c r="X662" s="205"/>
      <c r="Y662" s="183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 ht="16.5" customHeight="1">
      <c r="A663" s="1"/>
      <c r="B663" s="1"/>
      <c r="C663" s="199"/>
      <c r="D663" s="1"/>
      <c r="E663" s="1"/>
      <c r="F663" s="1"/>
      <c r="G663" s="199"/>
      <c r="H663" s="1"/>
      <c r="I663" s="1"/>
      <c r="J663" s="1"/>
      <c r="K663" s="1"/>
      <c r="L663" s="1"/>
      <c r="M663" s="1"/>
      <c r="N663" s="10"/>
      <c r="O663" s="10"/>
      <c r="P663" s="10"/>
      <c r="Q663" s="10"/>
      <c r="R663" s="10"/>
      <c r="S663" s="10"/>
      <c r="T663" s="10"/>
      <c r="U663" s="1"/>
      <c r="V663" s="205"/>
      <c r="W663" s="205"/>
      <c r="X663" s="205"/>
      <c r="Y663" s="183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 ht="16.5" customHeight="1">
      <c r="A664" s="1"/>
      <c r="B664" s="1"/>
      <c r="C664" s="199"/>
      <c r="D664" s="1"/>
      <c r="E664" s="1"/>
      <c r="F664" s="1"/>
      <c r="G664" s="199"/>
      <c r="H664" s="1"/>
      <c r="I664" s="1"/>
      <c r="J664" s="1"/>
      <c r="K664" s="1"/>
      <c r="L664" s="1"/>
      <c r="M664" s="1"/>
      <c r="N664" s="10"/>
      <c r="O664" s="10"/>
      <c r="P664" s="10"/>
      <c r="Q664" s="10"/>
      <c r="R664" s="10"/>
      <c r="S664" s="10"/>
      <c r="T664" s="10"/>
      <c r="U664" s="1"/>
      <c r="V664" s="205"/>
      <c r="W664" s="205"/>
      <c r="X664" s="205"/>
      <c r="Y664" s="183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 ht="16.5" customHeight="1">
      <c r="A665" s="1"/>
      <c r="B665" s="1"/>
      <c r="C665" s="199"/>
      <c r="D665" s="1"/>
      <c r="E665" s="1"/>
      <c r="F665" s="1"/>
      <c r="G665" s="199"/>
      <c r="H665" s="1"/>
      <c r="I665" s="1"/>
      <c r="J665" s="1"/>
      <c r="K665" s="1"/>
      <c r="L665" s="1"/>
      <c r="M665" s="1"/>
      <c r="N665" s="10"/>
      <c r="O665" s="10"/>
      <c r="P665" s="10"/>
      <c r="Q665" s="10"/>
      <c r="R665" s="10"/>
      <c r="S665" s="10"/>
      <c r="T665" s="10"/>
      <c r="U665" s="1"/>
      <c r="V665" s="205"/>
      <c r="W665" s="205"/>
      <c r="X665" s="205"/>
      <c r="Y665" s="183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 ht="16.5" customHeight="1">
      <c r="A666" s="1"/>
      <c r="B666" s="1"/>
      <c r="C666" s="199"/>
      <c r="D666" s="1"/>
      <c r="E666" s="1"/>
      <c r="F666" s="1"/>
      <c r="G666" s="199"/>
      <c r="H666" s="1"/>
      <c r="I666" s="1"/>
      <c r="J666" s="1"/>
      <c r="K666" s="1"/>
      <c r="L666" s="1"/>
      <c r="M666" s="1"/>
      <c r="N666" s="10"/>
      <c r="O666" s="10"/>
      <c r="P666" s="10"/>
      <c r="Q666" s="10"/>
      <c r="R666" s="10"/>
      <c r="S666" s="10"/>
      <c r="T666" s="10"/>
      <c r="U666" s="1"/>
      <c r="V666" s="205"/>
      <c r="W666" s="205"/>
      <c r="X666" s="205"/>
      <c r="Y666" s="183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 ht="16.5" customHeight="1">
      <c r="A667" s="1"/>
      <c r="B667" s="1"/>
      <c r="C667" s="199"/>
      <c r="D667" s="1"/>
      <c r="E667" s="1"/>
      <c r="F667" s="1"/>
      <c r="G667" s="199"/>
      <c r="H667" s="1"/>
      <c r="I667" s="1"/>
      <c r="J667" s="1"/>
      <c r="K667" s="1"/>
      <c r="L667" s="1"/>
      <c r="M667" s="1"/>
      <c r="N667" s="10"/>
      <c r="O667" s="10"/>
      <c r="P667" s="10"/>
      <c r="Q667" s="10"/>
      <c r="R667" s="10"/>
      <c r="S667" s="10"/>
      <c r="T667" s="10"/>
      <c r="U667" s="1"/>
      <c r="V667" s="205"/>
      <c r="W667" s="205"/>
      <c r="X667" s="205"/>
      <c r="Y667" s="183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 ht="16.5" customHeight="1">
      <c r="A668" s="1"/>
      <c r="B668" s="1"/>
      <c r="C668" s="199"/>
      <c r="D668" s="1"/>
      <c r="E668" s="1"/>
      <c r="F668" s="1"/>
      <c r="G668" s="199"/>
      <c r="H668" s="1"/>
      <c r="I668" s="1"/>
      <c r="J668" s="1"/>
      <c r="K668" s="1"/>
      <c r="L668" s="1"/>
      <c r="M668" s="1"/>
      <c r="N668" s="10"/>
      <c r="O668" s="10"/>
      <c r="P668" s="10"/>
      <c r="Q668" s="10"/>
      <c r="R668" s="10"/>
      <c r="S668" s="10"/>
      <c r="T668" s="10"/>
      <c r="U668" s="1"/>
      <c r="V668" s="205"/>
      <c r="W668" s="205"/>
      <c r="X668" s="205"/>
      <c r="Y668" s="183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 ht="16.5" customHeight="1">
      <c r="A669" s="1"/>
      <c r="B669" s="1"/>
      <c r="C669" s="199"/>
      <c r="D669" s="1"/>
      <c r="E669" s="1"/>
      <c r="F669" s="1"/>
      <c r="G669" s="199"/>
      <c r="H669" s="1"/>
      <c r="I669" s="1"/>
      <c r="J669" s="1"/>
      <c r="K669" s="1"/>
      <c r="L669" s="1"/>
      <c r="M669" s="1"/>
      <c r="N669" s="10"/>
      <c r="O669" s="10"/>
      <c r="P669" s="10"/>
      <c r="Q669" s="10"/>
      <c r="R669" s="10"/>
      <c r="S669" s="10"/>
      <c r="T669" s="10"/>
      <c r="U669" s="1"/>
      <c r="V669" s="205"/>
      <c r="W669" s="205"/>
      <c r="X669" s="205"/>
      <c r="Y669" s="183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 ht="16.5" customHeight="1">
      <c r="A670" s="1"/>
      <c r="B670" s="1"/>
      <c r="C670" s="199"/>
      <c r="D670" s="1"/>
      <c r="E670" s="1"/>
      <c r="F670" s="1"/>
      <c r="G670" s="199"/>
      <c r="H670" s="1"/>
      <c r="I670" s="1"/>
      <c r="J670" s="1"/>
      <c r="K670" s="1"/>
      <c r="L670" s="1"/>
      <c r="M670" s="1"/>
      <c r="N670" s="10"/>
      <c r="O670" s="10"/>
      <c r="P670" s="10"/>
      <c r="Q670" s="10"/>
      <c r="R670" s="10"/>
      <c r="S670" s="10"/>
      <c r="T670" s="10"/>
      <c r="U670" s="1"/>
      <c r="V670" s="205"/>
      <c r="W670" s="205"/>
      <c r="X670" s="205"/>
      <c r="Y670" s="183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 ht="16.5" customHeight="1">
      <c r="A671" s="1"/>
      <c r="B671" s="1"/>
      <c r="C671" s="199"/>
      <c r="D671" s="1"/>
      <c r="E671" s="1"/>
      <c r="F671" s="1"/>
      <c r="G671" s="199"/>
      <c r="H671" s="1"/>
      <c r="I671" s="1"/>
      <c r="J671" s="1"/>
      <c r="K671" s="1"/>
      <c r="L671" s="1"/>
      <c r="M671" s="1"/>
      <c r="N671" s="10"/>
      <c r="O671" s="10"/>
      <c r="P671" s="10"/>
      <c r="Q671" s="10"/>
      <c r="R671" s="10"/>
      <c r="S671" s="10"/>
      <c r="T671" s="10"/>
      <c r="U671" s="1"/>
      <c r="V671" s="205"/>
      <c r="W671" s="205"/>
      <c r="X671" s="205"/>
      <c r="Y671" s="183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 ht="16.5" customHeight="1">
      <c r="A672" s="1"/>
      <c r="B672" s="1"/>
      <c r="C672" s="199"/>
      <c r="D672" s="1"/>
      <c r="E672" s="1"/>
      <c r="F672" s="1"/>
      <c r="G672" s="199"/>
      <c r="H672" s="1"/>
      <c r="I672" s="1"/>
      <c r="J672" s="1"/>
      <c r="K672" s="1"/>
      <c r="L672" s="1"/>
      <c r="M672" s="1"/>
      <c r="N672" s="10"/>
      <c r="O672" s="10"/>
      <c r="P672" s="10"/>
      <c r="Q672" s="10"/>
      <c r="R672" s="10"/>
      <c r="S672" s="10"/>
      <c r="T672" s="10"/>
      <c r="U672" s="1"/>
      <c r="V672" s="205"/>
      <c r="W672" s="205"/>
      <c r="X672" s="205"/>
      <c r="Y672" s="183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 ht="16.5" customHeight="1">
      <c r="A673" s="1"/>
      <c r="B673" s="1"/>
      <c r="C673" s="199"/>
      <c r="D673" s="1"/>
      <c r="E673" s="1"/>
      <c r="F673" s="1"/>
      <c r="G673" s="199"/>
      <c r="H673" s="1"/>
      <c r="I673" s="1"/>
      <c r="J673" s="1"/>
      <c r="K673" s="1"/>
      <c r="L673" s="1"/>
      <c r="M673" s="1"/>
      <c r="N673" s="10"/>
      <c r="O673" s="10"/>
      <c r="P673" s="10"/>
      <c r="Q673" s="10"/>
      <c r="R673" s="10"/>
      <c r="S673" s="10"/>
      <c r="T673" s="10"/>
      <c r="U673" s="1"/>
      <c r="V673" s="205"/>
      <c r="W673" s="205"/>
      <c r="X673" s="205"/>
      <c r="Y673" s="183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 ht="16.5" customHeight="1">
      <c r="A674" s="1"/>
      <c r="B674" s="1"/>
      <c r="C674" s="199"/>
      <c r="D674" s="1"/>
      <c r="E674" s="1"/>
      <c r="F674" s="1"/>
      <c r="G674" s="199"/>
      <c r="H674" s="1"/>
      <c r="I674" s="1"/>
      <c r="J674" s="1"/>
      <c r="K674" s="1"/>
      <c r="L674" s="1"/>
      <c r="M674" s="1"/>
      <c r="N674" s="10"/>
      <c r="O674" s="10"/>
      <c r="P674" s="10"/>
      <c r="Q674" s="10"/>
      <c r="R674" s="10"/>
      <c r="S674" s="10"/>
      <c r="T674" s="10"/>
      <c r="U674" s="1"/>
      <c r="V674" s="205"/>
      <c r="W674" s="205"/>
      <c r="X674" s="205"/>
      <c r="Y674" s="183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 ht="16.5" customHeight="1">
      <c r="A675" s="1"/>
      <c r="B675" s="1"/>
      <c r="C675" s="199"/>
      <c r="D675" s="1"/>
      <c r="E675" s="1"/>
      <c r="F675" s="1"/>
      <c r="G675" s="199"/>
      <c r="H675" s="1"/>
      <c r="I675" s="1"/>
      <c r="J675" s="1"/>
      <c r="K675" s="1"/>
      <c r="L675" s="1"/>
      <c r="M675" s="1"/>
      <c r="N675" s="10"/>
      <c r="O675" s="10"/>
      <c r="P675" s="10"/>
      <c r="Q675" s="10"/>
      <c r="R675" s="10"/>
      <c r="S675" s="10"/>
      <c r="T675" s="10"/>
      <c r="U675" s="1"/>
      <c r="V675" s="205"/>
      <c r="W675" s="205"/>
      <c r="X675" s="205"/>
      <c r="Y675" s="183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 ht="16.5" customHeight="1">
      <c r="A676" s="1"/>
      <c r="B676" s="1"/>
      <c r="C676" s="199"/>
      <c r="D676" s="1"/>
      <c r="E676" s="1"/>
      <c r="F676" s="1"/>
      <c r="G676" s="199"/>
      <c r="H676" s="1"/>
      <c r="I676" s="1"/>
      <c r="J676" s="1"/>
      <c r="K676" s="1"/>
      <c r="L676" s="1"/>
      <c r="M676" s="1"/>
      <c r="N676" s="10"/>
      <c r="O676" s="10"/>
      <c r="P676" s="10"/>
      <c r="Q676" s="10"/>
      <c r="R676" s="10"/>
      <c r="S676" s="10"/>
      <c r="T676" s="10"/>
      <c r="U676" s="1"/>
      <c r="V676" s="205"/>
      <c r="W676" s="205"/>
      <c r="X676" s="205"/>
      <c r="Y676" s="183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 ht="16.5" customHeight="1">
      <c r="A677" s="1"/>
      <c r="B677" s="1"/>
      <c r="C677" s="199"/>
      <c r="D677" s="1"/>
      <c r="E677" s="1"/>
      <c r="F677" s="1"/>
      <c r="G677" s="199"/>
      <c r="H677" s="1"/>
      <c r="I677" s="1"/>
      <c r="J677" s="1"/>
      <c r="K677" s="1"/>
      <c r="L677" s="1"/>
      <c r="M677" s="1"/>
      <c r="N677" s="10"/>
      <c r="O677" s="10"/>
      <c r="P677" s="10"/>
      <c r="Q677" s="10"/>
      <c r="R677" s="10"/>
      <c r="S677" s="10"/>
      <c r="T677" s="10"/>
      <c r="U677" s="1"/>
      <c r="V677" s="205"/>
      <c r="W677" s="205"/>
      <c r="X677" s="205"/>
      <c r="Y677" s="183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 ht="16.5" customHeight="1">
      <c r="A678" s="1"/>
      <c r="B678" s="1"/>
      <c r="C678" s="199"/>
      <c r="D678" s="1"/>
      <c r="E678" s="1"/>
      <c r="F678" s="1"/>
      <c r="G678" s="199"/>
      <c r="H678" s="1"/>
      <c r="I678" s="1"/>
      <c r="J678" s="1"/>
      <c r="K678" s="1"/>
      <c r="L678" s="1"/>
      <c r="M678" s="1"/>
      <c r="N678" s="10"/>
      <c r="O678" s="10"/>
      <c r="P678" s="10"/>
      <c r="Q678" s="10"/>
      <c r="R678" s="10"/>
      <c r="S678" s="10"/>
      <c r="T678" s="10"/>
      <c r="U678" s="1"/>
      <c r="V678" s="205"/>
      <c r="W678" s="205"/>
      <c r="X678" s="205"/>
      <c r="Y678" s="183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 ht="16.5" customHeight="1">
      <c r="A679" s="1"/>
      <c r="B679" s="1"/>
      <c r="C679" s="199"/>
      <c r="D679" s="1"/>
      <c r="E679" s="1"/>
      <c r="F679" s="1"/>
      <c r="G679" s="199"/>
      <c r="H679" s="1"/>
      <c r="I679" s="1"/>
      <c r="J679" s="1"/>
      <c r="K679" s="1"/>
      <c r="L679" s="1"/>
      <c r="M679" s="1"/>
      <c r="N679" s="10"/>
      <c r="O679" s="10"/>
      <c r="P679" s="10"/>
      <c r="Q679" s="10"/>
      <c r="R679" s="10"/>
      <c r="S679" s="10"/>
      <c r="T679" s="10"/>
      <c r="U679" s="1"/>
      <c r="V679" s="205"/>
      <c r="W679" s="205"/>
      <c r="X679" s="205"/>
      <c r="Y679" s="183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 ht="16.5" customHeight="1">
      <c r="A680" s="1"/>
      <c r="B680" s="1"/>
      <c r="C680" s="199"/>
      <c r="D680" s="1"/>
      <c r="E680" s="1"/>
      <c r="F680" s="1"/>
      <c r="G680" s="199"/>
      <c r="H680" s="1"/>
      <c r="I680" s="1"/>
      <c r="J680" s="1"/>
      <c r="K680" s="1"/>
      <c r="L680" s="1"/>
      <c r="M680" s="1"/>
      <c r="N680" s="10"/>
      <c r="O680" s="10"/>
      <c r="P680" s="10"/>
      <c r="Q680" s="10"/>
      <c r="R680" s="10"/>
      <c r="S680" s="10"/>
      <c r="T680" s="10"/>
      <c r="U680" s="1"/>
      <c r="V680" s="205"/>
      <c r="W680" s="205"/>
      <c r="X680" s="205"/>
      <c r="Y680" s="183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 ht="16.5" customHeight="1">
      <c r="A681" s="1"/>
      <c r="B681" s="1"/>
      <c r="C681" s="199"/>
      <c r="D681" s="1"/>
      <c r="E681" s="1"/>
      <c r="F681" s="1"/>
      <c r="G681" s="199"/>
      <c r="H681" s="1"/>
      <c r="I681" s="1"/>
      <c r="J681" s="1"/>
      <c r="K681" s="1"/>
      <c r="L681" s="1"/>
      <c r="M681" s="1"/>
      <c r="N681" s="10"/>
      <c r="O681" s="10"/>
      <c r="P681" s="10"/>
      <c r="Q681" s="10"/>
      <c r="R681" s="10"/>
      <c r="S681" s="10"/>
      <c r="T681" s="10"/>
      <c r="U681" s="1"/>
      <c r="V681" s="205"/>
      <c r="W681" s="205"/>
      <c r="X681" s="205"/>
      <c r="Y681" s="183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 ht="16.5" customHeight="1">
      <c r="A682" s="1"/>
      <c r="B682" s="1"/>
      <c r="C682" s="199"/>
      <c r="D682" s="1"/>
      <c r="E682" s="1"/>
      <c r="F682" s="1"/>
      <c r="G682" s="199"/>
      <c r="H682" s="1"/>
      <c r="I682" s="1"/>
      <c r="J682" s="1"/>
      <c r="K682" s="1"/>
      <c r="L682" s="1"/>
      <c r="M682" s="1"/>
      <c r="N682" s="10"/>
      <c r="O682" s="10"/>
      <c r="P682" s="10"/>
      <c r="Q682" s="10"/>
      <c r="R682" s="10"/>
      <c r="S682" s="10"/>
      <c r="T682" s="10"/>
      <c r="U682" s="1"/>
      <c r="V682" s="205"/>
      <c r="W682" s="205"/>
      <c r="X682" s="205"/>
      <c r="Y682" s="183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 ht="16.5" customHeight="1">
      <c r="A683" s="1"/>
      <c r="B683" s="1"/>
      <c r="C683" s="199"/>
      <c r="D683" s="1"/>
      <c r="E683" s="1"/>
      <c r="F683" s="1"/>
      <c r="G683" s="199"/>
      <c r="H683" s="1"/>
      <c r="I683" s="1"/>
      <c r="J683" s="1"/>
      <c r="K683" s="1"/>
      <c r="L683" s="1"/>
      <c r="M683" s="1"/>
      <c r="N683" s="10"/>
      <c r="O683" s="10"/>
      <c r="P683" s="10"/>
      <c r="Q683" s="10"/>
      <c r="R683" s="10"/>
      <c r="S683" s="10"/>
      <c r="T683" s="10"/>
      <c r="U683" s="1"/>
      <c r="V683" s="205"/>
      <c r="W683" s="205"/>
      <c r="X683" s="205"/>
      <c r="Y683" s="183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 ht="16.5" customHeight="1">
      <c r="A684" s="1"/>
      <c r="B684" s="1"/>
      <c r="C684" s="199"/>
      <c r="D684" s="1"/>
      <c r="E684" s="1"/>
      <c r="F684" s="1"/>
      <c r="G684" s="199"/>
      <c r="H684" s="1"/>
      <c r="I684" s="1"/>
      <c r="J684" s="1"/>
      <c r="K684" s="1"/>
      <c r="L684" s="1"/>
      <c r="M684" s="1"/>
      <c r="N684" s="10"/>
      <c r="O684" s="10"/>
      <c r="P684" s="10"/>
      <c r="Q684" s="10"/>
      <c r="R684" s="10"/>
      <c r="S684" s="10"/>
      <c r="T684" s="10"/>
      <c r="U684" s="1"/>
      <c r="V684" s="205"/>
      <c r="W684" s="205"/>
      <c r="X684" s="205"/>
      <c r="Y684" s="183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 ht="16.5" customHeight="1">
      <c r="A685" s="1"/>
      <c r="B685" s="1"/>
      <c r="C685" s="199"/>
      <c r="D685" s="1"/>
      <c r="E685" s="1"/>
      <c r="F685" s="1"/>
      <c r="G685" s="199"/>
      <c r="H685" s="1"/>
      <c r="I685" s="1"/>
      <c r="J685" s="1"/>
      <c r="K685" s="1"/>
      <c r="L685" s="1"/>
      <c r="M685" s="1"/>
      <c r="N685" s="10"/>
      <c r="O685" s="10"/>
      <c r="P685" s="10"/>
      <c r="Q685" s="10"/>
      <c r="R685" s="10"/>
      <c r="S685" s="10"/>
      <c r="T685" s="10"/>
      <c r="U685" s="1"/>
      <c r="V685" s="205"/>
      <c r="W685" s="205"/>
      <c r="X685" s="205"/>
      <c r="Y685" s="183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 ht="16.5" customHeight="1">
      <c r="A686" s="1"/>
      <c r="B686" s="1"/>
      <c r="C686" s="199"/>
      <c r="D686" s="1"/>
      <c r="E686" s="1"/>
      <c r="F686" s="1"/>
      <c r="G686" s="199"/>
      <c r="H686" s="1"/>
      <c r="I686" s="1"/>
      <c r="J686" s="1"/>
      <c r="K686" s="1"/>
      <c r="L686" s="1"/>
      <c r="M686" s="1"/>
      <c r="N686" s="10"/>
      <c r="O686" s="10"/>
      <c r="P686" s="10"/>
      <c r="Q686" s="10"/>
      <c r="R686" s="10"/>
      <c r="S686" s="10"/>
      <c r="T686" s="10"/>
      <c r="U686" s="1"/>
      <c r="V686" s="205"/>
      <c r="W686" s="205"/>
      <c r="X686" s="205"/>
      <c r="Y686" s="183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 ht="16.5" customHeight="1">
      <c r="A687" s="1"/>
      <c r="B687" s="1"/>
      <c r="C687" s="199"/>
      <c r="D687" s="1"/>
      <c r="E687" s="1"/>
      <c r="F687" s="1"/>
      <c r="G687" s="199"/>
      <c r="H687" s="1"/>
      <c r="I687" s="1"/>
      <c r="J687" s="1"/>
      <c r="K687" s="1"/>
      <c r="L687" s="1"/>
      <c r="M687" s="1"/>
      <c r="N687" s="10"/>
      <c r="O687" s="10"/>
      <c r="P687" s="10"/>
      <c r="Q687" s="10"/>
      <c r="R687" s="10"/>
      <c r="S687" s="10"/>
      <c r="T687" s="10"/>
      <c r="U687" s="1"/>
      <c r="V687" s="205"/>
      <c r="W687" s="205"/>
      <c r="X687" s="205"/>
      <c r="Y687" s="183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 ht="16.5" customHeight="1">
      <c r="A688" s="1"/>
      <c r="B688" s="1"/>
      <c r="C688" s="199"/>
      <c r="D688" s="1"/>
      <c r="E688" s="1"/>
      <c r="F688" s="1"/>
      <c r="G688" s="199"/>
      <c r="H688" s="1"/>
      <c r="I688" s="1"/>
      <c r="J688" s="1"/>
      <c r="K688" s="1"/>
      <c r="L688" s="1"/>
      <c r="M688" s="1"/>
      <c r="N688" s="10"/>
      <c r="O688" s="10"/>
      <c r="P688" s="10"/>
      <c r="Q688" s="10"/>
      <c r="R688" s="10"/>
      <c r="S688" s="10"/>
      <c r="T688" s="10"/>
      <c r="U688" s="1"/>
      <c r="V688" s="205"/>
      <c r="W688" s="205"/>
      <c r="X688" s="205"/>
      <c r="Y688" s="183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 ht="16.5" customHeight="1">
      <c r="A689" s="1"/>
      <c r="B689" s="1"/>
      <c r="C689" s="199"/>
      <c r="D689" s="1"/>
      <c r="E689" s="1"/>
      <c r="F689" s="1"/>
      <c r="G689" s="199"/>
      <c r="H689" s="1"/>
      <c r="I689" s="1"/>
      <c r="J689" s="1"/>
      <c r="K689" s="1"/>
      <c r="L689" s="1"/>
      <c r="M689" s="1"/>
      <c r="N689" s="10"/>
      <c r="O689" s="10"/>
      <c r="P689" s="10"/>
      <c r="Q689" s="10"/>
      <c r="R689" s="10"/>
      <c r="S689" s="10"/>
      <c r="T689" s="10"/>
      <c r="U689" s="1"/>
      <c r="V689" s="205"/>
      <c r="W689" s="205"/>
      <c r="X689" s="205"/>
      <c r="Y689" s="183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 ht="16.5" customHeight="1">
      <c r="A690" s="1"/>
      <c r="B690" s="1"/>
      <c r="C690" s="199"/>
      <c r="D690" s="1"/>
      <c r="E690" s="1"/>
      <c r="F690" s="1"/>
      <c r="G690" s="199"/>
      <c r="H690" s="1"/>
      <c r="I690" s="1"/>
      <c r="J690" s="1"/>
      <c r="K690" s="1"/>
      <c r="L690" s="1"/>
      <c r="M690" s="1"/>
      <c r="N690" s="10"/>
      <c r="O690" s="10"/>
      <c r="P690" s="10"/>
      <c r="Q690" s="10"/>
      <c r="R690" s="10"/>
      <c r="S690" s="10"/>
      <c r="T690" s="10"/>
      <c r="U690" s="1"/>
      <c r="V690" s="205"/>
      <c r="W690" s="205"/>
      <c r="X690" s="205"/>
      <c r="Y690" s="183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 ht="16.5" customHeight="1">
      <c r="A691" s="1"/>
      <c r="B691" s="1"/>
      <c r="C691" s="199"/>
      <c r="D691" s="1"/>
      <c r="E691" s="1"/>
      <c r="F691" s="1"/>
      <c r="G691" s="199"/>
      <c r="H691" s="1"/>
      <c r="I691" s="1"/>
      <c r="J691" s="1"/>
      <c r="K691" s="1"/>
      <c r="L691" s="1"/>
      <c r="M691" s="1"/>
      <c r="N691" s="10"/>
      <c r="O691" s="10"/>
      <c r="P691" s="10"/>
      <c r="Q691" s="10"/>
      <c r="R691" s="10"/>
      <c r="S691" s="10"/>
      <c r="T691" s="10"/>
      <c r="U691" s="1"/>
      <c r="V691" s="205"/>
      <c r="W691" s="205"/>
      <c r="X691" s="205"/>
      <c r="Y691" s="183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 ht="16.5" customHeight="1">
      <c r="A692" s="1"/>
      <c r="B692" s="1"/>
      <c r="C692" s="199"/>
      <c r="D692" s="1"/>
      <c r="E692" s="1"/>
      <c r="F692" s="1"/>
      <c r="G692" s="199"/>
      <c r="H692" s="1"/>
      <c r="I692" s="1"/>
      <c r="J692" s="1"/>
      <c r="K692" s="1"/>
      <c r="L692" s="1"/>
      <c r="M692" s="1"/>
      <c r="N692" s="10"/>
      <c r="O692" s="10"/>
      <c r="P692" s="10"/>
      <c r="Q692" s="10"/>
      <c r="R692" s="10"/>
      <c r="S692" s="10"/>
      <c r="T692" s="10"/>
      <c r="U692" s="1"/>
      <c r="V692" s="205"/>
      <c r="W692" s="205"/>
      <c r="X692" s="205"/>
      <c r="Y692" s="183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 ht="16.5" customHeight="1">
      <c r="A693" s="1"/>
      <c r="B693" s="1"/>
      <c r="C693" s="199"/>
      <c r="D693" s="1"/>
      <c r="E693" s="1"/>
      <c r="F693" s="1"/>
      <c r="G693" s="199"/>
      <c r="H693" s="1"/>
      <c r="I693" s="1"/>
      <c r="J693" s="1"/>
      <c r="K693" s="1"/>
      <c r="L693" s="1"/>
      <c r="M693" s="1"/>
      <c r="N693" s="10"/>
      <c r="O693" s="10"/>
      <c r="P693" s="10"/>
      <c r="Q693" s="10"/>
      <c r="R693" s="10"/>
      <c r="S693" s="10"/>
      <c r="T693" s="10"/>
      <c r="U693" s="1"/>
      <c r="V693" s="205"/>
      <c r="W693" s="205"/>
      <c r="X693" s="205"/>
      <c r="Y693" s="183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 ht="16.5" customHeight="1">
      <c r="A694" s="1"/>
      <c r="B694" s="1"/>
      <c r="C694" s="199"/>
      <c r="D694" s="1"/>
      <c r="E694" s="1"/>
      <c r="F694" s="1"/>
      <c r="G694" s="199"/>
      <c r="H694" s="1"/>
      <c r="I694" s="1"/>
      <c r="J694" s="1"/>
      <c r="K694" s="1"/>
      <c r="L694" s="1"/>
      <c r="M694" s="1"/>
      <c r="N694" s="10"/>
      <c r="O694" s="10"/>
      <c r="P694" s="10"/>
      <c r="Q694" s="10"/>
      <c r="R694" s="10"/>
      <c r="S694" s="10"/>
      <c r="T694" s="10"/>
      <c r="U694" s="1"/>
      <c r="V694" s="205"/>
      <c r="W694" s="205"/>
      <c r="X694" s="205"/>
      <c r="Y694" s="183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 ht="16.5" customHeight="1">
      <c r="A695" s="1"/>
      <c r="B695" s="1"/>
      <c r="C695" s="199"/>
      <c r="D695" s="1"/>
      <c r="E695" s="1"/>
      <c r="F695" s="1"/>
      <c r="G695" s="199"/>
      <c r="H695" s="1"/>
      <c r="I695" s="1"/>
      <c r="J695" s="1"/>
      <c r="K695" s="1"/>
      <c r="L695" s="1"/>
      <c r="M695" s="1"/>
      <c r="N695" s="10"/>
      <c r="O695" s="10"/>
      <c r="P695" s="10"/>
      <c r="Q695" s="10"/>
      <c r="R695" s="10"/>
      <c r="S695" s="10"/>
      <c r="T695" s="10"/>
      <c r="U695" s="1"/>
      <c r="V695" s="205"/>
      <c r="W695" s="205"/>
      <c r="X695" s="205"/>
      <c r="Y695" s="183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 ht="16.5" customHeight="1">
      <c r="A696" s="1"/>
      <c r="B696" s="1"/>
      <c r="C696" s="199"/>
      <c r="D696" s="1"/>
      <c r="E696" s="1"/>
      <c r="F696" s="1"/>
      <c r="G696" s="199"/>
      <c r="H696" s="1"/>
      <c r="I696" s="1"/>
      <c r="J696" s="1"/>
      <c r="K696" s="1"/>
      <c r="L696" s="1"/>
      <c r="M696" s="1"/>
      <c r="N696" s="10"/>
      <c r="O696" s="10"/>
      <c r="P696" s="10"/>
      <c r="Q696" s="10"/>
      <c r="R696" s="10"/>
      <c r="S696" s="10"/>
      <c r="T696" s="10"/>
      <c r="U696" s="1"/>
      <c r="V696" s="205"/>
      <c r="W696" s="205"/>
      <c r="X696" s="205"/>
      <c r="Y696" s="183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 ht="16.5" customHeight="1">
      <c r="A697" s="1"/>
      <c r="B697" s="1"/>
      <c r="C697" s="199"/>
      <c r="D697" s="1"/>
      <c r="E697" s="1"/>
      <c r="F697" s="1"/>
      <c r="G697" s="199"/>
      <c r="H697" s="1"/>
      <c r="I697" s="1"/>
      <c r="J697" s="1"/>
      <c r="K697" s="1"/>
      <c r="L697" s="1"/>
      <c r="M697" s="1"/>
      <c r="N697" s="10"/>
      <c r="O697" s="10"/>
      <c r="P697" s="10"/>
      <c r="Q697" s="10"/>
      <c r="R697" s="10"/>
      <c r="S697" s="10"/>
      <c r="T697" s="10"/>
      <c r="U697" s="1"/>
      <c r="V697" s="205"/>
      <c r="W697" s="205"/>
      <c r="X697" s="205"/>
      <c r="Y697" s="183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 ht="16.5" customHeight="1">
      <c r="A698" s="1"/>
      <c r="B698" s="1"/>
      <c r="C698" s="199"/>
      <c r="D698" s="1"/>
      <c r="E698" s="1"/>
      <c r="F698" s="1"/>
      <c r="G698" s="199"/>
      <c r="H698" s="1"/>
      <c r="I698" s="1"/>
      <c r="J698" s="1"/>
      <c r="K698" s="1"/>
      <c r="L698" s="1"/>
      <c r="M698" s="1"/>
      <c r="N698" s="10"/>
      <c r="O698" s="10"/>
      <c r="P698" s="10"/>
      <c r="Q698" s="10"/>
      <c r="R698" s="10"/>
      <c r="S698" s="10"/>
      <c r="T698" s="10"/>
      <c r="U698" s="1"/>
      <c r="V698" s="205"/>
      <c r="W698" s="205"/>
      <c r="X698" s="205"/>
      <c r="Y698" s="183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 ht="16.5" customHeight="1">
      <c r="A699" s="1"/>
      <c r="B699" s="1"/>
      <c r="C699" s="199"/>
      <c r="D699" s="1"/>
      <c r="E699" s="1"/>
      <c r="F699" s="1"/>
      <c r="G699" s="199"/>
      <c r="H699" s="1"/>
      <c r="I699" s="1"/>
      <c r="J699" s="1"/>
      <c r="K699" s="1"/>
      <c r="L699" s="1"/>
      <c r="M699" s="1"/>
      <c r="N699" s="10"/>
      <c r="O699" s="10"/>
      <c r="P699" s="10"/>
      <c r="Q699" s="10"/>
      <c r="R699" s="10"/>
      <c r="S699" s="10"/>
      <c r="T699" s="10"/>
      <c r="U699" s="1"/>
      <c r="V699" s="205"/>
      <c r="W699" s="205"/>
      <c r="X699" s="205"/>
      <c r="Y699" s="183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 ht="16.5" customHeight="1">
      <c r="A700" s="1"/>
      <c r="B700" s="1"/>
      <c r="C700" s="199"/>
      <c r="D700" s="1"/>
      <c r="E700" s="1"/>
      <c r="F700" s="1"/>
      <c r="G700" s="199"/>
      <c r="H700" s="1"/>
      <c r="I700" s="1"/>
      <c r="J700" s="1"/>
      <c r="K700" s="1"/>
      <c r="L700" s="1"/>
      <c r="M700" s="1"/>
      <c r="N700" s="10"/>
      <c r="O700" s="10"/>
      <c r="P700" s="10"/>
      <c r="Q700" s="10"/>
      <c r="R700" s="10"/>
      <c r="S700" s="10"/>
      <c r="T700" s="10"/>
      <c r="U700" s="1"/>
      <c r="V700" s="205"/>
      <c r="W700" s="205"/>
      <c r="X700" s="205"/>
      <c r="Y700" s="183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 ht="16.5" customHeight="1">
      <c r="A701" s="1"/>
      <c r="B701" s="1"/>
      <c r="C701" s="199"/>
      <c r="D701" s="1"/>
      <c r="E701" s="1"/>
      <c r="F701" s="1"/>
      <c r="G701" s="199"/>
      <c r="H701" s="1"/>
      <c r="I701" s="1"/>
      <c r="J701" s="1"/>
      <c r="K701" s="1"/>
      <c r="L701" s="1"/>
      <c r="M701" s="1"/>
      <c r="N701" s="10"/>
      <c r="O701" s="10"/>
      <c r="P701" s="10"/>
      <c r="Q701" s="10"/>
      <c r="R701" s="10"/>
      <c r="S701" s="10"/>
      <c r="T701" s="10"/>
      <c r="U701" s="1"/>
      <c r="V701" s="205"/>
      <c r="W701" s="205"/>
      <c r="X701" s="205"/>
      <c r="Y701" s="183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 ht="16.5" customHeight="1">
      <c r="A702" s="1"/>
      <c r="B702" s="1"/>
      <c r="C702" s="199"/>
      <c r="D702" s="1"/>
      <c r="E702" s="1"/>
      <c r="F702" s="1"/>
      <c r="G702" s="199"/>
      <c r="H702" s="1"/>
      <c r="I702" s="1"/>
      <c r="J702" s="1"/>
      <c r="K702" s="1"/>
      <c r="L702" s="1"/>
      <c r="M702" s="1"/>
      <c r="N702" s="10"/>
      <c r="O702" s="10"/>
      <c r="P702" s="10"/>
      <c r="Q702" s="10"/>
      <c r="R702" s="10"/>
      <c r="S702" s="10"/>
      <c r="T702" s="10"/>
      <c r="U702" s="1"/>
      <c r="V702" s="205"/>
      <c r="W702" s="205"/>
      <c r="X702" s="205"/>
      <c r="Y702" s="183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 ht="16.5" customHeight="1">
      <c r="A703" s="1"/>
      <c r="B703" s="1"/>
      <c r="C703" s="199"/>
      <c r="D703" s="1"/>
      <c r="E703" s="1"/>
      <c r="F703" s="1"/>
      <c r="G703" s="199"/>
      <c r="H703" s="1"/>
      <c r="I703" s="1"/>
      <c r="J703" s="1"/>
      <c r="K703" s="1"/>
      <c r="L703" s="1"/>
      <c r="M703" s="1"/>
      <c r="N703" s="10"/>
      <c r="O703" s="10"/>
      <c r="P703" s="10"/>
      <c r="Q703" s="10"/>
      <c r="R703" s="10"/>
      <c r="S703" s="10"/>
      <c r="T703" s="10"/>
      <c r="U703" s="1"/>
      <c r="V703" s="205"/>
      <c r="W703" s="205"/>
      <c r="X703" s="205"/>
      <c r="Y703" s="183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 ht="16.5" customHeight="1">
      <c r="A704" s="1"/>
      <c r="B704" s="1"/>
      <c r="C704" s="199"/>
      <c r="D704" s="1"/>
      <c r="E704" s="1"/>
      <c r="F704" s="1"/>
      <c r="G704" s="199"/>
      <c r="H704" s="1"/>
      <c r="I704" s="1"/>
      <c r="J704" s="1"/>
      <c r="K704" s="1"/>
      <c r="L704" s="1"/>
      <c r="M704" s="1"/>
      <c r="N704" s="10"/>
      <c r="O704" s="10"/>
      <c r="P704" s="10"/>
      <c r="Q704" s="10"/>
      <c r="R704" s="10"/>
      <c r="S704" s="10"/>
      <c r="T704" s="10"/>
      <c r="U704" s="1"/>
      <c r="V704" s="205"/>
      <c r="W704" s="205"/>
      <c r="X704" s="205"/>
      <c r="Y704" s="183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 ht="16.5" customHeight="1">
      <c r="A705" s="1"/>
      <c r="B705" s="1"/>
      <c r="C705" s="199"/>
      <c r="D705" s="1"/>
      <c r="E705" s="1"/>
      <c r="F705" s="1"/>
      <c r="G705" s="199"/>
      <c r="H705" s="1"/>
      <c r="I705" s="1"/>
      <c r="J705" s="1"/>
      <c r="K705" s="1"/>
      <c r="L705" s="1"/>
      <c r="M705" s="1"/>
      <c r="N705" s="10"/>
      <c r="O705" s="10"/>
      <c r="P705" s="10"/>
      <c r="Q705" s="10"/>
      <c r="R705" s="10"/>
      <c r="S705" s="10"/>
      <c r="T705" s="10"/>
      <c r="U705" s="1"/>
      <c r="V705" s="205"/>
      <c r="W705" s="205"/>
      <c r="X705" s="205"/>
      <c r="Y705" s="183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 ht="16.5" customHeight="1">
      <c r="A706" s="1"/>
      <c r="B706" s="1"/>
      <c r="C706" s="199"/>
      <c r="D706" s="1"/>
      <c r="E706" s="1"/>
      <c r="F706" s="1"/>
      <c r="G706" s="199"/>
      <c r="H706" s="1"/>
      <c r="I706" s="1"/>
      <c r="J706" s="1"/>
      <c r="K706" s="1"/>
      <c r="L706" s="1"/>
      <c r="M706" s="1"/>
      <c r="N706" s="10"/>
      <c r="O706" s="10"/>
      <c r="P706" s="10"/>
      <c r="Q706" s="10"/>
      <c r="R706" s="10"/>
      <c r="S706" s="10"/>
      <c r="T706" s="10"/>
      <c r="U706" s="1"/>
      <c r="V706" s="205"/>
      <c r="W706" s="205"/>
      <c r="X706" s="205"/>
      <c r="Y706" s="183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 ht="16.5" customHeight="1">
      <c r="A707" s="1"/>
      <c r="B707" s="1"/>
      <c r="C707" s="199"/>
      <c r="D707" s="1"/>
      <c r="E707" s="1"/>
      <c r="F707" s="1"/>
      <c r="G707" s="199"/>
      <c r="H707" s="1"/>
      <c r="I707" s="1"/>
      <c r="J707" s="1"/>
      <c r="K707" s="1"/>
      <c r="L707" s="1"/>
      <c r="M707" s="1"/>
      <c r="N707" s="10"/>
      <c r="O707" s="10"/>
      <c r="P707" s="10"/>
      <c r="Q707" s="10"/>
      <c r="R707" s="10"/>
      <c r="S707" s="10"/>
      <c r="T707" s="10"/>
      <c r="U707" s="1"/>
      <c r="V707" s="205"/>
      <c r="W707" s="205"/>
      <c r="X707" s="205"/>
      <c r="Y707" s="183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 ht="16.5" customHeight="1">
      <c r="A708" s="1"/>
      <c r="B708" s="1"/>
      <c r="C708" s="199"/>
      <c r="D708" s="1"/>
      <c r="E708" s="1"/>
      <c r="F708" s="1"/>
      <c r="G708" s="199"/>
      <c r="H708" s="1"/>
      <c r="I708" s="1"/>
      <c r="J708" s="1"/>
      <c r="K708" s="1"/>
      <c r="L708" s="1"/>
      <c r="M708" s="1"/>
      <c r="N708" s="10"/>
      <c r="O708" s="10"/>
      <c r="P708" s="10"/>
      <c r="Q708" s="10"/>
      <c r="R708" s="10"/>
      <c r="S708" s="10"/>
      <c r="T708" s="10"/>
      <c r="U708" s="1"/>
      <c r="V708" s="205"/>
      <c r="W708" s="205"/>
      <c r="X708" s="205"/>
      <c r="Y708" s="183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 ht="16.5" customHeight="1">
      <c r="A709" s="1"/>
      <c r="B709" s="1"/>
      <c r="C709" s="199"/>
      <c r="D709" s="1"/>
      <c r="E709" s="1"/>
      <c r="F709" s="1"/>
      <c r="G709" s="199"/>
      <c r="H709" s="1"/>
      <c r="I709" s="1"/>
      <c r="J709" s="1"/>
      <c r="K709" s="1"/>
      <c r="L709" s="1"/>
      <c r="M709" s="1"/>
      <c r="N709" s="10"/>
      <c r="O709" s="10"/>
      <c r="P709" s="10"/>
      <c r="Q709" s="10"/>
      <c r="R709" s="10"/>
      <c r="S709" s="10"/>
      <c r="T709" s="10"/>
      <c r="U709" s="1"/>
      <c r="V709" s="205"/>
      <c r="W709" s="205"/>
      <c r="X709" s="205"/>
      <c r="Y709" s="183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 ht="16.5" customHeight="1">
      <c r="A710" s="1"/>
      <c r="B710" s="1"/>
      <c r="C710" s="199"/>
      <c r="D710" s="1"/>
      <c r="E710" s="1"/>
      <c r="F710" s="1"/>
      <c r="G710" s="199"/>
      <c r="H710" s="1"/>
      <c r="I710" s="1"/>
      <c r="J710" s="1"/>
      <c r="K710" s="1"/>
      <c r="L710" s="1"/>
      <c r="M710" s="1"/>
      <c r="N710" s="10"/>
      <c r="O710" s="10"/>
      <c r="P710" s="10"/>
      <c r="Q710" s="10"/>
      <c r="R710" s="10"/>
      <c r="S710" s="10"/>
      <c r="T710" s="10"/>
      <c r="U710" s="1"/>
      <c r="V710" s="205"/>
      <c r="W710" s="205"/>
      <c r="X710" s="205"/>
      <c r="Y710" s="183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ht="16.5" customHeight="1">
      <c r="A711" s="1"/>
      <c r="B711" s="1"/>
      <c r="C711" s="199"/>
      <c r="D711" s="1"/>
      <c r="E711" s="1"/>
      <c r="F711" s="1"/>
      <c r="G711" s="199"/>
      <c r="H711" s="1"/>
      <c r="I711" s="1"/>
      <c r="J711" s="1"/>
      <c r="K711" s="1"/>
      <c r="L711" s="1"/>
      <c r="M711" s="1"/>
      <c r="N711" s="10"/>
      <c r="O711" s="10"/>
      <c r="P711" s="10"/>
      <c r="Q711" s="10"/>
      <c r="R711" s="10"/>
      <c r="S711" s="10"/>
      <c r="T711" s="10"/>
      <c r="U711" s="1"/>
      <c r="V711" s="205"/>
      <c r="W711" s="205"/>
      <c r="X711" s="205"/>
      <c r="Y711" s="183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 ht="16.5" customHeight="1">
      <c r="A712" s="1"/>
      <c r="B712" s="1"/>
      <c r="C712" s="199"/>
      <c r="D712" s="1"/>
      <c r="E712" s="1"/>
      <c r="F712" s="1"/>
      <c r="G712" s="199"/>
      <c r="H712" s="1"/>
      <c r="I712" s="1"/>
      <c r="J712" s="1"/>
      <c r="K712" s="1"/>
      <c r="L712" s="1"/>
      <c r="M712" s="1"/>
      <c r="N712" s="10"/>
      <c r="O712" s="10"/>
      <c r="P712" s="10"/>
      <c r="Q712" s="10"/>
      <c r="R712" s="10"/>
      <c r="S712" s="10"/>
      <c r="T712" s="10"/>
      <c r="U712" s="1"/>
      <c r="V712" s="205"/>
      <c r="W712" s="205"/>
      <c r="X712" s="205"/>
      <c r="Y712" s="183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 ht="16.5" customHeight="1">
      <c r="A713" s="1"/>
      <c r="B713" s="1"/>
      <c r="C713" s="199"/>
      <c r="D713" s="1"/>
      <c r="E713" s="1"/>
      <c r="F713" s="1"/>
      <c r="G713" s="199"/>
      <c r="H713" s="1"/>
      <c r="I713" s="1"/>
      <c r="J713" s="1"/>
      <c r="K713" s="1"/>
      <c r="L713" s="1"/>
      <c r="M713" s="1"/>
      <c r="N713" s="10"/>
      <c r="O713" s="10"/>
      <c r="P713" s="10"/>
      <c r="Q713" s="10"/>
      <c r="R713" s="10"/>
      <c r="S713" s="10"/>
      <c r="T713" s="10"/>
      <c r="U713" s="1"/>
      <c r="V713" s="205"/>
      <c r="W713" s="205"/>
      <c r="X713" s="205"/>
      <c r="Y713" s="183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 ht="16.5" customHeight="1">
      <c r="A714" s="1"/>
      <c r="B714" s="1"/>
      <c r="C714" s="199"/>
      <c r="D714" s="1"/>
      <c r="E714" s="1"/>
      <c r="F714" s="1"/>
      <c r="G714" s="199"/>
      <c r="H714" s="1"/>
      <c r="I714" s="1"/>
      <c r="J714" s="1"/>
      <c r="K714" s="1"/>
      <c r="L714" s="1"/>
      <c r="M714" s="1"/>
      <c r="N714" s="10"/>
      <c r="O714" s="10"/>
      <c r="P714" s="10"/>
      <c r="Q714" s="10"/>
      <c r="R714" s="10"/>
      <c r="S714" s="10"/>
      <c r="T714" s="10"/>
      <c r="U714" s="1"/>
      <c r="V714" s="205"/>
      <c r="W714" s="205"/>
      <c r="X714" s="205"/>
      <c r="Y714" s="183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 ht="16.5" customHeight="1">
      <c r="A715" s="1"/>
      <c r="B715" s="1"/>
      <c r="C715" s="199"/>
      <c r="D715" s="1"/>
      <c r="E715" s="1"/>
      <c r="F715" s="1"/>
      <c r="G715" s="199"/>
      <c r="H715" s="1"/>
      <c r="I715" s="1"/>
      <c r="J715" s="1"/>
      <c r="K715" s="1"/>
      <c r="L715" s="1"/>
      <c r="M715" s="1"/>
      <c r="N715" s="10"/>
      <c r="O715" s="10"/>
      <c r="P715" s="10"/>
      <c r="Q715" s="10"/>
      <c r="R715" s="10"/>
      <c r="S715" s="10"/>
      <c r="T715" s="10"/>
      <c r="U715" s="1"/>
      <c r="V715" s="205"/>
      <c r="W715" s="205"/>
      <c r="X715" s="205"/>
      <c r="Y715" s="183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 ht="16.5" customHeight="1">
      <c r="A716" s="1"/>
      <c r="B716" s="1"/>
      <c r="C716" s="199"/>
      <c r="D716" s="1"/>
      <c r="E716" s="1"/>
      <c r="F716" s="1"/>
      <c r="G716" s="199"/>
      <c r="H716" s="1"/>
      <c r="I716" s="1"/>
      <c r="J716" s="1"/>
      <c r="K716" s="1"/>
      <c r="L716" s="1"/>
      <c r="M716" s="1"/>
      <c r="N716" s="10"/>
      <c r="O716" s="10"/>
      <c r="P716" s="10"/>
      <c r="Q716" s="10"/>
      <c r="R716" s="10"/>
      <c r="S716" s="10"/>
      <c r="T716" s="10"/>
      <c r="U716" s="1"/>
      <c r="V716" s="205"/>
      <c r="W716" s="205"/>
      <c r="X716" s="205"/>
      <c r="Y716" s="183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 ht="16.5" customHeight="1">
      <c r="A717" s="1"/>
      <c r="B717" s="1"/>
      <c r="C717" s="199"/>
      <c r="D717" s="1"/>
      <c r="E717" s="1"/>
      <c r="F717" s="1"/>
      <c r="G717" s="199"/>
      <c r="H717" s="1"/>
      <c r="I717" s="1"/>
      <c r="J717" s="1"/>
      <c r="K717" s="1"/>
      <c r="L717" s="1"/>
      <c r="M717" s="1"/>
      <c r="N717" s="10"/>
      <c r="O717" s="10"/>
      <c r="P717" s="10"/>
      <c r="Q717" s="10"/>
      <c r="R717" s="10"/>
      <c r="S717" s="10"/>
      <c r="T717" s="10"/>
      <c r="U717" s="1"/>
      <c r="V717" s="205"/>
      <c r="W717" s="205"/>
      <c r="X717" s="205"/>
      <c r="Y717" s="183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 ht="16.5" customHeight="1">
      <c r="A718" s="1"/>
      <c r="B718" s="1"/>
      <c r="C718" s="199"/>
      <c r="D718" s="1"/>
      <c r="E718" s="1"/>
      <c r="F718" s="1"/>
      <c r="G718" s="199"/>
      <c r="H718" s="1"/>
      <c r="I718" s="1"/>
      <c r="J718" s="1"/>
      <c r="K718" s="1"/>
      <c r="L718" s="1"/>
      <c r="M718" s="1"/>
      <c r="N718" s="10"/>
      <c r="O718" s="10"/>
      <c r="P718" s="10"/>
      <c r="Q718" s="10"/>
      <c r="R718" s="10"/>
      <c r="S718" s="10"/>
      <c r="T718" s="10"/>
      <c r="U718" s="1"/>
      <c r="V718" s="205"/>
      <c r="W718" s="205"/>
      <c r="X718" s="205"/>
      <c r="Y718" s="183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 ht="16.5" customHeight="1">
      <c r="A719" s="1"/>
      <c r="B719" s="1"/>
      <c r="C719" s="199"/>
      <c r="D719" s="1"/>
      <c r="E719" s="1"/>
      <c r="F719" s="1"/>
      <c r="G719" s="199"/>
      <c r="H719" s="1"/>
      <c r="I719" s="1"/>
      <c r="J719" s="1"/>
      <c r="K719" s="1"/>
      <c r="L719" s="1"/>
      <c r="M719" s="1"/>
      <c r="N719" s="10"/>
      <c r="O719" s="10"/>
      <c r="P719" s="10"/>
      <c r="Q719" s="10"/>
      <c r="R719" s="10"/>
      <c r="S719" s="10"/>
      <c r="T719" s="10"/>
      <c r="U719" s="1"/>
      <c r="V719" s="205"/>
      <c r="W719" s="205"/>
      <c r="X719" s="205"/>
      <c r="Y719" s="183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 ht="16.5" customHeight="1">
      <c r="A720" s="1"/>
      <c r="B720" s="1"/>
      <c r="C720" s="199"/>
      <c r="D720" s="1"/>
      <c r="E720" s="1"/>
      <c r="F720" s="1"/>
      <c r="G720" s="199"/>
      <c r="H720" s="1"/>
      <c r="I720" s="1"/>
      <c r="J720" s="1"/>
      <c r="K720" s="1"/>
      <c r="L720" s="1"/>
      <c r="M720" s="1"/>
      <c r="N720" s="10"/>
      <c r="O720" s="10"/>
      <c r="P720" s="10"/>
      <c r="Q720" s="10"/>
      <c r="R720" s="10"/>
      <c r="S720" s="10"/>
      <c r="T720" s="10"/>
      <c r="U720" s="1"/>
      <c r="V720" s="205"/>
      <c r="W720" s="205"/>
      <c r="X720" s="205"/>
      <c r="Y720" s="183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 ht="16.5" customHeight="1">
      <c r="A721" s="1"/>
      <c r="B721" s="1"/>
      <c r="C721" s="199"/>
      <c r="D721" s="1"/>
      <c r="E721" s="1"/>
      <c r="F721" s="1"/>
      <c r="G721" s="199"/>
      <c r="H721" s="1"/>
      <c r="I721" s="1"/>
      <c r="J721" s="1"/>
      <c r="K721" s="1"/>
      <c r="L721" s="1"/>
      <c r="M721" s="1"/>
      <c r="N721" s="10"/>
      <c r="O721" s="10"/>
      <c r="P721" s="10"/>
      <c r="Q721" s="10"/>
      <c r="R721" s="10"/>
      <c r="S721" s="10"/>
      <c r="T721" s="10"/>
      <c r="U721" s="1"/>
      <c r="V721" s="205"/>
      <c r="W721" s="205"/>
      <c r="X721" s="205"/>
      <c r="Y721" s="183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 ht="16.5" customHeight="1">
      <c r="A722" s="1"/>
      <c r="B722" s="1"/>
      <c r="C722" s="199"/>
      <c r="D722" s="1"/>
      <c r="E722" s="1"/>
      <c r="F722" s="1"/>
      <c r="G722" s="199"/>
      <c r="H722" s="1"/>
      <c r="I722" s="1"/>
      <c r="J722" s="1"/>
      <c r="K722" s="1"/>
      <c r="L722" s="1"/>
      <c r="M722" s="1"/>
      <c r="N722" s="10"/>
      <c r="O722" s="10"/>
      <c r="P722" s="10"/>
      <c r="Q722" s="10"/>
      <c r="R722" s="10"/>
      <c r="S722" s="10"/>
      <c r="T722" s="10"/>
      <c r="U722" s="1"/>
      <c r="V722" s="205"/>
      <c r="W722" s="205"/>
      <c r="X722" s="205"/>
      <c r="Y722" s="183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 ht="16.5" customHeight="1">
      <c r="A723" s="1"/>
      <c r="B723" s="1"/>
      <c r="C723" s="199"/>
      <c r="D723" s="1"/>
      <c r="E723" s="1"/>
      <c r="F723" s="1"/>
      <c r="G723" s="199"/>
      <c r="H723" s="1"/>
      <c r="I723" s="1"/>
      <c r="J723" s="1"/>
      <c r="K723" s="1"/>
      <c r="L723" s="1"/>
      <c r="M723" s="1"/>
      <c r="N723" s="10"/>
      <c r="O723" s="10"/>
      <c r="P723" s="10"/>
      <c r="Q723" s="10"/>
      <c r="R723" s="10"/>
      <c r="S723" s="10"/>
      <c r="T723" s="10"/>
      <c r="U723" s="1"/>
      <c r="V723" s="205"/>
      <c r="W723" s="205"/>
      <c r="X723" s="205"/>
      <c r="Y723" s="183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 ht="16.5" customHeight="1">
      <c r="A724" s="1"/>
      <c r="B724" s="1"/>
      <c r="C724" s="199"/>
      <c r="D724" s="1"/>
      <c r="E724" s="1"/>
      <c r="F724" s="1"/>
      <c r="G724" s="199"/>
      <c r="H724" s="1"/>
      <c r="I724" s="1"/>
      <c r="J724" s="1"/>
      <c r="K724" s="1"/>
      <c r="L724" s="1"/>
      <c r="M724" s="1"/>
      <c r="N724" s="10"/>
      <c r="O724" s="10"/>
      <c r="P724" s="10"/>
      <c r="Q724" s="10"/>
      <c r="R724" s="10"/>
      <c r="S724" s="10"/>
      <c r="T724" s="10"/>
      <c r="U724" s="1"/>
      <c r="V724" s="205"/>
      <c r="W724" s="205"/>
      <c r="X724" s="205"/>
      <c r="Y724" s="183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 ht="16.5" customHeight="1">
      <c r="A725" s="1"/>
      <c r="B725" s="1"/>
      <c r="C725" s="199"/>
      <c r="D725" s="1"/>
      <c r="E725" s="1"/>
      <c r="F725" s="1"/>
      <c r="G725" s="199"/>
      <c r="H725" s="1"/>
      <c r="I725" s="1"/>
      <c r="J725" s="1"/>
      <c r="K725" s="1"/>
      <c r="L725" s="1"/>
      <c r="M725" s="1"/>
      <c r="N725" s="10"/>
      <c r="O725" s="10"/>
      <c r="P725" s="10"/>
      <c r="Q725" s="10"/>
      <c r="R725" s="10"/>
      <c r="S725" s="10"/>
      <c r="T725" s="10"/>
      <c r="U725" s="1"/>
      <c r="V725" s="205"/>
      <c r="W725" s="205"/>
      <c r="X725" s="205"/>
      <c r="Y725" s="183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 ht="16.5" customHeight="1">
      <c r="A726" s="1"/>
      <c r="B726" s="1"/>
      <c r="C726" s="199"/>
      <c r="D726" s="1"/>
      <c r="E726" s="1"/>
      <c r="F726" s="1"/>
      <c r="G726" s="199"/>
      <c r="H726" s="1"/>
      <c r="I726" s="1"/>
      <c r="J726" s="1"/>
      <c r="K726" s="1"/>
      <c r="L726" s="1"/>
      <c r="M726" s="1"/>
      <c r="N726" s="10"/>
      <c r="O726" s="10"/>
      <c r="P726" s="10"/>
      <c r="Q726" s="10"/>
      <c r="R726" s="10"/>
      <c r="S726" s="10"/>
      <c r="T726" s="10"/>
      <c r="U726" s="1"/>
      <c r="V726" s="205"/>
      <c r="W726" s="205"/>
      <c r="X726" s="205"/>
      <c r="Y726" s="183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 ht="16.5" customHeight="1">
      <c r="A727" s="1"/>
      <c r="B727" s="1"/>
      <c r="C727" s="199"/>
      <c r="D727" s="1"/>
      <c r="E727" s="1"/>
      <c r="F727" s="1"/>
      <c r="G727" s="199"/>
      <c r="H727" s="1"/>
      <c r="I727" s="1"/>
      <c r="J727" s="1"/>
      <c r="K727" s="1"/>
      <c r="L727" s="1"/>
      <c r="M727" s="1"/>
      <c r="N727" s="10"/>
      <c r="O727" s="10"/>
      <c r="P727" s="10"/>
      <c r="Q727" s="10"/>
      <c r="R727" s="10"/>
      <c r="S727" s="10"/>
      <c r="T727" s="10"/>
      <c r="U727" s="1"/>
      <c r="V727" s="205"/>
      <c r="W727" s="205"/>
      <c r="X727" s="205"/>
      <c r="Y727" s="183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 ht="16.5" customHeight="1">
      <c r="A728" s="1"/>
      <c r="B728" s="1"/>
      <c r="C728" s="199"/>
      <c r="D728" s="1"/>
      <c r="E728" s="1"/>
      <c r="F728" s="1"/>
      <c r="G728" s="199"/>
      <c r="H728" s="1"/>
      <c r="I728" s="1"/>
      <c r="J728" s="1"/>
      <c r="K728" s="1"/>
      <c r="L728" s="1"/>
      <c r="M728" s="1"/>
      <c r="N728" s="10"/>
      <c r="O728" s="10"/>
      <c r="P728" s="10"/>
      <c r="Q728" s="10"/>
      <c r="R728" s="10"/>
      <c r="S728" s="10"/>
      <c r="T728" s="10"/>
      <c r="U728" s="1"/>
      <c r="V728" s="205"/>
      <c r="W728" s="205"/>
      <c r="X728" s="205"/>
      <c r="Y728" s="183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 ht="16.5" customHeight="1">
      <c r="A729" s="1"/>
      <c r="B729" s="1"/>
      <c r="C729" s="199"/>
      <c r="D729" s="1"/>
      <c r="E729" s="1"/>
      <c r="F729" s="1"/>
      <c r="G729" s="199"/>
      <c r="H729" s="1"/>
      <c r="I729" s="1"/>
      <c r="J729" s="1"/>
      <c r="K729" s="1"/>
      <c r="L729" s="1"/>
      <c r="M729" s="1"/>
      <c r="N729" s="10"/>
      <c r="O729" s="10"/>
      <c r="P729" s="10"/>
      <c r="Q729" s="10"/>
      <c r="R729" s="10"/>
      <c r="S729" s="10"/>
      <c r="T729" s="10"/>
      <c r="U729" s="1"/>
      <c r="V729" s="205"/>
      <c r="W729" s="205"/>
      <c r="X729" s="205"/>
      <c r="Y729" s="183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 ht="16.5" customHeight="1">
      <c r="A730" s="1"/>
      <c r="B730" s="1"/>
      <c r="C730" s="199"/>
      <c r="D730" s="1"/>
      <c r="E730" s="1"/>
      <c r="F730" s="1"/>
      <c r="G730" s="199"/>
      <c r="H730" s="1"/>
      <c r="I730" s="1"/>
      <c r="J730" s="1"/>
      <c r="K730" s="1"/>
      <c r="L730" s="1"/>
      <c r="M730" s="1"/>
      <c r="N730" s="10"/>
      <c r="O730" s="10"/>
      <c r="P730" s="10"/>
      <c r="Q730" s="10"/>
      <c r="R730" s="10"/>
      <c r="S730" s="10"/>
      <c r="T730" s="10"/>
      <c r="U730" s="1"/>
      <c r="V730" s="205"/>
      <c r="W730" s="205"/>
      <c r="X730" s="205"/>
      <c r="Y730" s="183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 ht="16.5" customHeight="1">
      <c r="A731" s="1"/>
      <c r="B731" s="1"/>
      <c r="C731" s="199"/>
      <c r="D731" s="1"/>
      <c r="E731" s="1"/>
      <c r="F731" s="1"/>
      <c r="G731" s="199"/>
      <c r="H731" s="1"/>
      <c r="I731" s="1"/>
      <c r="J731" s="1"/>
      <c r="K731" s="1"/>
      <c r="L731" s="1"/>
      <c r="M731" s="1"/>
      <c r="N731" s="10"/>
      <c r="O731" s="10"/>
      <c r="P731" s="10"/>
      <c r="Q731" s="10"/>
      <c r="R731" s="10"/>
      <c r="S731" s="10"/>
      <c r="T731" s="10"/>
      <c r="U731" s="1"/>
      <c r="V731" s="205"/>
      <c r="W731" s="205"/>
      <c r="X731" s="205"/>
      <c r="Y731" s="183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 ht="16.5" customHeight="1">
      <c r="A732" s="1"/>
      <c r="B732" s="1"/>
      <c r="C732" s="199"/>
      <c r="D732" s="1"/>
      <c r="E732" s="1"/>
      <c r="F732" s="1"/>
      <c r="G732" s="199"/>
      <c r="H732" s="1"/>
      <c r="I732" s="1"/>
      <c r="J732" s="1"/>
      <c r="K732" s="1"/>
      <c r="L732" s="1"/>
      <c r="M732" s="1"/>
      <c r="N732" s="10"/>
      <c r="O732" s="10"/>
      <c r="P732" s="10"/>
      <c r="Q732" s="10"/>
      <c r="R732" s="10"/>
      <c r="S732" s="10"/>
      <c r="T732" s="10"/>
      <c r="U732" s="1"/>
      <c r="V732" s="205"/>
      <c r="W732" s="205"/>
      <c r="X732" s="205"/>
      <c r="Y732" s="183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 ht="16.5" customHeight="1">
      <c r="A733" s="1"/>
      <c r="B733" s="1"/>
      <c r="C733" s="199"/>
      <c r="D733" s="1"/>
      <c r="E733" s="1"/>
      <c r="F733" s="1"/>
      <c r="G733" s="199"/>
      <c r="H733" s="1"/>
      <c r="I733" s="1"/>
      <c r="J733" s="1"/>
      <c r="K733" s="1"/>
      <c r="L733" s="1"/>
      <c r="M733" s="1"/>
      <c r="N733" s="10"/>
      <c r="O733" s="10"/>
      <c r="P733" s="10"/>
      <c r="Q733" s="10"/>
      <c r="R733" s="10"/>
      <c r="S733" s="10"/>
      <c r="T733" s="10"/>
      <c r="U733" s="1"/>
      <c r="V733" s="205"/>
      <c r="W733" s="205"/>
      <c r="X733" s="205"/>
      <c r="Y733" s="183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 ht="16.5" customHeight="1">
      <c r="A734" s="1"/>
      <c r="B734" s="1"/>
      <c r="C734" s="199"/>
      <c r="D734" s="1"/>
      <c r="E734" s="1"/>
      <c r="F734" s="1"/>
      <c r="G734" s="199"/>
      <c r="H734" s="1"/>
      <c r="I734" s="1"/>
      <c r="J734" s="1"/>
      <c r="K734" s="1"/>
      <c r="L734" s="1"/>
      <c r="M734" s="1"/>
      <c r="N734" s="10"/>
      <c r="O734" s="10"/>
      <c r="P734" s="10"/>
      <c r="Q734" s="10"/>
      <c r="R734" s="10"/>
      <c r="S734" s="10"/>
      <c r="T734" s="10"/>
      <c r="U734" s="1"/>
      <c r="V734" s="205"/>
      <c r="W734" s="205"/>
      <c r="X734" s="205"/>
      <c r="Y734" s="183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 ht="16.5" customHeight="1">
      <c r="A735" s="1"/>
      <c r="B735" s="1"/>
      <c r="C735" s="199"/>
      <c r="D735" s="1"/>
      <c r="E735" s="1"/>
      <c r="F735" s="1"/>
      <c r="G735" s="199"/>
      <c r="H735" s="1"/>
      <c r="I735" s="1"/>
      <c r="J735" s="1"/>
      <c r="K735" s="1"/>
      <c r="L735" s="1"/>
      <c r="M735" s="1"/>
      <c r="N735" s="10"/>
      <c r="O735" s="10"/>
      <c r="P735" s="10"/>
      <c r="Q735" s="10"/>
      <c r="R735" s="10"/>
      <c r="S735" s="10"/>
      <c r="T735" s="10"/>
      <c r="U735" s="1"/>
      <c r="V735" s="205"/>
      <c r="W735" s="205"/>
      <c r="X735" s="205"/>
      <c r="Y735" s="183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 ht="16.5" customHeight="1">
      <c r="A736" s="1"/>
      <c r="B736" s="1"/>
      <c r="C736" s="199"/>
      <c r="D736" s="1"/>
      <c r="E736" s="1"/>
      <c r="F736" s="1"/>
      <c r="G736" s="199"/>
      <c r="H736" s="1"/>
      <c r="I736" s="1"/>
      <c r="J736" s="1"/>
      <c r="K736" s="1"/>
      <c r="L736" s="1"/>
      <c r="M736" s="1"/>
      <c r="N736" s="10"/>
      <c r="O736" s="10"/>
      <c r="P736" s="10"/>
      <c r="Q736" s="10"/>
      <c r="R736" s="10"/>
      <c r="S736" s="10"/>
      <c r="T736" s="10"/>
      <c r="U736" s="1"/>
      <c r="V736" s="205"/>
      <c r="W736" s="205"/>
      <c r="X736" s="205"/>
      <c r="Y736" s="183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 ht="16.5" customHeight="1">
      <c r="A737" s="1"/>
      <c r="B737" s="1"/>
      <c r="C737" s="199"/>
      <c r="D737" s="1"/>
      <c r="E737" s="1"/>
      <c r="F737" s="1"/>
      <c r="G737" s="199"/>
      <c r="H737" s="1"/>
      <c r="I737" s="1"/>
      <c r="J737" s="1"/>
      <c r="K737" s="1"/>
      <c r="L737" s="1"/>
      <c r="M737" s="1"/>
      <c r="N737" s="10"/>
      <c r="O737" s="10"/>
      <c r="P737" s="10"/>
      <c r="Q737" s="10"/>
      <c r="R737" s="10"/>
      <c r="S737" s="10"/>
      <c r="T737" s="10"/>
      <c r="U737" s="1"/>
      <c r="V737" s="205"/>
      <c r="W737" s="205"/>
      <c r="X737" s="205"/>
      <c r="Y737" s="183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 ht="16.5" customHeight="1">
      <c r="A738" s="1"/>
      <c r="B738" s="1"/>
      <c r="C738" s="199"/>
      <c r="D738" s="1"/>
      <c r="E738" s="1"/>
      <c r="F738" s="1"/>
      <c r="G738" s="199"/>
      <c r="H738" s="1"/>
      <c r="I738" s="1"/>
      <c r="J738" s="1"/>
      <c r="K738" s="1"/>
      <c r="L738" s="1"/>
      <c r="M738" s="1"/>
      <c r="N738" s="10"/>
      <c r="O738" s="10"/>
      <c r="P738" s="10"/>
      <c r="Q738" s="10"/>
      <c r="R738" s="10"/>
      <c r="S738" s="10"/>
      <c r="T738" s="10"/>
      <c r="U738" s="1"/>
      <c r="V738" s="205"/>
      <c r="W738" s="205"/>
      <c r="X738" s="205"/>
      <c r="Y738" s="183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 ht="16.5" customHeight="1">
      <c r="A739" s="1"/>
      <c r="B739" s="1"/>
      <c r="C739" s="199"/>
      <c r="D739" s="1"/>
      <c r="E739" s="1"/>
      <c r="F739" s="1"/>
      <c r="G739" s="199"/>
      <c r="H739" s="1"/>
      <c r="I739" s="1"/>
      <c r="J739" s="1"/>
      <c r="K739" s="1"/>
      <c r="L739" s="1"/>
      <c r="M739" s="1"/>
      <c r="N739" s="10"/>
      <c r="O739" s="10"/>
      <c r="P739" s="10"/>
      <c r="Q739" s="10"/>
      <c r="R739" s="10"/>
      <c r="S739" s="10"/>
      <c r="T739" s="10"/>
      <c r="U739" s="1"/>
      <c r="V739" s="205"/>
      <c r="W739" s="205"/>
      <c r="X739" s="205"/>
      <c r="Y739" s="183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 ht="16.5" customHeight="1">
      <c r="A740" s="1"/>
      <c r="B740" s="1"/>
      <c r="C740" s="199"/>
      <c r="D740" s="1"/>
      <c r="E740" s="1"/>
      <c r="F740" s="1"/>
      <c r="G740" s="199"/>
      <c r="H740" s="1"/>
      <c r="I740" s="1"/>
      <c r="J740" s="1"/>
      <c r="K740" s="1"/>
      <c r="L740" s="1"/>
      <c r="M740" s="1"/>
      <c r="N740" s="10"/>
      <c r="O740" s="10"/>
      <c r="P740" s="10"/>
      <c r="Q740" s="10"/>
      <c r="R740" s="10"/>
      <c r="S740" s="10"/>
      <c r="T740" s="10"/>
      <c r="U740" s="1"/>
      <c r="V740" s="205"/>
      <c r="W740" s="205"/>
      <c r="X740" s="205"/>
      <c r="Y740" s="183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 ht="16.5" customHeight="1">
      <c r="A741" s="1"/>
      <c r="B741" s="1"/>
      <c r="C741" s="199"/>
      <c r="D741" s="1"/>
      <c r="E741" s="1"/>
      <c r="F741" s="1"/>
      <c r="G741" s="199"/>
      <c r="H741" s="1"/>
      <c r="I741" s="1"/>
      <c r="J741" s="1"/>
      <c r="K741" s="1"/>
      <c r="L741" s="1"/>
      <c r="M741" s="1"/>
      <c r="N741" s="10"/>
      <c r="O741" s="10"/>
      <c r="P741" s="10"/>
      <c r="Q741" s="10"/>
      <c r="R741" s="10"/>
      <c r="S741" s="10"/>
      <c r="T741" s="10"/>
      <c r="U741" s="1"/>
      <c r="V741" s="205"/>
      <c r="W741" s="205"/>
      <c r="X741" s="205"/>
      <c r="Y741" s="183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 ht="16.5" customHeight="1">
      <c r="A742" s="1"/>
      <c r="B742" s="1"/>
      <c r="C742" s="199"/>
      <c r="D742" s="1"/>
      <c r="E742" s="1"/>
      <c r="F742" s="1"/>
      <c r="G742" s="199"/>
      <c r="H742" s="1"/>
      <c r="I742" s="1"/>
      <c r="J742" s="1"/>
      <c r="K742" s="1"/>
      <c r="L742" s="1"/>
      <c r="M742" s="1"/>
      <c r="N742" s="10"/>
      <c r="O742" s="10"/>
      <c r="P742" s="10"/>
      <c r="Q742" s="10"/>
      <c r="R742" s="10"/>
      <c r="S742" s="10"/>
      <c r="T742" s="10"/>
      <c r="U742" s="1"/>
      <c r="V742" s="205"/>
      <c r="W742" s="205"/>
      <c r="X742" s="205"/>
      <c r="Y742" s="183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 ht="16.5" customHeight="1">
      <c r="A743" s="1"/>
      <c r="B743" s="1"/>
      <c r="C743" s="199"/>
      <c r="D743" s="1"/>
      <c r="E743" s="1"/>
      <c r="F743" s="1"/>
      <c r="G743" s="199"/>
      <c r="H743" s="1"/>
      <c r="I743" s="1"/>
      <c r="J743" s="1"/>
      <c r="K743" s="1"/>
      <c r="L743" s="1"/>
      <c r="M743" s="1"/>
      <c r="N743" s="10"/>
      <c r="O743" s="10"/>
      <c r="P743" s="10"/>
      <c r="Q743" s="10"/>
      <c r="R743" s="10"/>
      <c r="S743" s="10"/>
      <c r="T743" s="10"/>
      <c r="U743" s="1"/>
      <c r="V743" s="205"/>
      <c r="W743" s="205"/>
      <c r="X743" s="205"/>
      <c r="Y743" s="183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 ht="16.5" customHeight="1">
      <c r="A744" s="1"/>
      <c r="B744" s="1"/>
      <c r="C744" s="199"/>
      <c r="D744" s="1"/>
      <c r="E744" s="1"/>
      <c r="F744" s="1"/>
      <c r="G744" s="199"/>
      <c r="H744" s="1"/>
      <c r="I744" s="1"/>
      <c r="J744" s="1"/>
      <c r="K744" s="1"/>
      <c r="L744" s="1"/>
      <c r="M744" s="1"/>
      <c r="N744" s="10"/>
      <c r="O744" s="10"/>
      <c r="P744" s="10"/>
      <c r="Q744" s="10"/>
      <c r="R744" s="10"/>
      <c r="S744" s="10"/>
      <c r="T744" s="10"/>
      <c r="U744" s="1"/>
      <c r="V744" s="205"/>
      <c r="W744" s="205"/>
      <c r="X744" s="205"/>
      <c r="Y744" s="183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 ht="16.5" customHeight="1">
      <c r="A745" s="1"/>
      <c r="B745" s="1"/>
      <c r="C745" s="199"/>
      <c r="D745" s="1"/>
      <c r="E745" s="1"/>
      <c r="F745" s="1"/>
      <c r="G745" s="199"/>
      <c r="H745" s="1"/>
      <c r="I745" s="1"/>
      <c r="J745" s="1"/>
      <c r="K745" s="1"/>
      <c r="L745" s="1"/>
      <c r="M745" s="1"/>
      <c r="N745" s="10"/>
      <c r="O745" s="10"/>
      <c r="P745" s="10"/>
      <c r="Q745" s="10"/>
      <c r="R745" s="10"/>
      <c r="S745" s="10"/>
      <c r="T745" s="10"/>
      <c r="U745" s="1"/>
      <c r="V745" s="205"/>
      <c r="W745" s="205"/>
      <c r="X745" s="205"/>
      <c r="Y745" s="183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 ht="16.5" customHeight="1">
      <c r="A746" s="1"/>
      <c r="B746" s="1"/>
      <c r="C746" s="199"/>
      <c r="D746" s="1"/>
      <c r="E746" s="1"/>
      <c r="F746" s="1"/>
      <c r="G746" s="199"/>
      <c r="H746" s="1"/>
      <c r="I746" s="1"/>
      <c r="J746" s="1"/>
      <c r="K746" s="1"/>
      <c r="L746" s="1"/>
      <c r="M746" s="1"/>
      <c r="N746" s="10"/>
      <c r="O746" s="10"/>
      <c r="P746" s="10"/>
      <c r="Q746" s="10"/>
      <c r="R746" s="10"/>
      <c r="S746" s="10"/>
      <c r="T746" s="10"/>
      <c r="U746" s="1"/>
      <c r="V746" s="205"/>
      <c r="W746" s="205"/>
      <c r="X746" s="205"/>
      <c r="Y746" s="183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 ht="16.5" customHeight="1">
      <c r="A747" s="1"/>
      <c r="B747" s="1"/>
      <c r="C747" s="199"/>
      <c r="D747" s="1"/>
      <c r="E747" s="1"/>
      <c r="F747" s="1"/>
      <c r="G747" s="199"/>
      <c r="H747" s="1"/>
      <c r="I747" s="1"/>
      <c r="J747" s="1"/>
      <c r="K747" s="1"/>
      <c r="L747" s="1"/>
      <c r="M747" s="1"/>
      <c r="N747" s="10"/>
      <c r="O747" s="10"/>
      <c r="P747" s="10"/>
      <c r="Q747" s="10"/>
      <c r="R747" s="10"/>
      <c r="S747" s="10"/>
      <c r="T747" s="10"/>
      <c r="U747" s="1"/>
      <c r="V747" s="205"/>
      <c r="W747" s="205"/>
      <c r="X747" s="205"/>
      <c r="Y747" s="183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 ht="16.5" customHeight="1">
      <c r="A748" s="1"/>
      <c r="B748" s="1"/>
      <c r="C748" s="199"/>
      <c r="D748" s="1"/>
      <c r="E748" s="1"/>
      <c r="F748" s="1"/>
      <c r="G748" s="199"/>
      <c r="H748" s="1"/>
      <c r="I748" s="1"/>
      <c r="J748" s="1"/>
      <c r="K748" s="1"/>
      <c r="L748" s="1"/>
      <c r="M748" s="1"/>
      <c r="N748" s="10"/>
      <c r="O748" s="10"/>
      <c r="P748" s="10"/>
      <c r="Q748" s="10"/>
      <c r="R748" s="10"/>
      <c r="S748" s="10"/>
      <c r="T748" s="10"/>
      <c r="U748" s="1"/>
      <c r="V748" s="205"/>
      <c r="W748" s="205"/>
      <c r="X748" s="205"/>
      <c r="Y748" s="183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 ht="16.5" customHeight="1">
      <c r="A749" s="1"/>
      <c r="B749" s="1"/>
      <c r="C749" s="199"/>
      <c r="D749" s="1"/>
      <c r="E749" s="1"/>
      <c r="F749" s="1"/>
      <c r="G749" s="199"/>
      <c r="H749" s="1"/>
      <c r="I749" s="1"/>
      <c r="J749" s="1"/>
      <c r="K749" s="1"/>
      <c r="L749" s="1"/>
      <c r="M749" s="1"/>
      <c r="N749" s="10"/>
      <c r="O749" s="10"/>
      <c r="P749" s="10"/>
      <c r="Q749" s="10"/>
      <c r="R749" s="10"/>
      <c r="S749" s="10"/>
      <c r="T749" s="10"/>
      <c r="U749" s="1"/>
      <c r="V749" s="205"/>
      <c r="W749" s="205"/>
      <c r="X749" s="205"/>
      <c r="Y749" s="183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 ht="16.5" customHeight="1">
      <c r="A750" s="1"/>
      <c r="B750" s="1"/>
      <c r="C750" s="199"/>
      <c r="D750" s="1"/>
      <c r="E750" s="1"/>
      <c r="F750" s="1"/>
      <c r="G750" s="199"/>
      <c r="H750" s="1"/>
      <c r="I750" s="1"/>
      <c r="J750" s="1"/>
      <c r="K750" s="1"/>
      <c r="L750" s="1"/>
      <c r="M750" s="1"/>
      <c r="N750" s="10"/>
      <c r="O750" s="10"/>
      <c r="P750" s="10"/>
      <c r="Q750" s="10"/>
      <c r="R750" s="10"/>
      <c r="S750" s="10"/>
      <c r="T750" s="10"/>
      <c r="U750" s="1"/>
      <c r="V750" s="205"/>
      <c r="W750" s="205"/>
      <c r="X750" s="205"/>
      <c r="Y750" s="183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 ht="16.5" customHeight="1">
      <c r="A751" s="1"/>
      <c r="B751" s="1"/>
      <c r="C751" s="199"/>
      <c r="D751" s="1"/>
      <c r="E751" s="1"/>
      <c r="F751" s="1"/>
      <c r="G751" s="199"/>
      <c r="H751" s="1"/>
      <c r="I751" s="1"/>
      <c r="J751" s="1"/>
      <c r="K751" s="1"/>
      <c r="L751" s="1"/>
      <c r="M751" s="1"/>
      <c r="N751" s="10"/>
      <c r="O751" s="10"/>
      <c r="P751" s="10"/>
      <c r="Q751" s="10"/>
      <c r="R751" s="10"/>
      <c r="S751" s="10"/>
      <c r="T751" s="10"/>
      <c r="U751" s="1"/>
      <c r="V751" s="205"/>
      <c r="W751" s="205"/>
      <c r="X751" s="205"/>
      <c r="Y751" s="183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 ht="16.5" customHeight="1">
      <c r="A752" s="1"/>
      <c r="B752" s="1"/>
      <c r="C752" s="199"/>
      <c r="D752" s="1"/>
      <c r="E752" s="1"/>
      <c r="F752" s="1"/>
      <c r="G752" s="199"/>
      <c r="H752" s="1"/>
      <c r="I752" s="1"/>
      <c r="J752" s="1"/>
      <c r="K752" s="1"/>
      <c r="L752" s="1"/>
      <c r="M752" s="1"/>
      <c r="N752" s="10"/>
      <c r="O752" s="10"/>
      <c r="P752" s="10"/>
      <c r="Q752" s="10"/>
      <c r="R752" s="10"/>
      <c r="S752" s="10"/>
      <c r="T752" s="10"/>
      <c r="U752" s="1"/>
      <c r="V752" s="205"/>
      <c r="W752" s="205"/>
      <c r="X752" s="205"/>
      <c r="Y752" s="183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 ht="16.5" customHeight="1">
      <c r="A753" s="1"/>
      <c r="B753" s="1"/>
      <c r="C753" s="199"/>
      <c r="D753" s="1"/>
      <c r="E753" s="1"/>
      <c r="F753" s="1"/>
      <c r="G753" s="199"/>
      <c r="H753" s="1"/>
      <c r="I753" s="1"/>
      <c r="J753" s="1"/>
      <c r="K753" s="1"/>
      <c r="L753" s="1"/>
      <c r="M753" s="1"/>
      <c r="N753" s="10"/>
      <c r="O753" s="10"/>
      <c r="P753" s="10"/>
      <c r="Q753" s="10"/>
      <c r="R753" s="10"/>
      <c r="S753" s="10"/>
      <c r="T753" s="10"/>
      <c r="U753" s="1"/>
      <c r="V753" s="205"/>
      <c r="W753" s="205"/>
      <c r="X753" s="205"/>
      <c r="Y753" s="183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 ht="16.5" customHeight="1">
      <c r="A754" s="1"/>
      <c r="B754" s="1"/>
      <c r="C754" s="199"/>
      <c r="D754" s="1"/>
      <c r="E754" s="1"/>
      <c r="F754" s="1"/>
      <c r="G754" s="199"/>
      <c r="H754" s="1"/>
      <c r="I754" s="1"/>
      <c r="J754" s="1"/>
      <c r="K754" s="1"/>
      <c r="L754" s="1"/>
      <c r="M754" s="1"/>
      <c r="N754" s="10"/>
      <c r="O754" s="10"/>
      <c r="P754" s="10"/>
      <c r="Q754" s="10"/>
      <c r="R754" s="10"/>
      <c r="S754" s="10"/>
      <c r="T754" s="10"/>
      <c r="U754" s="1"/>
      <c r="V754" s="205"/>
      <c r="W754" s="205"/>
      <c r="X754" s="205"/>
      <c r="Y754" s="183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 ht="16.5" customHeight="1">
      <c r="A755" s="1"/>
      <c r="B755" s="1"/>
      <c r="C755" s="199"/>
      <c r="D755" s="1"/>
      <c r="E755" s="1"/>
      <c r="F755" s="1"/>
      <c r="G755" s="199"/>
      <c r="H755" s="1"/>
      <c r="I755" s="1"/>
      <c r="J755" s="1"/>
      <c r="K755" s="1"/>
      <c r="L755" s="1"/>
      <c r="M755" s="1"/>
      <c r="N755" s="10"/>
      <c r="O755" s="10"/>
      <c r="P755" s="10"/>
      <c r="Q755" s="10"/>
      <c r="R755" s="10"/>
      <c r="S755" s="10"/>
      <c r="T755" s="10"/>
      <c r="U755" s="1"/>
      <c r="V755" s="205"/>
      <c r="W755" s="205"/>
      <c r="X755" s="205"/>
      <c r="Y755" s="183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 ht="16.5" customHeight="1">
      <c r="A756" s="1"/>
      <c r="B756" s="1"/>
      <c r="C756" s="199"/>
      <c r="D756" s="1"/>
      <c r="E756" s="1"/>
      <c r="F756" s="1"/>
      <c r="G756" s="199"/>
      <c r="H756" s="1"/>
      <c r="I756" s="1"/>
      <c r="J756" s="1"/>
      <c r="K756" s="1"/>
      <c r="L756" s="1"/>
      <c r="M756" s="1"/>
      <c r="N756" s="10"/>
      <c r="O756" s="10"/>
      <c r="P756" s="10"/>
      <c r="Q756" s="10"/>
      <c r="R756" s="10"/>
      <c r="S756" s="10"/>
      <c r="T756" s="10"/>
      <c r="U756" s="1"/>
      <c r="V756" s="205"/>
      <c r="W756" s="205"/>
      <c r="X756" s="205"/>
      <c r="Y756" s="183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 ht="16.5" customHeight="1">
      <c r="A757" s="1"/>
      <c r="B757" s="1"/>
      <c r="C757" s="199"/>
      <c r="D757" s="1"/>
      <c r="E757" s="1"/>
      <c r="F757" s="1"/>
      <c r="G757" s="199"/>
      <c r="H757" s="1"/>
      <c r="I757" s="1"/>
      <c r="J757" s="1"/>
      <c r="K757" s="1"/>
      <c r="L757" s="1"/>
      <c r="M757" s="1"/>
      <c r="N757" s="10"/>
      <c r="O757" s="10"/>
      <c r="P757" s="10"/>
      <c r="Q757" s="10"/>
      <c r="R757" s="10"/>
      <c r="S757" s="10"/>
      <c r="T757" s="10"/>
      <c r="U757" s="1"/>
      <c r="V757" s="205"/>
      <c r="W757" s="205"/>
      <c r="X757" s="205"/>
      <c r="Y757" s="183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 ht="16.5" customHeight="1">
      <c r="A758" s="1"/>
      <c r="B758" s="1"/>
      <c r="C758" s="199"/>
      <c r="D758" s="1"/>
      <c r="E758" s="1"/>
      <c r="F758" s="1"/>
      <c r="G758" s="199"/>
      <c r="H758" s="1"/>
      <c r="I758" s="1"/>
      <c r="J758" s="1"/>
      <c r="K758" s="1"/>
      <c r="L758" s="1"/>
      <c r="M758" s="1"/>
      <c r="N758" s="10"/>
      <c r="O758" s="10"/>
      <c r="P758" s="10"/>
      <c r="Q758" s="10"/>
      <c r="R758" s="10"/>
      <c r="S758" s="10"/>
      <c r="T758" s="10"/>
      <c r="U758" s="1"/>
      <c r="V758" s="205"/>
      <c r="W758" s="205"/>
      <c r="X758" s="205"/>
      <c r="Y758" s="183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 ht="16.5" customHeight="1">
      <c r="A759" s="1"/>
      <c r="B759" s="1"/>
      <c r="C759" s="199"/>
      <c r="D759" s="1"/>
      <c r="E759" s="1"/>
      <c r="F759" s="1"/>
      <c r="G759" s="199"/>
      <c r="H759" s="1"/>
      <c r="I759" s="1"/>
      <c r="J759" s="1"/>
      <c r="K759" s="1"/>
      <c r="L759" s="1"/>
      <c r="M759" s="1"/>
      <c r="N759" s="10"/>
      <c r="O759" s="10"/>
      <c r="P759" s="10"/>
      <c r="Q759" s="10"/>
      <c r="R759" s="10"/>
      <c r="S759" s="10"/>
      <c r="T759" s="10"/>
      <c r="U759" s="1"/>
      <c r="V759" s="205"/>
      <c r="W759" s="205"/>
      <c r="X759" s="205"/>
      <c r="Y759" s="183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 ht="16.5" customHeight="1">
      <c r="A760" s="1"/>
      <c r="B760" s="1"/>
      <c r="C760" s="199"/>
      <c r="D760" s="1"/>
      <c r="E760" s="1"/>
      <c r="F760" s="1"/>
      <c r="G760" s="199"/>
      <c r="H760" s="1"/>
      <c r="I760" s="1"/>
      <c r="J760" s="1"/>
      <c r="K760" s="1"/>
      <c r="L760" s="1"/>
      <c r="M760" s="1"/>
      <c r="N760" s="10"/>
      <c r="O760" s="10"/>
      <c r="P760" s="10"/>
      <c r="Q760" s="10"/>
      <c r="R760" s="10"/>
      <c r="S760" s="10"/>
      <c r="T760" s="10"/>
      <c r="U760" s="1"/>
      <c r="V760" s="205"/>
      <c r="W760" s="205"/>
      <c r="X760" s="205"/>
      <c r="Y760" s="183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 ht="16.5" customHeight="1">
      <c r="A761" s="1"/>
      <c r="B761" s="1"/>
      <c r="C761" s="199"/>
      <c r="D761" s="1"/>
      <c r="E761" s="1"/>
      <c r="F761" s="1"/>
      <c r="G761" s="199"/>
      <c r="H761" s="1"/>
      <c r="I761" s="1"/>
      <c r="J761" s="1"/>
      <c r="K761" s="1"/>
      <c r="L761" s="1"/>
      <c r="M761" s="1"/>
      <c r="N761" s="10"/>
      <c r="O761" s="10"/>
      <c r="P761" s="10"/>
      <c r="Q761" s="10"/>
      <c r="R761" s="10"/>
      <c r="S761" s="10"/>
      <c r="T761" s="10"/>
      <c r="U761" s="1"/>
      <c r="V761" s="205"/>
      <c r="W761" s="205"/>
      <c r="X761" s="205"/>
      <c r="Y761" s="183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 ht="16.5" customHeight="1">
      <c r="A762" s="1"/>
      <c r="B762" s="1"/>
      <c r="C762" s="199"/>
      <c r="D762" s="1"/>
      <c r="E762" s="1"/>
      <c r="F762" s="1"/>
      <c r="G762" s="199"/>
      <c r="H762" s="1"/>
      <c r="I762" s="1"/>
      <c r="J762" s="1"/>
      <c r="K762" s="1"/>
      <c r="L762" s="1"/>
      <c r="M762" s="1"/>
      <c r="N762" s="10"/>
      <c r="O762" s="10"/>
      <c r="P762" s="10"/>
      <c r="Q762" s="10"/>
      <c r="R762" s="10"/>
      <c r="S762" s="10"/>
      <c r="T762" s="10"/>
      <c r="U762" s="1"/>
      <c r="V762" s="205"/>
      <c r="W762" s="205"/>
      <c r="X762" s="205"/>
      <c r="Y762" s="183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 ht="16.5" customHeight="1">
      <c r="A763" s="1"/>
      <c r="B763" s="1"/>
      <c r="C763" s="199"/>
      <c r="D763" s="1"/>
      <c r="E763" s="1"/>
      <c r="F763" s="1"/>
      <c r="G763" s="199"/>
      <c r="H763" s="1"/>
      <c r="I763" s="1"/>
      <c r="J763" s="1"/>
      <c r="K763" s="1"/>
      <c r="L763" s="1"/>
      <c r="M763" s="1"/>
      <c r="N763" s="10"/>
      <c r="O763" s="10"/>
      <c r="P763" s="10"/>
      <c r="Q763" s="10"/>
      <c r="R763" s="10"/>
      <c r="S763" s="10"/>
      <c r="T763" s="10"/>
      <c r="U763" s="1"/>
      <c r="V763" s="205"/>
      <c r="W763" s="205"/>
      <c r="X763" s="205"/>
      <c r="Y763" s="183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 ht="16.5" customHeight="1">
      <c r="A764" s="1"/>
      <c r="B764" s="1"/>
      <c r="C764" s="199"/>
      <c r="D764" s="1"/>
      <c r="E764" s="1"/>
      <c r="F764" s="1"/>
      <c r="G764" s="199"/>
      <c r="H764" s="1"/>
      <c r="I764" s="1"/>
      <c r="J764" s="1"/>
      <c r="K764" s="1"/>
      <c r="L764" s="1"/>
      <c r="M764" s="1"/>
      <c r="N764" s="10"/>
      <c r="O764" s="10"/>
      <c r="P764" s="10"/>
      <c r="Q764" s="10"/>
      <c r="R764" s="10"/>
      <c r="S764" s="10"/>
      <c r="T764" s="10"/>
      <c r="U764" s="1"/>
      <c r="V764" s="205"/>
      <c r="W764" s="205"/>
      <c r="X764" s="205"/>
      <c r="Y764" s="183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 ht="16.5" customHeight="1">
      <c r="A765" s="1"/>
      <c r="B765" s="1"/>
      <c r="C765" s="199"/>
      <c r="D765" s="1"/>
      <c r="E765" s="1"/>
      <c r="F765" s="1"/>
      <c r="G765" s="199"/>
      <c r="H765" s="1"/>
      <c r="I765" s="1"/>
      <c r="J765" s="1"/>
      <c r="K765" s="1"/>
      <c r="L765" s="1"/>
      <c r="M765" s="1"/>
      <c r="N765" s="10"/>
      <c r="O765" s="10"/>
      <c r="P765" s="10"/>
      <c r="Q765" s="10"/>
      <c r="R765" s="10"/>
      <c r="S765" s="10"/>
      <c r="T765" s="10"/>
      <c r="U765" s="1"/>
      <c r="V765" s="205"/>
      <c r="W765" s="205"/>
      <c r="X765" s="205"/>
      <c r="Y765" s="183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 ht="16.5" customHeight="1">
      <c r="A766" s="1"/>
      <c r="B766" s="1"/>
      <c r="C766" s="199"/>
      <c r="D766" s="1"/>
      <c r="E766" s="1"/>
      <c r="F766" s="1"/>
      <c r="G766" s="199"/>
      <c r="H766" s="1"/>
      <c r="I766" s="1"/>
      <c r="J766" s="1"/>
      <c r="K766" s="1"/>
      <c r="L766" s="1"/>
      <c r="M766" s="1"/>
      <c r="N766" s="10"/>
      <c r="O766" s="10"/>
      <c r="P766" s="10"/>
      <c r="Q766" s="10"/>
      <c r="R766" s="10"/>
      <c r="S766" s="10"/>
      <c r="T766" s="10"/>
      <c r="U766" s="1"/>
      <c r="V766" s="205"/>
      <c r="W766" s="205"/>
      <c r="X766" s="205"/>
      <c r="Y766" s="183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 ht="16.5" customHeight="1">
      <c r="A767" s="1"/>
      <c r="B767" s="1"/>
      <c r="C767" s="199"/>
      <c r="D767" s="1"/>
      <c r="E767" s="1"/>
      <c r="F767" s="1"/>
      <c r="G767" s="199"/>
      <c r="H767" s="1"/>
      <c r="I767" s="1"/>
      <c r="J767" s="1"/>
      <c r="K767" s="1"/>
      <c r="L767" s="1"/>
      <c r="M767" s="1"/>
      <c r="N767" s="10"/>
      <c r="O767" s="10"/>
      <c r="P767" s="10"/>
      <c r="Q767" s="10"/>
      <c r="R767" s="10"/>
      <c r="S767" s="10"/>
      <c r="T767" s="10"/>
      <c r="U767" s="1"/>
      <c r="V767" s="205"/>
      <c r="W767" s="205"/>
      <c r="X767" s="205"/>
      <c r="Y767" s="183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 ht="16.5" customHeight="1">
      <c r="A768" s="1"/>
      <c r="B768" s="1"/>
      <c r="C768" s="199"/>
      <c r="D768" s="1"/>
      <c r="E768" s="1"/>
      <c r="F768" s="1"/>
      <c r="G768" s="199"/>
      <c r="H768" s="1"/>
      <c r="I768" s="1"/>
      <c r="J768" s="1"/>
      <c r="K768" s="1"/>
      <c r="L768" s="1"/>
      <c r="M768" s="1"/>
      <c r="N768" s="10"/>
      <c r="O768" s="10"/>
      <c r="P768" s="10"/>
      <c r="Q768" s="10"/>
      <c r="R768" s="10"/>
      <c r="S768" s="10"/>
      <c r="T768" s="10"/>
      <c r="U768" s="1"/>
      <c r="V768" s="205"/>
      <c r="W768" s="205"/>
      <c r="X768" s="205"/>
      <c r="Y768" s="183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 ht="16.5" customHeight="1">
      <c r="A769" s="1"/>
      <c r="B769" s="1"/>
      <c r="C769" s="199"/>
      <c r="D769" s="1"/>
      <c r="E769" s="1"/>
      <c r="F769" s="1"/>
      <c r="G769" s="199"/>
      <c r="H769" s="1"/>
      <c r="I769" s="1"/>
      <c r="J769" s="1"/>
      <c r="K769" s="1"/>
      <c r="L769" s="1"/>
      <c r="M769" s="1"/>
      <c r="N769" s="10"/>
      <c r="O769" s="10"/>
      <c r="P769" s="10"/>
      <c r="Q769" s="10"/>
      <c r="R769" s="10"/>
      <c r="S769" s="10"/>
      <c r="T769" s="10"/>
      <c r="U769" s="1"/>
      <c r="V769" s="205"/>
      <c r="W769" s="205"/>
      <c r="X769" s="205"/>
      <c r="Y769" s="183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 ht="16.5" customHeight="1">
      <c r="A770" s="1"/>
      <c r="B770" s="1"/>
      <c r="C770" s="199"/>
      <c r="D770" s="1"/>
      <c r="E770" s="1"/>
      <c r="F770" s="1"/>
      <c r="G770" s="199"/>
      <c r="H770" s="1"/>
      <c r="I770" s="1"/>
      <c r="J770" s="1"/>
      <c r="K770" s="1"/>
      <c r="L770" s="1"/>
      <c r="M770" s="1"/>
      <c r="N770" s="10"/>
      <c r="O770" s="10"/>
      <c r="P770" s="10"/>
      <c r="Q770" s="10"/>
      <c r="R770" s="10"/>
      <c r="S770" s="10"/>
      <c r="T770" s="10"/>
      <c r="U770" s="1"/>
      <c r="V770" s="205"/>
      <c r="W770" s="205"/>
      <c r="X770" s="205"/>
      <c r="Y770" s="183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 ht="16.5" customHeight="1">
      <c r="A771" s="1"/>
      <c r="B771" s="1"/>
      <c r="C771" s="199"/>
      <c r="D771" s="1"/>
      <c r="E771" s="1"/>
      <c r="F771" s="1"/>
      <c r="G771" s="199"/>
      <c r="H771" s="1"/>
      <c r="I771" s="1"/>
      <c r="J771" s="1"/>
      <c r="K771" s="1"/>
      <c r="L771" s="1"/>
      <c r="M771" s="1"/>
      <c r="N771" s="10"/>
      <c r="O771" s="10"/>
      <c r="P771" s="10"/>
      <c r="Q771" s="10"/>
      <c r="R771" s="10"/>
      <c r="S771" s="10"/>
      <c r="T771" s="10"/>
      <c r="U771" s="1"/>
      <c r="V771" s="205"/>
      <c r="W771" s="205"/>
      <c r="X771" s="205"/>
      <c r="Y771" s="183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 ht="16.5" customHeight="1">
      <c r="A772" s="1"/>
      <c r="B772" s="1"/>
      <c r="C772" s="199"/>
      <c r="D772" s="1"/>
      <c r="E772" s="1"/>
      <c r="F772" s="1"/>
      <c r="G772" s="199"/>
      <c r="H772" s="1"/>
      <c r="I772" s="1"/>
      <c r="J772" s="1"/>
      <c r="K772" s="1"/>
      <c r="L772" s="1"/>
      <c r="M772" s="1"/>
      <c r="N772" s="10"/>
      <c r="O772" s="10"/>
      <c r="P772" s="10"/>
      <c r="Q772" s="10"/>
      <c r="R772" s="10"/>
      <c r="S772" s="10"/>
      <c r="T772" s="10"/>
      <c r="U772" s="1"/>
      <c r="V772" s="205"/>
      <c r="W772" s="205"/>
      <c r="X772" s="205"/>
      <c r="Y772" s="183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 ht="16.5" customHeight="1">
      <c r="A773" s="1"/>
      <c r="B773" s="1"/>
      <c r="C773" s="199"/>
      <c r="D773" s="1"/>
      <c r="E773" s="1"/>
      <c r="F773" s="1"/>
      <c r="G773" s="199"/>
      <c r="H773" s="1"/>
      <c r="I773" s="1"/>
      <c r="J773" s="1"/>
      <c r="K773" s="1"/>
      <c r="L773" s="1"/>
      <c r="M773" s="1"/>
      <c r="N773" s="10"/>
      <c r="O773" s="10"/>
      <c r="P773" s="10"/>
      <c r="Q773" s="10"/>
      <c r="R773" s="10"/>
      <c r="S773" s="10"/>
      <c r="T773" s="10"/>
      <c r="U773" s="1"/>
      <c r="V773" s="205"/>
      <c r="W773" s="205"/>
      <c r="X773" s="205"/>
      <c r="Y773" s="183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 ht="16.5" customHeight="1">
      <c r="A774" s="1"/>
      <c r="B774" s="1"/>
      <c r="C774" s="199"/>
      <c r="D774" s="1"/>
      <c r="E774" s="1"/>
      <c r="F774" s="1"/>
      <c r="G774" s="199"/>
      <c r="H774" s="1"/>
      <c r="I774" s="1"/>
      <c r="J774" s="1"/>
      <c r="K774" s="1"/>
      <c r="L774" s="1"/>
      <c r="M774" s="1"/>
      <c r="N774" s="10"/>
      <c r="O774" s="10"/>
      <c r="P774" s="10"/>
      <c r="Q774" s="10"/>
      <c r="R774" s="10"/>
      <c r="S774" s="10"/>
      <c r="T774" s="10"/>
      <c r="U774" s="1"/>
      <c r="V774" s="205"/>
      <c r="W774" s="205"/>
      <c r="X774" s="205"/>
      <c r="Y774" s="183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 ht="16.5" customHeight="1">
      <c r="A775" s="1"/>
      <c r="B775" s="1"/>
      <c r="C775" s="199"/>
      <c r="D775" s="1"/>
      <c r="E775" s="1"/>
      <c r="F775" s="1"/>
      <c r="G775" s="199"/>
      <c r="H775" s="1"/>
      <c r="I775" s="1"/>
      <c r="J775" s="1"/>
      <c r="K775" s="1"/>
      <c r="L775" s="1"/>
      <c r="M775" s="1"/>
      <c r="N775" s="10"/>
      <c r="O775" s="10"/>
      <c r="P775" s="10"/>
      <c r="Q775" s="10"/>
      <c r="R775" s="10"/>
      <c r="S775" s="10"/>
      <c r="T775" s="10"/>
      <c r="U775" s="1"/>
      <c r="V775" s="205"/>
      <c r="W775" s="205"/>
      <c r="X775" s="205"/>
      <c r="Y775" s="183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 ht="16.5" customHeight="1">
      <c r="A776" s="1"/>
      <c r="B776" s="1"/>
      <c r="C776" s="199"/>
      <c r="D776" s="1"/>
      <c r="E776" s="1"/>
      <c r="F776" s="1"/>
      <c r="G776" s="199"/>
      <c r="H776" s="1"/>
      <c r="I776" s="1"/>
      <c r="J776" s="1"/>
      <c r="K776" s="1"/>
      <c r="L776" s="1"/>
      <c r="M776" s="1"/>
      <c r="N776" s="10"/>
      <c r="O776" s="10"/>
      <c r="P776" s="10"/>
      <c r="Q776" s="10"/>
      <c r="R776" s="10"/>
      <c r="S776" s="10"/>
      <c r="T776" s="10"/>
      <c r="U776" s="1"/>
      <c r="V776" s="205"/>
      <c r="W776" s="205"/>
      <c r="X776" s="205"/>
      <c r="Y776" s="183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 ht="16.5" customHeight="1">
      <c r="A777" s="1"/>
      <c r="B777" s="1"/>
      <c r="C777" s="199"/>
      <c r="D777" s="1"/>
      <c r="E777" s="1"/>
      <c r="F777" s="1"/>
      <c r="G777" s="199"/>
      <c r="H777" s="1"/>
      <c r="I777" s="1"/>
      <c r="J777" s="1"/>
      <c r="K777" s="1"/>
      <c r="L777" s="1"/>
      <c r="M777" s="1"/>
      <c r="N777" s="10"/>
      <c r="O777" s="10"/>
      <c r="P777" s="10"/>
      <c r="Q777" s="10"/>
      <c r="R777" s="10"/>
      <c r="S777" s="10"/>
      <c r="T777" s="10"/>
      <c r="U777" s="1"/>
      <c r="V777" s="205"/>
      <c r="W777" s="205"/>
      <c r="X777" s="205"/>
      <c r="Y777" s="183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 ht="16.5" customHeight="1">
      <c r="A778" s="1"/>
      <c r="B778" s="1"/>
      <c r="C778" s="199"/>
      <c r="D778" s="1"/>
      <c r="E778" s="1"/>
      <c r="F778" s="1"/>
      <c r="G778" s="199"/>
      <c r="H778" s="1"/>
      <c r="I778" s="1"/>
      <c r="J778" s="1"/>
      <c r="K778" s="1"/>
      <c r="L778" s="1"/>
      <c r="M778" s="1"/>
      <c r="N778" s="10"/>
      <c r="O778" s="10"/>
      <c r="P778" s="10"/>
      <c r="Q778" s="10"/>
      <c r="R778" s="10"/>
      <c r="S778" s="10"/>
      <c r="T778" s="10"/>
      <c r="U778" s="1"/>
      <c r="V778" s="205"/>
      <c r="W778" s="205"/>
      <c r="X778" s="205"/>
      <c r="Y778" s="183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 ht="16.5" customHeight="1">
      <c r="A779" s="1"/>
      <c r="B779" s="1"/>
      <c r="C779" s="199"/>
      <c r="D779" s="1"/>
      <c r="E779" s="1"/>
      <c r="F779" s="1"/>
      <c r="G779" s="199"/>
      <c r="H779" s="1"/>
      <c r="I779" s="1"/>
      <c r="J779" s="1"/>
      <c r="K779" s="1"/>
      <c r="L779" s="1"/>
      <c r="M779" s="1"/>
      <c r="N779" s="10"/>
      <c r="O779" s="10"/>
      <c r="P779" s="10"/>
      <c r="Q779" s="10"/>
      <c r="R779" s="10"/>
      <c r="S779" s="10"/>
      <c r="T779" s="10"/>
      <c r="U779" s="1"/>
      <c r="V779" s="205"/>
      <c r="W779" s="205"/>
      <c r="X779" s="205"/>
      <c r="Y779" s="183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 ht="16.5" customHeight="1">
      <c r="A780" s="1"/>
      <c r="B780" s="1"/>
      <c r="C780" s="199"/>
      <c r="D780" s="1"/>
      <c r="E780" s="1"/>
      <c r="F780" s="1"/>
      <c r="G780" s="199"/>
      <c r="H780" s="1"/>
      <c r="I780" s="1"/>
      <c r="J780" s="1"/>
      <c r="K780" s="1"/>
      <c r="L780" s="1"/>
      <c r="M780" s="1"/>
      <c r="N780" s="10"/>
      <c r="O780" s="10"/>
      <c r="P780" s="10"/>
      <c r="Q780" s="10"/>
      <c r="R780" s="10"/>
      <c r="S780" s="10"/>
      <c r="T780" s="10"/>
      <c r="U780" s="1"/>
      <c r="V780" s="205"/>
      <c r="W780" s="205"/>
      <c r="X780" s="205"/>
      <c r="Y780" s="183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 ht="16.5" customHeight="1">
      <c r="A781" s="1"/>
      <c r="B781" s="1"/>
      <c r="C781" s="199"/>
      <c r="D781" s="1"/>
      <c r="E781" s="1"/>
      <c r="F781" s="1"/>
      <c r="G781" s="199"/>
      <c r="H781" s="1"/>
      <c r="I781" s="1"/>
      <c r="J781" s="1"/>
      <c r="K781" s="1"/>
      <c r="L781" s="1"/>
      <c r="M781" s="1"/>
      <c r="N781" s="10"/>
      <c r="O781" s="10"/>
      <c r="P781" s="10"/>
      <c r="Q781" s="10"/>
      <c r="R781" s="10"/>
      <c r="S781" s="10"/>
      <c r="T781" s="10"/>
      <c r="U781" s="1"/>
      <c r="V781" s="205"/>
      <c r="W781" s="205"/>
      <c r="X781" s="205"/>
      <c r="Y781" s="183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 ht="16.5" customHeight="1">
      <c r="A782" s="1"/>
      <c r="B782" s="1"/>
      <c r="C782" s="199"/>
      <c r="D782" s="1"/>
      <c r="E782" s="1"/>
      <c r="F782" s="1"/>
      <c r="G782" s="199"/>
      <c r="H782" s="1"/>
      <c r="I782" s="1"/>
      <c r="J782" s="1"/>
      <c r="K782" s="1"/>
      <c r="L782" s="1"/>
      <c r="M782" s="1"/>
      <c r="N782" s="10"/>
      <c r="O782" s="10"/>
      <c r="P782" s="10"/>
      <c r="Q782" s="10"/>
      <c r="R782" s="10"/>
      <c r="S782" s="10"/>
      <c r="T782" s="10"/>
      <c r="U782" s="1"/>
      <c r="V782" s="205"/>
      <c r="W782" s="205"/>
      <c r="X782" s="205"/>
      <c r="Y782" s="183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 ht="16.5" customHeight="1">
      <c r="A783" s="1"/>
      <c r="B783" s="1"/>
      <c r="C783" s="199"/>
      <c r="D783" s="1"/>
      <c r="E783" s="1"/>
      <c r="F783" s="1"/>
      <c r="G783" s="199"/>
      <c r="H783" s="1"/>
      <c r="I783" s="1"/>
      <c r="J783" s="1"/>
      <c r="K783" s="1"/>
      <c r="L783" s="1"/>
      <c r="M783" s="1"/>
      <c r="N783" s="10"/>
      <c r="O783" s="10"/>
      <c r="P783" s="10"/>
      <c r="Q783" s="10"/>
      <c r="R783" s="10"/>
      <c r="S783" s="10"/>
      <c r="T783" s="10"/>
      <c r="U783" s="1"/>
      <c r="V783" s="205"/>
      <c r="W783" s="205"/>
      <c r="X783" s="205"/>
      <c r="Y783" s="183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 ht="16.5" customHeight="1">
      <c r="A784" s="1"/>
      <c r="B784" s="1"/>
      <c r="C784" s="199"/>
      <c r="D784" s="1"/>
      <c r="E784" s="1"/>
      <c r="F784" s="1"/>
      <c r="G784" s="199"/>
      <c r="H784" s="1"/>
      <c r="I784" s="1"/>
      <c r="J784" s="1"/>
      <c r="K784" s="1"/>
      <c r="L784" s="1"/>
      <c r="M784" s="1"/>
      <c r="N784" s="10"/>
      <c r="O784" s="10"/>
      <c r="P784" s="10"/>
      <c r="Q784" s="10"/>
      <c r="R784" s="10"/>
      <c r="S784" s="10"/>
      <c r="T784" s="10"/>
      <c r="U784" s="1"/>
      <c r="V784" s="205"/>
      <c r="W784" s="205"/>
      <c r="X784" s="205"/>
      <c r="Y784" s="183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 ht="16.5" customHeight="1">
      <c r="A785" s="1"/>
      <c r="B785" s="1"/>
      <c r="C785" s="199"/>
      <c r="D785" s="1"/>
      <c r="E785" s="1"/>
      <c r="F785" s="1"/>
      <c r="G785" s="199"/>
      <c r="H785" s="1"/>
      <c r="I785" s="1"/>
      <c r="J785" s="1"/>
      <c r="K785" s="1"/>
      <c r="L785" s="1"/>
      <c r="M785" s="1"/>
      <c r="N785" s="10"/>
      <c r="O785" s="10"/>
      <c r="P785" s="10"/>
      <c r="Q785" s="10"/>
      <c r="R785" s="10"/>
      <c r="S785" s="10"/>
      <c r="T785" s="10"/>
      <c r="U785" s="1"/>
      <c r="V785" s="205"/>
      <c r="W785" s="205"/>
      <c r="X785" s="205"/>
      <c r="Y785" s="183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 ht="16.5" customHeight="1">
      <c r="A786" s="1"/>
      <c r="B786" s="1"/>
      <c r="C786" s="199"/>
      <c r="D786" s="1"/>
      <c r="E786" s="1"/>
      <c r="F786" s="1"/>
      <c r="G786" s="199"/>
      <c r="H786" s="1"/>
      <c r="I786" s="1"/>
      <c r="J786" s="1"/>
      <c r="K786" s="1"/>
      <c r="L786" s="1"/>
      <c r="M786" s="1"/>
      <c r="N786" s="10"/>
      <c r="O786" s="10"/>
      <c r="P786" s="10"/>
      <c r="Q786" s="10"/>
      <c r="R786" s="10"/>
      <c r="S786" s="10"/>
      <c r="T786" s="10"/>
      <c r="U786" s="1"/>
      <c r="V786" s="205"/>
      <c r="W786" s="205"/>
      <c r="X786" s="205"/>
      <c r="Y786" s="183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 ht="16.5" customHeight="1">
      <c r="A787" s="1"/>
      <c r="B787" s="1"/>
      <c r="C787" s="199"/>
      <c r="D787" s="1"/>
      <c r="E787" s="1"/>
      <c r="F787" s="1"/>
      <c r="G787" s="199"/>
      <c r="H787" s="1"/>
      <c r="I787" s="1"/>
      <c r="J787" s="1"/>
      <c r="K787" s="1"/>
      <c r="L787" s="1"/>
      <c r="M787" s="1"/>
      <c r="N787" s="10"/>
      <c r="O787" s="10"/>
      <c r="P787" s="10"/>
      <c r="Q787" s="10"/>
      <c r="R787" s="10"/>
      <c r="S787" s="10"/>
      <c r="T787" s="10"/>
      <c r="U787" s="1"/>
      <c r="V787" s="205"/>
      <c r="W787" s="205"/>
      <c r="X787" s="205"/>
      <c r="Y787" s="183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 ht="16.5" customHeight="1">
      <c r="A788" s="1"/>
      <c r="B788" s="1"/>
      <c r="C788" s="199"/>
      <c r="D788" s="1"/>
      <c r="E788" s="1"/>
      <c r="F788" s="1"/>
      <c r="G788" s="199"/>
      <c r="H788" s="1"/>
      <c r="I788" s="1"/>
      <c r="J788" s="1"/>
      <c r="K788" s="1"/>
      <c r="L788" s="1"/>
      <c r="M788" s="1"/>
      <c r="N788" s="10"/>
      <c r="O788" s="10"/>
      <c r="P788" s="10"/>
      <c r="Q788" s="10"/>
      <c r="R788" s="10"/>
      <c r="S788" s="10"/>
      <c r="T788" s="10"/>
      <c r="U788" s="1"/>
      <c r="V788" s="205"/>
      <c r="W788" s="205"/>
      <c r="X788" s="205"/>
      <c r="Y788" s="183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 ht="16.5" customHeight="1">
      <c r="A789" s="1"/>
      <c r="B789" s="1"/>
      <c r="C789" s="199"/>
      <c r="D789" s="1"/>
      <c r="E789" s="1"/>
      <c r="F789" s="1"/>
      <c r="G789" s="199"/>
      <c r="H789" s="1"/>
      <c r="I789" s="1"/>
      <c r="J789" s="1"/>
      <c r="K789" s="1"/>
      <c r="L789" s="1"/>
      <c r="M789" s="1"/>
      <c r="N789" s="10"/>
      <c r="O789" s="10"/>
      <c r="P789" s="10"/>
      <c r="Q789" s="10"/>
      <c r="R789" s="10"/>
      <c r="S789" s="10"/>
      <c r="T789" s="10"/>
      <c r="U789" s="1"/>
      <c r="V789" s="205"/>
      <c r="W789" s="205"/>
      <c r="X789" s="205"/>
      <c r="Y789" s="183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 ht="16.5" customHeight="1">
      <c r="A790" s="1"/>
      <c r="B790" s="1"/>
      <c r="C790" s="199"/>
      <c r="D790" s="1"/>
      <c r="E790" s="1"/>
      <c r="F790" s="1"/>
      <c r="G790" s="199"/>
      <c r="H790" s="1"/>
      <c r="I790" s="1"/>
      <c r="J790" s="1"/>
      <c r="K790" s="1"/>
      <c r="L790" s="1"/>
      <c r="M790" s="1"/>
      <c r="N790" s="10"/>
      <c r="O790" s="10"/>
      <c r="P790" s="10"/>
      <c r="Q790" s="10"/>
      <c r="R790" s="10"/>
      <c r="S790" s="10"/>
      <c r="T790" s="10"/>
      <c r="U790" s="1"/>
      <c r="V790" s="205"/>
      <c r="W790" s="205"/>
      <c r="X790" s="205"/>
      <c r="Y790" s="183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 ht="16.5" customHeight="1">
      <c r="A791" s="1"/>
      <c r="B791" s="1"/>
      <c r="C791" s="199"/>
      <c r="D791" s="1"/>
      <c r="E791" s="1"/>
      <c r="F791" s="1"/>
      <c r="G791" s="199"/>
      <c r="H791" s="1"/>
      <c r="I791" s="1"/>
      <c r="J791" s="1"/>
      <c r="K791" s="1"/>
      <c r="L791" s="1"/>
      <c r="M791" s="1"/>
      <c r="N791" s="10"/>
      <c r="O791" s="10"/>
      <c r="P791" s="10"/>
      <c r="Q791" s="10"/>
      <c r="R791" s="10"/>
      <c r="S791" s="10"/>
      <c r="T791" s="10"/>
      <c r="U791" s="1"/>
      <c r="V791" s="205"/>
      <c r="W791" s="205"/>
      <c r="X791" s="205"/>
      <c r="Y791" s="183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 ht="16.5" customHeight="1">
      <c r="A792" s="1"/>
      <c r="B792" s="1"/>
      <c r="C792" s="199"/>
      <c r="D792" s="1"/>
      <c r="E792" s="1"/>
      <c r="F792" s="1"/>
      <c r="G792" s="199"/>
      <c r="H792" s="1"/>
      <c r="I792" s="1"/>
      <c r="J792" s="1"/>
      <c r="K792" s="1"/>
      <c r="L792" s="1"/>
      <c r="M792" s="1"/>
      <c r="N792" s="10"/>
      <c r="O792" s="10"/>
      <c r="P792" s="10"/>
      <c r="Q792" s="10"/>
      <c r="R792" s="10"/>
      <c r="S792" s="10"/>
      <c r="T792" s="10"/>
      <c r="U792" s="1"/>
      <c r="V792" s="205"/>
      <c r="W792" s="205"/>
      <c r="X792" s="205"/>
      <c r="Y792" s="183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 ht="16.5" customHeight="1">
      <c r="A793" s="1"/>
      <c r="B793" s="1"/>
      <c r="C793" s="199"/>
      <c r="D793" s="1"/>
      <c r="E793" s="1"/>
      <c r="F793" s="1"/>
      <c r="G793" s="199"/>
      <c r="H793" s="1"/>
      <c r="I793" s="1"/>
      <c r="J793" s="1"/>
      <c r="K793" s="1"/>
      <c r="L793" s="1"/>
      <c r="M793" s="1"/>
      <c r="N793" s="10"/>
      <c r="O793" s="10"/>
      <c r="P793" s="10"/>
      <c r="Q793" s="10"/>
      <c r="R793" s="10"/>
      <c r="S793" s="10"/>
      <c r="T793" s="10"/>
      <c r="U793" s="1"/>
      <c r="V793" s="205"/>
      <c r="W793" s="205"/>
      <c r="X793" s="205"/>
      <c r="Y793" s="183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 ht="16.5" customHeight="1">
      <c r="A794" s="1"/>
      <c r="B794" s="1"/>
      <c r="C794" s="199"/>
      <c r="D794" s="1"/>
      <c r="E794" s="1"/>
      <c r="F794" s="1"/>
      <c r="G794" s="199"/>
      <c r="H794" s="1"/>
      <c r="I794" s="1"/>
      <c r="J794" s="1"/>
      <c r="K794" s="1"/>
      <c r="L794" s="1"/>
      <c r="M794" s="1"/>
      <c r="N794" s="10"/>
      <c r="O794" s="10"/>
      <c r="P794" s="10"/>
      <c r="Q794" s="10"/>
      <c r="R794" s="10"/>
      <c r="S794" s="10"/>
      <c r="T794" s="10"/>
      <c r="U794" s="1"/>
      <c r="V794" s="205"/>
      <c r="W794" s="205"/>
      <c r="X794" s="205"/>
      <c r="Y794" s="183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 ht="16.5" customHeight="1">
      <c r="A795" s="1"/>
      <c r="B795" s="1"/>
      <c r="C795" s="199"/>
      <c r="D795" s="1"/>
      <c r="E795" s="1"/>
      <c r="F795" s="1"/>
      <c r="G795" s="199"/>
      <c r="H795" s="1"/>
      <c r="I795" s="1"/>
      <c r="J795" s="1"/>
      <c r="K795" s="1"/>
      <c r="L795" s="1"/>
      <c r="M795" s="1"/>
      <c r="N795" s="10"/>
      <c r="O795" s="10"/>
      <c r="P795" s="10"/>
      <c r="Q795" s="10"/>
      <c r="R795" s="10"/>
      <c r="S795" s="10"/>
      <c r="T795" s="10"/>
      <c r="U795" s="1"/>
      <c r="V795" s="205"/>
      <c r="W795" s="205"/>
      <c r="X795" s="205"/>
      <c r="Y795" s="183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 ht="16.5" customHeight="1">
      <c r="A796" s="1"/>
      <c r="B796" s="1"/>
      <c r="C796" s="199"/>
      <c r="D796" s="1"/>
      <c r="E796" s="1"/>
      <c r="F796" s="1"/>
      <c r="G796" s="199"/>
      <c r="H796" s="1"/>
      <c r="I796" s="1"/>
      <c r="J796" s="1"/>
      <c r="K796" s="1"/>
      <c r="L796" s="1"/>
      <c r="M796" s="1"/>
      <c r="N796" s="10"/>
      <c r="O796" s="10"/>
      <c r="P796" s="10"/>
      <c r="Q796" s="10"/>
      <c r="R796" s="10"/>
      <c r="S796" s="10"/>
      <c r="T796" s="10"/>
      <c r="U796" s="1"/>
      <c r="V796" s="205"/>
      <c r="W796" s="205"/>
      <c r="X796" s="205"/>
      <c r="Y796" s="183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 ht="16.5" customHeight="1">
      <c r="A797" s="1"/>
      <c r="B797" s="1"/>
      <c r="C797" s="199"/>
      <c r="D797" s="1"/>
      <c r="E797" s="1"/>
      <c r="F797" s="1"/>
      <c r="G797" s="199"/>
      <c r="H797" s="1"/>
      <c r="I797" s="1"/>
      <c r="J797" s="1"/>
      <c r="K797" s="1"/>
      <c r="L797" s="1"/>
      <c r="M797" s="1"/>
      <c r="N797" s="10"/>
      <c r="O797" s="10"/>
      <c r="P797" s="10"/>
      <c r="Q797" s="10"/>
      <c r="R797" s="10"/>
      <c r="S797" s="10"/>
      <c r="T797" s="10"/>
      <c r="U797" s="1"/>
      <c r="V797" s="205"/>
      <c r="W797" s="205"/>
      <c r="X797" s="205"/>
      <c r="Y797" s="183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 ht="16.5" customHeight="1">
      <c r="A798" s="1"/>
      <c r="B798" s="1"/>
      <c r="C798" s="199"/>
      <c r="D798" s="1"/>
      <c r="E798" s="1"/>
      <c r="F798" s="1"/>
      <c r="G798" s="199"/>
      <c r="H798" s="1"/>
      <c r="I798" s="1"/>
      <c r="J798" s="1"/>
      <c r="K798" s="1"/>
      <c r="L798" s="1"/>
      <c r="M798" s="1"/>
      <c r="N798" s="10"/>
      <c r="O798" s="10"/>
      <c r="P798" s="10"/>
      <c r="Q798" s="10"/>
      <c r="R798" s="10"/>
      <c r="S798" s="10"/>
      <c r="T798" s="10"/>
      <c r="U798" s="1"/>
      <c r="V798" s="205"/>
      <c r="W798" s="205"/>
      <c r="X798" s="205"/>
      <c r="Y798" s="183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 ht="16.5" customHeight="1">
      <c r="A799" s="1"/>
      <c r="B799" s="1"/>
      <c r="C799" s="199"/>
      <c r="D799" s="1"/>
      <c r="E799" s="1"/>
      <c r="F799" s="1"/>
      <c r="G799" s="199"/>
      <c r="H799" s="1"/>
      <c r="I799" s="1"/>
      <c r="J799" s="1"/>
      <c r="K799" s="1"/>
      <c r="L799" s="1"/>
      <c r="M799" s="1"/>
      <c r="N799" s="10"/>
      <c r="O799" s="10"/>
      <c r="P799" s="10"/>
      <c r="Q799" s="10"/>
      <c r="R799" s="10"/>
      <c r="S799" s="10"/>
      <c r="T799" s="10"/>
      <c r="U799" s="1"/>
      <c r="V799" s="205"/>
      <c r="W799" s="205"/>
      <c r="X799" s="205"/>
      <c r="Y799" s="183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 ht="16.5" customHeight="1">
      <c r="A800" s="1"/>
      <c r="B800" s="1"/>
      <c r="C800" s="199"/>
      <c r="D800" s="1"/>
      <c r="E800" s="1"/>
      <c r="F800" s="1"/>
      <c r="G800" s="199"/>
      <c r="H800" s="1"/>
      <c r="I800" s="1"/>
      <c r="J800" s="1"/>
      <c r="K800" s="1"/>
      <c r="L800" s="1"/>
      <c r="M800" s="1"/>
      <c r="N800" s="10"/>
      <c r="O800" s="10"/>
      <c r="P800" s="10"/>
      <c r="Q800" s="10"/>
      <c r="R800" s="10"/>
      <c r="S800" s="10"/>
      <c r="T800" s="10"/>
      <c r="U800" s="1"/>
      <c r="V800" s="205"/>
      <c r="W800" s="205"/>
      <c r="X800" s="205"/>
      <c r="Y800" s="183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 ht="16.5" customHeight="1">
      <c r="A801" s="1"/>
      <c r="B801" s="1"/>
      <c r="C801" s="199"/>
      <c r="D801" s="1"/>
      <c r="E801" s="1"/>
      <c r="F801" s="1"/>
      <c r="G801" s="199"/>
      <c r="H801" s="1"/>
      <c r="I801" s="1"/>
      <c r="J801" s="1"/>
      <c r="K801" s="1"/>
      <c r="L801" s="1"/>
      <c r="M801" s="1"/>
      <c r="N801" s="10"/>
      <c r="O801" s="10"/>
      <c r="P801" s="10"/>
      <c r="Q801" s="10"/>
      <c r="R801" s="10"/>
      <c r="S801" s="10"/>
      <c r="T801" s="10"/>
      <c r="U801" s="1"/>
      <c r="V801" s="205"/>
      <c r="W801" s="205"/>
      <c r="X801" s="205"/>
      <c r="Y801" s="183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 ht="16.5" customHeight="1">
      <c r="A802" s="1"/>
      <c r="B802" s="1"/>
      <c r="C802" s="199"/>
      <c r="D802" s="1"/>
      <c r="E802" s="1"/>
      <c r="F802" s="1"/>
      <c r="G802" s="199"/>
      <c r="H802" s="1"/>
      <c r="I802" s="1"/>
      <c r="J802" s="1"/>
      <c r="K802" s="1"/>
      <c r="L802" s="1"/>
      <c r="M802" s="1"/>
      <c r="N802" s="10"/>
      <c r="O802" s="10"/>
      <c r="P802" s="10"/>
      <c r="Q802" s="10"/>
      <c r="R802" s="10"/>
      <c r="S802" s="10"/>
      <c r="T802" s="10"/>
      <c r="U802" s="1"/>
      <c r="V802" s="205"/>
      <c r="W802" s="205"/>
      <c r="X802" s="205"/>
      <c r="Y802" s="183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 ht="16.5" customHeight="1">
      <c r="A803" s="1"/>
      <c r="B803" s="1"/>
      <c r="C803" s="199"/>
      <c r="D803" s="1"/>
      <c r="E803" s="1"/>
      <c r="F803" s="1"/>
      <c r="G803" s="199"/>
      <c r="H803" s="1"/>
      <c r="I803" s="1"/>
      <c r="J803" s="1"/>
      <c r="K803" s="1"/>
      <c r="L803" s="1"/>
      <c r="M803" s="1"/>
      <c r="N803" s="10"/>
      <c r="O803" s="10"/>
      <c r="P803" s="10"/>
      <c r="Q803" s="10"/>
      <c r="R803" s="10"/>
      <c r="S803" s="10"/>
      <c r="T803" s="10"/>
      <c r="U803" s="1"/>
      <c r="V803" s="205"/>
      <c r="W803" s="205"/>
      <c r="X803" s="205"/>
      <c r="Y803" s="183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 ht="16.5" customHeight="1">
      <c r="A804" s="1"/>
      <c r="B804" s="1"/>
      <c r="C804" s="199"/>
      <c r="D804" s="1"/>
      <c r="E804" s="1"/>
      <c r="F804" s="1"/>
      <c r="G804" s="199"/>
      <c r="H804" s="1"/>
      <c r="I804" s="1"/>
      <c r="J804" s="1"/>
      <c r="K804" s="1"/>
      <c r="L804" s="1"/>
      <c r="M804" s="1"/>
      <c r="N804" s="10"/>
      <c r="O804" s="10"/>
      <c r="P804" s="10"/>
      <c r="Q804" s="10"/>
      <c r="R804" s="10"/>
      <c r="S804" s="10"/>
      <c r="T804" s="10"/>
      <c r="U804" s="1"/>
      <c r="V804" s="205"/>
      <c r="W804" s="205"/>
      <c r="X804" s="205"/>
      <c r="Y804" s="183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 ht="16.5" customHeight="1">
      <c r="A805" s="1"/>
      <c r="B805" s="1"/>
      <c r="C805" s="199"/>
      <c r="D805" s="1"/>
      <c r="E805" s="1"/>
      <c r="F805" s="1"/>
      <c r="G805" s="199"/>
      <c r="H805" s="1"/>
      <c r="I805" s="1"/>
      <c r="J805" s="1"/>
      <c r="K805" s="1"/>
      <c r="L805" s="1"/>
      <c r="M805" s="1"/>
      <c r="N805" s="10"/>
      <c r="O805" s="10"/>
      <c r="P805" s="10"/>
      <c r="Q805" s="10"/>
      <c r="R805" s="10"/>
      <c r="S805" s="10"/>
      <c r="T805" s="10"/>
      <c r="U805" s="1"/>
      <c r="V805" s="205"/>
      <c r="W805" s="205"/>
      <c r="X805" s="205"/>
      <c r="Y805" s="183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 ht="16.5" customHeight="1">
      <c r="A806" s="1"/>
      <c r="B806" s="1"/>
      <c r="C806" s="199"/>
      <c r="D806" s="1"/>
      <c r="E806" s="1"/>
      <c r="F806" s="1"/>
      <c r="G806" s="199"/>
      <c r="H806" s="1"/>
      <c r="I806" s="1"/>
      <c r="J806" s="1"/>
      <c r="K806" s="1"/>
      <c r="L806" s="1"/>
      <c r="M806" s="1"/>
      <c r="N806" s="10"/>
      <c r="O806" s="10"/>
      <c r="P806" s="10"/>
      <c r="Q806" s="10"/>
      <c r="R806" s="10"/>
      <c r="S806" s="10"/>
      <c r="T806" s="10"/>
      <c r="U806" s="1"/>
      <c r="V806" s="205"/>
      <c r="W806" s="205"/>
      <c r="X806" s="205"/>
      <c r="Y806" s="183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 ht="16.5" customHeight="1">
      <c r="A807" s="1"/>
      <c r="B807" s="1"/>
      <c r="C807" s="199"/>
      <c r="D807" s="1"/>
      <c r="E807" s="1"/>
      <c r="F807" s="1"/>
      <c r="G807" s="199"/>
      <c r="H807" s="1"/>
      <c r="I807" s="1"/>
      <c r="J807" s="1"/>
      <c r="K807" s="1"/>
      <c r="L807" s="1"/>
      <c r="M807" s="1"/>
      <c r="N807" s="10"/>
      <c r="O807" s="10"/>
      <c r="P807" s="10"/>
      <c r="Q807" s="10"/>
      <c r="R807" s="10"/>
      <c r="S807" s="10"/>
      <c r="T807" s="10"/>
      <c r="U807" s="1"/>
      <c r="V807" s="205"/>
      <c r="W807" s="205"/>
      <c r="X807" s="205"/>
      <c r="Y807" s="183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 ht="16.5" customHeight="1">
      <c r="A808" s="1"/>
      <c r="B808" s="1"/>
      <c r="C808" s="199"/>
      <c r="D808" s="1"/>
      <c r="E808" s="1"/>
      <c r="F808" s="1"/>
      <c r="G808" s="199"/>
      <c r="H808" s="1"/>
      <c r="I808" s="1"/>
      <c r="J808" s="1"/>
      <c r="K808" s="1"/>
      <c r="L808" s="1"/>
      <c r="M808" s="1"/>
      <c r="N808" s="10"/>
      <c r="O808" s="10"/>
      <c r="P808" s="10"/>
      <c r="Q808" s="10"/>
      <c r="R808" s="10"/>
      <c r="S808" s="10"/>
      <c r="T808" s="10"/>
      <c r="U808" s="1"/>
      <c r="V808" s="205"/>
      <c r="W808" s="205"/>
      <c r="X808" s="205"/>
      <c r="Y808" s="183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 ht="16.5" customHeight="1">
      <c r="A809" s="1"/>
      <c r="B809" s="1"/>
      <c r="C809" s="199"/>
      <c r="D809" s="1"/>
      <c r="E809" s="1"/>
      <c r="F809" s="1"/>
      <c r="G809" s="199"/>
      <c r="H809" s="1"/>
      <c r="I809" s="1"/>
      <c r="J809" s="1"/>
      <c r="K809" s="1"/>
      <c r="L809" s="1"/>
      <c r="M809" s="1"/>
      <c r="N809" s="10"/>
      <c r="O809" s="10"/>
      <c r="P809" s="10"/>
      <c r="Q809" s="10"/>
      <c r="R809" s="10"/>
      <c r="S809" s="10"/>
      <c r="T809" s="10"/>
      <c r="U809" s="1"/>
      <c r="V809" s="205"/>
      <c r="W809" s="205"/>
      <c r="X809" s="205"/>
      <c r="Y809" s="183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 ht="16.5" customHeight="1">
      <c r="A810" s="1"/>
      <c r="B810" s="1"/>
      <c r="C810" s="199"/>
      <c r="D810" s="1"/>
      <c r="E810" s="1"/>
      <c r="F810" s="1"/>
      <c r="G810" s="199"/>
      <c r="H810" s="1"/>
      <c r="I810" s="1"/>
      <c r="J810" s="1"/>
      <c r="K810" s="1"/>
      <c r="L810" s="1"/>
      <c r="M810" s="1"/>
      <c r="N810" s="10"/>
      <c r="O810" s="10"/>
      <c r="P810" s="10"/>
      <c r="Q810" s="10"/>
      <c r="R810" s="10"/>
      <c r="S810" s="10"/>
      <c r="T810" s="10"/>
      <c r="U810" s="1"/>
      <c r="V810" s="205"/>
      <c r="W810" s="205"/>
      <c r="X810" s="205"/>
      <c r="Y810" s="183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 ht="16.5" customHeight="1">
      <c r="A811" s="1"/>
      <c r="B811" s="1"/>
      <c r="C811" s="199"/>
      <c r="D811" s="1"/>
      <c r="E811" s="1"/>
      <c r="F811" s="1"/>
      <c r="G811" s="199"/>
      <c r="H811" s="1"/>
      <c r="I811" s="1"/>
      <c r="J811" s="1"/>
      <c r="K811" s="1"/>
      <c r="L811" s="1"/>
      <c r="M811" s="1"/>
      <c r="N811" s="10"/>
      <c r="O811" s="10"/>
      <c r="P811" s="10"/>
      <c r="Q811" s="10"/>
      <c r="R811" s="10"/>
      <c r="S811" s="10"/>
      <c r="T811" s="10"/>
      <c r="U811" s="1"/>
      <c r="V811" s="205"/>
      <c r="W811" s="205"/>
      <c r="X811" s="205"/>
      <c r="Y811" s="183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 ht="16.5" customHeight="1">
      <c r="A812" s="1"/>
      <c r="B812" s="1"/>
      <c r="C812" s="199"/>
      <c r="D812" s="1"/>
      <c r="E812" s="1"/>
      <c r="F812" s="1"/>
      <c r="G812" s="199"/>
      <c r="H812" s="1"/>
      <c r="I812" s="1"/>
      <c r="J812" s="1"/>
      <c r="K812" s="1"/>
      <c r="L812" s="1"/>
      <c r="M812" s="1"/>
      <c r="N812" s="10"/>
      <c r="O812" s="10"/>
      <c r="P812" s="10"/>
      <c r="Q812" s="10"/>
      <c r="R812" s="10"/>
      <c r="S812" s="10"/>
      <c r="T812" s="10"/>
      <c r="U812" s="1"/>
      <c r="V812" s="205"/>
      <c r="W812" s="205"/>
      <c r="X812" s="205"/>
      <c r="Y812" s="183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 ht="16.5" customHeight="1">
      <c r="A813" s="1"/>
      <c r="B813" s="1"/>
      <c r="C813" s="199"/>
      <c r="D813" s="1"/>
      <c r="E813" s="1"/>
      <c r="F813" s="1"/>
      <c r="G813" s="199"/>
      <c r="H813" s="1"/>
      <c r="I813" s="1"/>
      <c r="J813" s="1"/>
      <c r="K813" s="1"/>
      <c r="L813" s="1"/>
      <c r="M813" s="1"/>
      <c r="N813" s="10"/>
      <c r="O813" s="10"/>
      <c r="P813" s="10"/>
      <c r="Q813" s="10"/>
      <c r="R813" s="10"/>
      <c r="S813" s="10"/>
      <c r="T813" s="10"/>
      <c r="U813" s="1"/>
      <c r="V813" s="205"/>
      <c r="W813" s="205"/>
      <c r="X813" s="205"/>
      <c r="Y813" s="183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 ht="16.5" customHeight="1">
      <c r="A814" s="1"/>
      <c r="B814" s="1"/>
      <c r="C814" s="199"/>
      <c r="D814" s="1"/>
      <c r="E814" s="1"/>
      <c r="F814" s="1"/>
      <c r="G814" s="199"/>
      <c r="H814" s="1"/>
      <c r="I814" s="1"/>
      <c r="J814" s="1"/>
      <c r="K814" s="1"/>
      <c r="L814" s="1"/>
      <c r="M814" s="1"/>
      <c r="N814" s="10"/>
      <c r="O814" s="10"/>
      <c r="P814" s="10"/>
      <c r="Q814" s="10"/>
      <c r="R814" s="10"/>
      <c r="S814" s="10"/>
      <c r="T814" s="10"/>
      <c r="U814" s="1"/>
      <c r="V814" s="205"/>
      <c r="W814" s="205"/>
      <c r="X814" s="205"/>
      <c r="Y814" s="183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 ht="16.5" customHeight="1">
      <c r="A815" s="1"/>
      <c r="B815" s="1"/>
      <c r="C815" s="199"/>
      <c r="D815" s="1"/>
      <c r="E815" s="1"/>
      <c r="F815" s="1"/>
      <c r="G815" s="199"/>
      <c r="H815" s="1"/>
      <c r="I815" s="1"/>
      <c r="J815" s="1"/>
      <c r="K815" s="1"/>
      <c r="L815" s="1"/>
      <c r="M815" s="1"/>
      <c r="N815" s="10"/>
      <c r="O815" s="10"/>
      <c r="P815" s="10"/>
      <c r="Q815" s="10"/>
      <c r="R815" s="10"/>
      <c r="S815" s="10"/>
      <c r="T815" s="10"/>
      <c r="U815" s="1"/>
      <c r="V815" s="205"/>
      <c r="W815" s="205"/>
      <c r="X815" s="205"/>
      <c r="Y815" s="183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 ht="16.5" customHeight="1">
      <c r="A816" s="1"/>
      <c r="B816" s="1"/>
      <c r="C816" s="199"/>
      <c r="D816" s="1"/>
      <c r="E816" s="1"/>
      <c r="F816" s="1"/>
      <c r="G816" s="199"/>
      <c r="H816" s="1"/>
      <c r="I816" s="1"/>
      <c r="J816" s="1"/>
      <c r="K816" s="1"/>
      <c r="L816" s="1"/>
      <c r="M816" s="1"/>
      <c r="N816" s="10"/>
      <c r="O816" s="10"/>
      <c r="P816" s="10"/>
      <c r="Q816" s="10"/>
      <c r="R816" s="10"/>
      <c r="S816" s="10"/>
      <c r="T816" s="10"/>
      <c r="U816" s="1"/>
      <c r="V816" s="205"/>
      <c r="W816" s="205"/>
      <c r="X816" s="205"/>
      <c r="Y816" s="183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 ht="16.5" customHeight="1">
      <c r="A817" s="1"/>
      <c r="B817" s="1"/>
      <c r="C817" s="199"/>
      <c r="D817" s="1"/>
      <c r="E817" s="1"/>
      <c r="F817" s="1"/>
      <c r="G817" s="199"/>
      <c r="H817" s="1"/>
      <c r="I817" s="1"/>
      <c r="J817" s="1"/>
      <c r="K817" s="1"/>
      <c r="L817" s="1"/>
      <c r="M817" s="1"/>
      <c r="N817" s="10"/>
      <c r="O817" s="10"/>
      <c r="P817" s="10"/>
      <c r="Q817" s="10"/>
      <c r="R817" s="10"/>
      <c r="S817" s="10"/>
      <c r="T817" s="10"/>
      <c r="U817" s="1"/>
      <c r="V817" s="205"/>
      <c r="W817" s="205"/>
      <c r="X817" s="205"/>
      <c r="Y817" s="183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 ht="16.5" customHeight="1">
      <c r="A818" s="1"/>
      <c r="B818" s="1"/>
      <c r="C818" s="199"/>
      <c r="D818" s="1"/>
      <c r="E818" s="1"/>
      <c r="F818" s="1"/>
      <c r="G818" s="199"/>
      <c r="H818" s="1"/>
      <c r="I818" s="1"/>
      <c r="J818" s="1"/>
      <c r="K818" s="1"/>
      <c r="L818" s="1"/>
      <c r="M818" s="1"/>
      <c r="N818" s="10"/>
      <c r="O818" s="10"/>
      <c r="P818" s="10"/>
      <c r="Q818" s="10"/>
      <c r="R818" s="10"/>
      <c r="S818" s="10"/>
      <c r="T818" s="10"/>
      <c r="U818" s="1"/>
      <c r="V818" s="205"/>
      <c r="W818" s="205"/>
      <c r="X818" s="205"/>
      <c r="Y818" s="183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 ht="16.5" customHeight="1">
      <c r="A819" s="1"/>
      <c r="B819" s="1"/>
      <c r="C819" s="199"/>
      <c r="D819" s="1"/>
      <c r="E819" s="1"/>
      <c r="F819" s="1"/>
      <c r="G819" s="199"/>
      <c r="H819" s="1"/>
      <c r="I819" s="1"/>
      <c r="J819" s="1"/>
      <c r="K819" s="1"/>
      <c r="L819" s="1"/>
      <c r="M819" s="1"/>
      <c r="N819" s="10"/>
      <c r="O819" s="10"/>
      <c r="P819" s="10"/>
      <c r="Q819" s="10"/>
      <c r="R819" s="10"/>
      <c r="S819" s="10"/>
      <c r="T819" s="10"/>
      <c r="U819" s="1"/>
      <c r="V819" s="205"/>
      <c r="W819" s="205"/>
      <c r="X819" s="205"/>
      <c r="Y819" s="183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 ht="16.5" customHeight="1">
      <c r="A820" s="1"/>
      <c r="B820" s="1"/>
      <c r="C820" s="199"/>
      <c r="D820" s="1"/>
      <c r="E820" s="1"/>
      <c r="F820" s="1"/>
      <c r="G820" s="199"/>
      <c r="H820" s="1"/>
      <c r="I820" s="1"/>
      <c r="J820" s="1"/>
      <c r="K820" s="1"/>
      <c r="L820" s="1"/>
      <c r="M820" s="1"/>
      <c r="N820" s="10"/>
      <c r="O820" s="10"/>
      <c r="P820" s="10"/>
      <c r="Q820" s="10"/>
      <c r="R820" s="10"/>
      <c r="S820" s="10"/>
      <c r="T820" s="10"/>
      <c r="U820" s="1"/>
      <c r="V820" s="205"/>
      <c r="W820" s="205"/>
      <c r="X820" s="205"/>
      <c r="Y820" s="183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 ht="16.5" customHeight="1">
      <c r="A821" s="1"/>
      <c r="B821" s="1"/>
      <c r="C821" s="199"/>
      <c r="D821" s="1"/>
      <c r="E821" s="1"/>
      <c r="F821" s="1"/>
      <c r="G821" s="199"/>
      <c r="H821" s="1"/>
      <c r="I821" s="1"/>
      <c r="J821" s="1"/>
      <c r="K821" s="1"/>
      <c r="L821" s="1"/>
      <c r="M821" s="1"/>
      <c r="N821" s="10"/>
      <c r="O821" s="10"/>
      <c r="P821" s="10"/>
      <c r="Q821" s="10"/>
      <c r="R821" s="10"/>
      <c r="S821" s="10"/>
      <c r="T821" s="10"/>
      <c r="U821" s="1"/>
      <c r="V821" s="205"/>
      <c r="W821" s="205"/>
      <c r="X821" s="205"/>
      <c r="Y821" s="183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 ht="16.5" customHeight="1">
      <c r="A822" s="1"/>
      <c r="B822" s="1"/>
      <c r="C822" s="199"/>
      <c r="D822" s="1"/>
      <c r="E822" s="1"/>
      <c r="F822" s="1"/>
      <c r="G822" s="199"/>
      <c r="H822" s="1"/>
      <c r="I822" s="1"/>
      <c r="J822" s="1"/>
      <c r="K822" s="1"/>
      <c r="L822" s="1"/>
      <c r="M822" s="1"/>
      <c r="N822" s="10"/>
      <c r="O822" s="10"/>
      <c r="P822" s="10"/>
      <c r="Q822" s="10"/>
      <c r="R822" s="10"/>
      <c r="S822" s="10"/>
      <c r="T822" s="10"/>
      <c r="U822" s="1"/>
      <c r="V822" s="205"/>
      <c r="W822" s="205"/>
      <c r="X822" s="205"/>
      <c r="Y822" s="183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 ht="16.5" customHeight="1">
      <c r="A823" s="1"/>
      <c r="B823" s="1"/>
      <c r="C823" s="199"/>
      <c r="D823" s="1"/>
      <c r="E823" s="1"/>
      <c r="F823" s="1"/>
      <c r="G823" s="199"/>
      <c r="H823" s="1"/>
      <c r="I823" s="1"/>
      <c r="J823" s="1"/>
      <c r="K823" s="1"/>
      <c r="L823" s="1"/>
      <c r="M823" s="1"/>
      <c r="N823" s="10"/>
      <c r="O823" s="10"/>
      <c r="P823" s="10"/>
      <c r="Q823" s="10"/>
      <c r="R823" s="10"/>
      <c r="S823" s="10"/>
      <c r="T823" s="10"/>
      <c r="U823" s="1"/>
      <c r="V823" s="205"/>
      <c r="W823" s="205"/>
      <c r="X823" s="205"/>
      <c r="Y823" s="183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 ht="16.5" customHeight="1">
      <c r="A824" s="1"/>
      <c r="B824" s="1"/>
      <c r="C824" s="199"/>
      <c r="D824" s="1"/>
      <c r="E824" s="1"/>
      <c r="F824" s="1"/>
      <c r="G824" s="199"/>
      <c r="H824" s="1"/>
      <c r="I824" s="1"/>
      <c r="J824" s="1"/>
      <c r="K824" s="1"/>
      <c r="L824" s="1"/>
      <c r="M824" s="1"/>
      <c r="N824" s="10"/>
      <c r="O824" s="10"/>
      <c r="P824" s="10"/>
      <c r="Q824" s="10"/>
      <c r="R824" s="10"/>
      <c r="S824" s="10"/>
      <c r="T824" s="10"/>
      <c r="U824" s="1"/>
      <c r="V824" s="205"/>
      <c r="W824" s="205"/>
      <c r="X824" s="205"/>
      <c r="Y824" s="183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 ht="16.5" customHeight="1">
      <c r="A825" s="1"/>
      <c r="B825" s="1"/>
      <c r="C825" s="199"/>
      <c r="D825" s="1"/>
      <c r="E825" s="1"/>
      <c r="F825" s="1"/>
      <c r="G825" s="199"/>
      <c r="H825" s="1"/>
      <c r="I825" s="1"/>
      <c r="J825" s="1"/>
      <c r="K825" s="1"/>
      <c r="L825" s="1"/>
      <c r="M825" s="1"/>
      <c r="N825" s="10"/>
      <c r="O825" s="10"/>
      <c r="P825" s="10"/>
      <c r="Q825" s="10"/>
      <c r="R825" s="10"/>
      <c r="S825" s="10"/>
      <c r="T825" s="10"/>
      <c r="U825" s="1"/>
      <c r="V825" s="205"/>
      <c r="W825" s="205"/>
      <c r="X825" s="205"/>
      <c r="Y825" s="183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 ht="16.5" customHeight="1">
      <c r="A826" s="1"/>
      <c r="B826" s="1"/>
      <c r="C826" s="199"/>
      <c r="D826" s="1"/>
      <c r="E826" s="1"/>
      <c r="F826" s="1"/>
      <c r="G826" s="199"/>
      <c r="H826" s="1"/>
      <c r="I826" s="1"/>
      <c r="J826" s="1"/>
      <c r="K826" s="1"/>
      <c r="L826" s="1"/>
      <c r="M826" s="1"/>
      <c r="N826" s="10"/>
      <c r="O826" s="10"/>
      <c r="P826" s="10"/>
      <c r="Q826" s="10"/>
      <c r="R826" s="10"/>
      <c r="S826" s="10"/>
      <c r="T826" s="10"/>
      <c r="U826" s="1"/>
      <c r="V826" s="205"/>
      <c r="W826" s="205"/>
      <c r="X826" s="205"/>
      <c r="Y826" s="183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 ht="16.5" customHeight="1">
      <c r="A827" s="1"/>
      <c r="B827" s="1"/>
      <c r="C827" s="199"/>
      <c r="D827" s="1"/>
      <c r="E827" s="1"/>
      <c r="F827" s="1"/>
      <c r="G827" s="199"/>
      <c r="H827" s="1"/>
      <c r="I827" s="1"/>
      <c r="J827" s="1"/>
      <c r="K827" s="1"/>
      <c r="L827" s="1"/>
      <c r="M827" s="1"/>
      <c r="N827" s="10"/>
      <c r="O827" s="10"/>
      <c r="P827" s="10"/>
      <c r="Q827" s="10"/>
      <c r="R827" s="10"/>
      <c r="S827" s="10"/>
      <c r="T827" s="10"/>
      <c r="U827" s="1"/>
      <c r="V827" s="205"/>
      <c r="W827" s="205"/>
      <c r="X827" s="205"/>
      <c r="Y827" s="183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 ht="16.5" customHeight="1">
      <c r="A828" s="1"/>
      <c r="B828" s="1"/>
      <c r="C828" s="199"/>
      <c r="D828" s="1"/>
      <c r="E828" s="1"/>
      <c r="F828" s="1"/>
      <c r="G828" s="199"/>
      <c r="H828" s="1"/>
      <c r="I828" s="1"/>
      <c r="J828" s="1"/>
      <c r="K828" s="1"/>
      <c r="L828" s="1"/>
      <c r="M828" s="1"/>
      <c r="N828" s="10"/>
      <c r="O828" s="10"/>
      <c r="P828" s="10"/>
      <c r="Q828" s="10"/>
      <c r="R828" s="10"/>
      <c r="S828" s="10"/>
      <c r="T828" s="10"/>
      <c r="U828" s="1"/>
      <c r="V828" s="205"/>
      <c r="W828" s="205"/>
      <c r="X828" s="205"/>
      <c r="Y828" s="183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 ht="16.5" customHeight="1">
      <c r="A829" s="1"/>
      <c r="B829" s="1"/>
      <c r="C829" s="199"/>
      <c r="D829" s="1"/>
      <c r="E829" s="1"/>
      <c r="F829" s="1"/>
      <c r="G829" s="199"/>
      <c r="H829" s="1"/>
      <c r="I829" s="1"/>
      <c r="J829" s="1"/>
      <c r="K829" s="1"/>
      <c r="L829" s="1"/>
      <c r="M829" s="1"/>
      <c r="N829" s="10"/>
      <c r="O829" s="10"/>
      <c r="P829" s="10"/>
      <c r="Q829" s="10"/>
      <c r="R829" s="10"/>
      <c r="S829" s="10"/>
      <c r="T829" s="10"/>
      <c r="U829" s="1"/>
      <c r="V829" s="205"/>
      <c r="W829" s="205"/>
      <c r="X829" s="205"/>
      <c r="Y829" s="183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 ht="16.5" customHeight="1">
      <c r="A830" s="1"/>
      <c r="B830" s="1"/>
      <c r="C830" s="199"/>
      <c r="D830" s="1"/>
      <c r="E830" s="1"/>
      <c r="F830" s="1"/>
      <c r="G830" s="199"/>
      <c r="H830" s="1"/>
      <c r="I830" s="1"/>
      <c r="J830" s="1"/>
      <c r="K830" s="1"/>
      <c r="L830" s="1"/>
      <c r="M830" s="1"/>
      <c r="N830" s="10"/>
      <c r="O830" s="10"/>
      <c r="P830" s="10"/>
      <c r="Q830" s="10"/>
      <c r="R830" s="10"/>
      <c r="S830" s="10"/>
      <c r="T830" s="10"/>
      <c r="U830" s="1"/>
      <c r="V830" s="205"/>
      <c r="W830" s="205"/>
      <c r="X830" s="205"/>
      <c r="Y830" s="183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 ht="16.5" customHeight="1">
      <c r="A831" s="1"/>
      <c r="B831" s="1"/>
      <c r="C831" s="199"/>
      <c r="D831" s="1"/>
      <c r="E831" s="1"/>
      <c r="F831" s="1"/>
      <c r="G831" s="199"/>
      <c r="H831" s="1"/>
      <c r="I831" s="1"/>
      <c r="J831" s="1"/>
      <c r="K831" s="1"/>
      <c r="L831" s="1"/>
      <c r="M831" s="1"/>
      <c r="N831" s="10"/>
      <c r="O831" s="10"/>
      <c r="P831" s="10"/>
      <c r="Q831" s="10"/>
      <c r="R831" s="10"/>
      <c r="S831" s="10"/>
      <c r="T831" s="10"/>
      <c r="U831" s="1"/>
      <c r="V831" s="205"/>
      <c r="W831" s="205"/>
      <c r="X831" s="205"/>
      <c r="Y831" s="183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 ht="16.5" customHeight="1">
      <c r="A832" s="1"/>
      <c r="B832" s="1"/>
      <c r="C832" s="199"/>
      <c r="D832" s="1"/>
      <c r="E832" s="1"/>
      <c r="F832" s="1"/>
      <c r="G832" s="199"/>
      <c r="H832" s="1"/>
      <c r="I832" s="1"/>
      <c r="J832" s="1"/>
      <c r="K832" s="1"/>
      <c r="L832" s="1"/>
      <c r="M832" s="1"/>
      <c r="N832" s="10"/>
      <c r="O832" s="10"/>
      <c r="P832" s="10"/>
      <c r="Q832" s="10"/>
      <c r="R832" s="10"/>
      <c r="S832" s="10"/>
      <c r="T832" s="10"/>
      <c r="U832" s="1"/>
      <c r="V832" s="205"/>
      <c r="W832" s="205"/>
      <c r="X832" s="205"/>
      <c r="Y832" s="183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 ht="16.5" customHeight="1">
      <c r="A833" s="1"/>
      <c r="B833" s="1"/>
      <c r="C833" s="199"/>
      <c r="D833" s="1"/>
      <c r="E833" s="1"/>
      <c r="F833" s="1"/>
      <c r="G833" s="199"/>
      <c r="H833" s="1"/>
      <c r="I833" s="1"/>
      <c r="J833" s="1"/>
      <c r="K833" s="1"/>
      <c r="L833" s="1"/>
      <c r="M833" s="1"/>
      <c r="N833" s="10"/>
      <c r="O833" s="10"/>
      <c r="P833" s="10"/>
      <c r="Q833" s="10"/>
      <c r="R833" s="10"/>
      <c r="S833" s="10"/>
      <c r="T833" s="10"/>
      <c r="U833" s="1"/>
      <c r="V833" s="205"/>
      <c r="W833" s="205"/>
      <c r="X833" s="205"/>
      <c r="Y833" s="183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 ht="16.5" customHeight="1">
      <c r="A834" s="1"/>
      <c r="B834" s="1"/>
      <c r="C834" s="199"/>
      <c r="D834" s="1"/>
      <c r="E834" s="1"/>
      <c r="F834" s="1"/>
      <c r="G834" s="199"/>
      <c r="H834" s="1"/>
      <c r="I834" s="1"/>
      <c r="J834" s="1"/>
      <c r="K834" s="1"/>
      <c r="L834" s="1"/>
      <c r="M834" s="1"/>
      <c r="N834" s="10"/>
      <c r="O834" s="10"/>
      <c r="P834" s="10"/>
      <c r="Q834" s="10"/>
      <c r="R834" s="10"/>
      <c r="S834" s="10"/>
      <c r="T834" s="10"/>
      <c r="U834" s="1"/>
      <c r="V834" s="205"/>
      <c r="W834" s="205"/>
      <c r="X834" s="205"/>
      <c r="Y834" s="183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 ht="16.5" customHeight="1">
      <c r="A835" s="1"/>
      <c r="B835" s="1"/>
      <c r="C835" s="199"/>
      <c r="D835" s="1"/>
      <c r="E835" s="1"/>
      <c r="F835" s="1"/>
      <c r="G835" s="199"/>
      <c r="H835" s="1"/>
      <c r="I835" s="1"/>
      <c r="J835" s="1"/>
      <c r="K835" s="1"/>
      <c r="L835" s="1"/>
      <c r="M835" s="1"/>
      <c r="N835" s="10"/>
      <c r="O835" s="10"/>
      <c r="P835" s="10"/>
      <c r="Q835" s="10"/>
      <c r="R835" s="10"/>
      <c r="S835" s="10"/>
      <c r="T835" s="10"/>
      <c r="U835" s="1"/>
      <c r="V835" s="205"/>
      <c r="W835" s="205"/>
      <c r="X835" s="205"/>
      <c r="Y835" s="183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 ht="16.5" customHeight="1">
      <c r="A836" s="1"/>
      <c r="B836" s="1"/>
      <c r="C836" s="199"/>
      <c r="D836" s="1"/>
      <c r="E836" s="1"/>
      <c r="F836" s="1"/>
      <c r="G836" s="199"/>
      <c r="H836" s="1"/>
      <c r="I836" s="1"/>
      <c r="J836" s="1"/>
      <c r="K836" s="1"/>
      <c r="L836" s="1"/>
      <c r="M836" s="1"/>
      <c r="N836" s="10"/>
      <c r="O836" s="10"/>
      <c r="P836" s="10"/>
      <c r="Q836" s="10"/>
      <c r="R836" s="10"/>
      <c r="S836" s="10"/>
      <c r="T836" s="10"/>
      <c r="U836" s="1"/>
      <c r="V836" s="205"/>
      <c r="W836" s="205"/>
      <c r="X836" s="205"/>
      <c r="Y836" s="183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 ht="16.5" customHeight="1">
      <c r="A837" s="1"/>
      <c r="B837" s="1"/>
      <c r="C837" s="199"/>
      <c r="D837" s="1"/>
      <c r="E837" s="1"/>
      <c r="F837" s="1"/>
      <c r="G837" s="199"/>
      <c r="H837" s="1"/>
      <c r="I837" s="1"/>
      <c r="J837" s="1"/>
      <c r="K837" s="1"/>
      <c r="L837" s="1"/>
      <c r="M837" s="1"/>
      <c r="N837" s="10"/>
      <c r="O837" s="10"/>
      <c r="P837" s="10"/>
      <c r="Q837" s="10"/>
      <c r="R837" s="10"/>
      <c r="S837" s="10"/>
      <c r="T837" s="10"/>
      <c r="U837" s="1"/>
      <c r="V837" s="205"/>
      <c r="W837" s="205"/>
      <c r="X837" s="205"/>
      <c r="Y837" s="183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 ht="16.5" customHeight="1">
      <c r="A838" s="1"/>
      <c r="B838" s="1"/>
      <c r="C838" s="199"/>
      <c r="D838" s="1"/>
      <c r="E838" s="1"/>
      <c r="F838" s="1"/>
      <c r="G838" s="199"/>
      <c r="H838" s="1"/>
      <c r="I838" s="1"/>
      <c r="J838" s="1"/>
      <c r="K838" s="1"/>
      <c r="L838" s="1"/>
      <c r="M838" s="1"/>
      <c r="N838" s="10"/>
      <c r="O838" s="10"/>
      <c r="P838" s="10"/>
      <c r="Q838" s="10"/>
      <c r="R838" s="10"/>
      <c r="S838" s="10"/>
      <c r="T838" s="10"/>
      <c r="U838" s="1"/>
      <c r="V838" s="205"/>
      <c r="W838" s="205"/>
      <c r="X838" s="205"/>
      <c r="Y838" s="183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 ht="16.5" customHeight="1">
      <c r="A839" s="1"/>
      <c r="B839" s="1"/>
      <c r="C839" s="199"/>
      <c r="D839" s="1"/>
      <c r="E839" s="1"/>
      <c r="F839" s="1"/>
      <c r="G839" s="199"/>
      <c r="H839" s="1"/>
      <c r="I839" s="1"/>
      <c r="J839" s="1"/>
      <c r="K839" s="1"/>
      <c r="L839" s="1"/>
      <c r="M839" s="1"/>
      <c r="N839" s="10"/>
      <c r="O839" s="10"/>
      <c r="P839" s="10"/>
      <c r="Q839" s="10"/>
      <c r="R839" s="10"/>
      <c r="S839" s="10"/>
      <c r="T839" s="10"/>
      <c r="U839" s="1"/>
      <c r="V839" s="205"/>
      <c r="W839" s="205"/>
      <c r="X839" s="205"/>
      <c r="Y839" s="183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 ht="16.5" customHeight="1">
      <c r="A840" s="1"/>
      <c r="B840" s="1"/>
      <c r="C840" s="199"/>
      <c r="D840" s="1"/>
      <c r="E840" s="1"/>
      <c r="F840" s="1"/>
      <c r="G840" s="199"/>
      <c r="H840" s="1"/>
      <c r="I840" s="1"/>
      <c r="J840" s="1"/>
      <c r="K840" s="1"/>
      <c r="L840" s="1"/>
      <c r="M840" s="1"/>
      <c r="N840" s="10"/>
      <c r="O840" s="10"/>
      <c r="P840" s="10"/>
      <c r="Q840" s="10"/>
      <c r="R840" s="10"/>
      <c r="S840" s="10"/>
      <c r="T840" s="10"/>
      <c r="U840" s="1"/>
      <c r="V840" s="205"/>
      <c r="W840" s="205"/>
      <c r="X840" s="205"/>
      <c r="Y840" s="183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 ht="16.5" customHeight="1">
      <c r="A841" s="1"/>
      <c r="B841" s="1"/>
      <c r="C841" s="199"/>
      <c r="D841" s="1"/>
      <c r="E841" s="1"/>
      <c r="F841" s="1"/>
      <c r="G841" s="199"/>
      <c r="H841" s="1"/>
      <c r="I841" s="1"/>
      <c r="J841" s="1"/>
      <c r="K841" s="1"/>
      <c r="L841" s="1"/>
      <c r="M841" s="1"/>
      <c r="N841" s="10"/>
      <c r="O841" s="10"/>
      <c r="P841" s="10"/>
      <c r="Q841" s="10"/>
      <c r="R841" s="10"/>
      <c r="S841" s="10"/>
      <c r="T841" s="10"/>
      <c r="U841" s="1"/>
      <c r="V841" s="205"/>
      <c r="W841" s="205"/>
      <c r="X841" s="205"/>
      <c r="Y841" s="183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 ht="16.5" customHeight="1">
      <c r="A842" s="1"/>
      <c r="B842" s="1"/>
      <c r="C842" s="199"/>
      <c r="D842" s="1"/>
      <c r="E842" s="1"/>
      <c r="F842" s="1"/>
      <c r="G842" s="199"/>
      <c r="H842" s="1"/>
      <c r="I842" s="1"/>
      <c r="J842" s="1"/>
      <c r="K842" s="1"/>
      <c r="L842" s="1"/>
      <c r="M842" s="1"/>
      <c r="N842" s="10"/>
      <c r="O842" s="10"/>
      <c r="P842" s="10"/>
      <c r="Q842" s="10"/>
      <c r="R842" s="10"/>
      <c r="S842" s="10"/>
      <c r="T842" s="10"/>
      <c r="U842" s="1"/>
      <c r="V842" s="205"/>
      <c r="W842" s="205"/>
      <c r="X842" s="205"/>
      <c r="Y842" s="183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 ht="16.5" customHeight="1">
      <c r="A843" s="1"/>
      <c r="B843" s="1"/>
      <c r="C843" s="199"/>
      <c r="D843" s="1"/>
      <c r="E843" s="1"/>
      <c r="F843" s="1"/>
      <c r="G843" s="199"/>
      <c r="H843" s="1"/>
      <c r="I843" s="1"/>
      <c r="J843" s="1"/>
      <c r="K843" s="1"/>
      <c r="L843" s="1"/>
      <c r="M843" s="1"/>
      <c r="N843" s="10"/>
      <c r="O843" s="10"/>
      <c r="P843" s="10"/>
      <c r="Q843" s="10"/>
      <c r="R843" s="10"/>
      <c r="S843" s="10"/>
      <c r="T843" s="10"/>
      <c r="U843" s="1"/>
      <c r="V843" s="205"/>
      <c r="W843" s="205"/>
      <c r="X843" s="205"/>
      <c r="Y843" s="183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 ht="16.5" customHeight="1">
      <c r="A844" s="1"/>
      <c r="B844" s="1"/>
      <c r="C844" s="199"/>
      <c r="D844" s="1"/>
      <c r="E844" s="1"/>
      <c r="F844" s="1"/>
      <c r="G844" s="199"/>
      <c r="H844" s="1"/>
      <c r="I844" s="1"/>
      <c r="J844" s="1"/>
      <c r="K844" s="1"/>
      <c r="L844" s="1"/>
      <c r="M844" s="1"/>
      <c r="N844" s="10"/>
      <c r="O844" s="10"/>
      <c r="P844" s="10"/>
      <c r="Q844" s="10"/>
      <c r="R844" s="10"/>
      <c r="S844" s="10"/>
      <c r="T844" s="10"/>
      <c r="U844" s="1"/>
      <c r="V844" s="205"/>
      <c r="W844" s="205"/>
      <c r="X844" s="205"/>
      <c r="Y844" s="183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 ht="16.5" customHeight="1">
      <c r="A845" s="1"/>
      <c r="B845" s="1"/>
      <c r="C845" s="199"/>
      <c r="D845" s="1"/>
      <c r="E845" s="1"/>
      <c r="F845" s="1"/>
      <c r="G845" s="199"/>
      <c r="H845" s="1"/>
      <c r="I845" s="1"/>
      <c r="J845" s="1"/>
      <c r="K845" s="1"/>
      <c r="L845" s="1"/>
      <c r="M845" s="1"/>
      <c r="N845" s="10"/>
      <c r="O845" s="10"/>
      <c r="P845" s="10"/>
      <c r="Q845" s="10"/>
      <c r="R845" s="10"/>
      <c r="S845" s="10"/>
      <c r="T845" s="10"/>
      <c r="U845" s="1"/>
      <c r="V845" s="205"/>
      <c r="W845" s="205"/>
      <c r="X845" s="205"/>
      <c r="Y845" s="183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 ht="16.5" customHeight="1">
      <c r="A846" s="1"/>
      <c r="B846" s="1"/>
      <c r="C846" s="199"/>
      <c r="D846" s="1"/>
      <c r="E846" s="1"/>
      <c r="F846" s="1"/>
      <c r="G846" s="199"/>
      <c r="H846" s="1"/>
      <c r="I846" s="1"/>
      <c r="J846" s="1"/>
      <c r="K846" s="1"/>
      <c r="L846" s="1"/>
      <c r="M846" s="1"/>
      <c r="N846" s="10"/>
      <c r="O846" s="10"/>
      <c r="P846" s="10"/>
      <c r="Q846" s="10"/>
      <c r="R846" s="10"/>
      <c r="S846" s="10"/>
      <c r="T846" s="10"/>
      <c r="U846" s="1"/>
      <c r="V846" s="205"/>
      <c r="W846" s="205"/>
      <c r="X846" s="205"/>
      <c r="Y846" s="183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 ht="16.5" customHeight="1">
      <c r="A847" s="1"/>
      <c r="B847" s="1"/>
      <c r="C847" s="199"/>
      <c r="D847" s="1"/>
      <c r="E847" s="1"/>
      <c r="F847" s="1"/>
      <c r="G847" s="199"/>
      <c r="H847" s="1"/>
      <c r="I847" s="1"/>
      <c r="J847" s="1"/>
      <c r="K847" s="1"/>
      <c r="L847" s="1"/>
      <c r="M847" s="1"/>
      <c r="N847" s="10"/>
      <c r="O847" s="10"/>
      <c r="P847" s="10"/>
      <c r="Q847" s="10"/>
      <c r="R847" s="10"/>
      <c r="S847" s="10"/>
      <c r="T847" s="10"/>
      <c r="U847" s="1"/>
      <c r="V847" s="205"/>
      <c r="W847" s="205"/>
      <c r="X847" s="205"/>
      <c r="Y847" s="183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 ht="16.5" customHeight="1">
      <c r="A848" s="1"/>
      <c r="B848" s="1"/>
      <c r="C848" s="199"/>
      <c r="D848" s="1"/>
      <c r="E848" s="1"/>
      <c r="F848" s="1"/>
      <c r="G848" s="199"/>
      <c r="H848" s="1"/>
      <c r="I848" s="1"/>
      <c r="J848" s="1"/>
      <c r="K848" s="1"/>
      <c r="L848" s="1"/>
      <c r="M848" s="1"/>
      <c r="N848" s="10"/>
      <c r="O848" s="10"/>
      <c r="P848" s="10"/>
      <c r="Q848" s="10"/>
      <c r="R848" s="10"/>
      <c r="S848" s="10"/>
      <c r="T848" s="10"/>
      <c r="U848" s="1"/>
      <c r="V848" s="205"/>
      <c r="W848" s="205"/>
      <c r="X848" s="205"/>
      <c r="Y848" s="183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 ht="16.5" customHeight="1">
      <c r="A849" s="1"/>
      <c r="B849" s="1"/>
      <c r="C849" s="199"/>
      <c r="D849" s="1"/>
      <c r="E849" s="1"/>
      <c r="F849" s="1"/>
      <c r="G849" s="199"/>
      <c r="H849" s="1"/>
      <c r="I849" s="1"/>
      <c r="J849" s="1"/>
      <c r="K849" s="1"/>
      <c r="L849" s="1"/>
      <c r="M849" s="1"/>
      <c r="N849" s="10"/>
      <c r="O849" s="10"/>
      <c r="P849" s="10"/>
      <c r="Q849" s="10"/>
      <c r="R849" s="10"/>
      <c r="S849" s="10"/>
      <c r="T849" s="10"/>
      <c r="U849" s="1"/>
      <c r="V849" s="205"/>
      <c r="W849" s="205"/>
      <c r="X849" s="205"/>
      <c r="Y849" s="183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 ht="16.5" customHeight="1">
      <c r="A850" s="1"/>
      <c r="B850" s="1"/>
      <c r="C850" s="199"/>
      <c r="D850" s="1"/>
      <c r="E850" s="1"/>
      <c r="F850" s="1"/>
      <c r="G850" s="199"/>
      <c r="H850" s="1"/>
      <c r="I850" s="1"/>
      <c r="J850" s="1"/>
      <c r="K850" s="1"/>
      <c r="L850" s="1"/>
      <c r="M850" s="1"/>
      <c r="N850" s="10"/>
      <c r="O850" s="10"/>
      <c r="P850" s="10"/>
      <c r="Q850" s="10"/>
      <c r="R850" s="10"/>
      <c r="S850" s="10"/>
      <c r="T850" s="10"/>
      <c r="U850" s="1"/>
      <c r="V850" s="205"/>
      <c r="W850" s="205"/>
      <c r="X850" s="205"/>
      <c r="Y850" s="183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 ht="16.5" customHeight="1">
      <c r="A851" s="1"/>
      <c r="B851" s="1"/>
      <c r="C851" s="199"/>
      <c r="D851" s="1"/>
      <c r="E851" s="1"/>
      <c r="F851" s="1"/>
      <c r="G851" s="199"/>
      <c r="H851" s="1"/>
      <c r="I851" s="1"/>
      <c r="J851" s="1"/>
      <c r="K851" s="1"/>
      <c r="L851" s="1"/>
      <c r="M851" s="1"/>
      <c r="N851" s="10"/>
      <c r="O851" s="10"/>
      <c r="P851" s="10"/>
      <c r="Q851" s="10"/>
      <c r="R851" s="10"/>
      <c r="S851" s="10"/>
      <c r="T851" s="10"/>
      <c r="U851" s="1"/>
      <c r="V851" s="205"/>
      <c r="W851" s="205"/>
      <c r="X851" s="205"/>
      <c r="Y851" s="183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 ht="16.5" customHeight="1">
      <c r="A852" s="1"/>
      <c r="B852" s="1"/>
      <c r="C852" s="199"/>
      <c r="D852" s="1"/>
      <c r="E852" s="1"/>
      <c r="F852" s="1"/>
      <c r="G852" s="199"/>
      <c r="H852" s="1"/>
      <c r="I852" s="1"/>
      <c r="J852" s="1"/>
      <c r="K852" s="1"/>
      <c r="L852" s="1"/>
      <c r="M852" s="1"/>
      <c r="N852" s="10"/>
      <c r="O852" s="10"/>
      <c r="P852" s="10"/>
      <c r="Q852" s="10"/>
      <c r="R852" s="10"/>
      <c r="S852" s="10"/>
      <c r="T852" s="10"/>
      <c r="U852" s="1"/>
      <c r="V852" s="205"/>
      <c r="W852" s="205"/>
      <c r="X852" s="205"/>
      <c r="Y852" s="183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 ht="16.5" customHeight="1">
      <c r="A853" s="1"/>
      <c r="B853" s="1"/>
      <c r="C853" s="199"/>
      <c r="D853" s="1"/>
      <c r="E853" s="1"/>
      <c r="F853" s="1"/>
      <c r="G853" s="199"/>
      <c r="H853" s="1"/>
      <c r="I853" s="1"/>
      <c r="J853" s="1"/>
      <c r="K853" s="1"/>
      <c r="L853" s="1"/>
      <c r="M853" s="1"/>
      <c r="N853" s="10"/>
      <c r="O853" s="10"/>
      <c r="P853" s="10"/>
      <c r="Q853" s="10"/>
      <c r="R853" s="10"/>
      <c r="S853" s="10"/>
      <c r="T853" s="10"/>
      <c r="U853" s="1"/>
      <c r="V853" s="205"/>
      <c r="W853" s="205"/>
      <c r="X853" s="205"/>
      <c r="Y853" s="183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 ht="16.5" customHeight="1">
      <c r="A854" s="1"/>
      <c r="B854" s="1"/>
      <c r="C854" s="199"/>
      <c r="D854" s="1"/>
      <c r="E854" s="1"/>
      <c r="F854" s="1"/>
      <c r="G854" s="199"/>
      <c r="H854" s="1"/>
      <c r="I854" s="1"/>
      <c r="J854" s="1"/>
      <c r="K854" s="1"/>
      <c r="L854" s="1"/>
      <c r="M854" s="1"/>
      <c r="N854" s="10"/>
      <c r="O854" s="10"/>
      <c r="P854" s="10"/>
      <c r="Q854" s="10"/>
      <c r="R854" s="10"/>
      <c r="S854" s="10"/>
      <c r="T854" s="10"/>
      <c r="U854" s="1"/>
      <c r="V854" s="205"/>
      <c r="W854" s="205"/>
      <c r="X854" s="205"/>
      <c r="Y854" s="183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 ht="16.5" customHeight="1">
      <c r="A855" s="1"/>
      <c r="B855" s="1"/>
      <c r="C855" s="199"/>
      <c r="D855" s="1"/>
      <c r="E855" s="1"/>
      <c r="F855" s="1"/>
      <c r="G855" s="199"/>
      <c r="H855" s="1"/>
      <c r="I855" s="1"/>
      <c r="J855" s="1"/>
      <c r="K855" s="1"/>
      <c r="L855" s="1"/>
      <c r="M855" s="1"/>
      <c r="N855" s="10"/>
      <c r="O855" s="10"/>
      <c r="P855" s="10"/>
      <c r="Q855" s="10"/>
      <c r="R855" s="10"/>
      <c r="S855" s="10"/>
      <c r="T855" s="10"/>
      <c r="U855" s="1"/>
      <c r="V855" s="205"/>
      <c r="W855" s="205"/>
      <c r="X855" s="205"/>
      <c r="Y855" s="183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 ht="16.5" customHeight="1">
      <c r="A856" s="1"/>
      <c r="B856" s="1"/>
      <c r="C856" s="199"/>
      <c r="D856" s="1"/>
      <c r="E856" s="1"/>
      <c r="F856" s="1"/>
      <c r="G856" s="199"/>
      <c r="H856" s="1"/>
      <c r="I856" s="1"/>
      <c r="J856" s="1"/>
      <c r="K856" s="1"/>
      <c r="L856" s="1"/>
      <c r="M856" s="1"/>
      <c r="N856" s="10"/>
      <c r="O856" s="10"/>
      <c r="P856" s="10"/>
      <c r="Q856" s="10"/>
      <c r="R856" s="10"/>
      <c r="S856" s="10"/>
      <c r="T856" s="10"/>
      <c r="U856" s="1"/>
      <c r="V856" s="205"/>
      <c r="W856" s="205"/>
      <c r="X856" s="205"/>
      <c r="Y856" s="183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 ht="16.5" customHeight="1">
      <c r="A857" s="1"/>
      <c r="B857" s="1"/>
      <c r="C857" s="199"/>
      <c r="D857" s="1"/>
      <c r="E857" s="1"/>
      <c r="F857" s="1"/>
      <c r="G857" s="199"/>
      <c r="H857" s="1"/>
      <c r="I857" s="1"/>
      <c r="J857" s="1"/>
      <c r="K857" s="1"/>
      <c r="L857" s="1"/>
      <c r="M857" s="1"/>
      <c r="N857" s="10"/>
      <c r="O857" s="10"/>
      <c r="P857" s="10"/>
      <c r="Q857" s="10"/>
      <c r="R857" s="10"/>
      <c r="S857" s="10"/>
      <c r="T857" s="10"/>
      <c r="U857" s="1"/>
      <c r="V857" s="205"/>
      <c r="W857" s="205"/>
      <c r="X857" s="205"/>
      <c r="Y857" s="183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 ht="16.5" customHeight="1">
      <c r="A858" s="1"/>
      <c r="B858" s="1"/>
      <c r="C858" s="199"/>
      <c r="D858" s="1"/>
      <c r="E858" s="1"/>
      <c r="F858" s="1"/>
      <c r="G858" s="199"/>
      <c r="H858" s="1"/>
      <c r="I858" s="1"/>
      <c r="J858" s="1"/>
      <c r="K858" s="1"/>
      <c r="L858" s="1"/>
      <c r="M858" s="1"/>
      <c r="N858" s="10"/>
      <c r="O858" s="10"/>
      <c r="P858" s="10"/>
      <c r="Q858" s="10"/>
      <c r="R858" s="10"/>
      <c r="S858" s="10"/>
      <c r="T858" s="10"/>
      <c r="U858" s="1"/>
      <c r="V858" s="205"/>
      <c r="W858" s="205"/>
      <c r="X858" s="205"/>
      <c r="Y858" s="183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 ht="16.5" customHeight="1">
      <c r="A859" s="1"/>
      <c r="B859" s="1"/>
      <c r="C859" s="199"/>
      <c r="D859" s="1"/>
      <c r="E859" s="1"/>
      <c r="F859" s="1"/>
      <c r="G859" s="199"/>
      <c r="H859" s="1"/>
      <c r="I859" s="1"/>
      <c r="J859" s="1"/>
      <c r="K859" s="1"/>
      <c r="L859" s="1"/>
      <c r="M859" s="1"/>
      <c r="N859" s="10"/>
      <c r="O859" s="10"/>
      <c r="P859" s="10"/>
      <c r="Q859" s="10"/>
      <c r="R859" s="10"/>
      <c r="S859" s="10"/>
      <c r="T859" s="10"/>
      <c r="U859" s="1"/>
      <c r="V859" s="205"/>
      <c r="W859" s="205"/>
      <c r="X859" s="205"/>
      <c r="Y859" s="183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 ht="16.5" customHeight="1">
      <c r="A860" s="1"/>
      <c r="B860" s="1"/>
      <c r="C860" s="199"/>
      <c r="D860" s="1"/>
      <c r="E860" s="1"/>
      <c r="F860" s="1"/>
      <c r="G860" s="199"/>
      <c r="H860" s="1"/>
      <c r="I860" s="1"/>
      <c r="J860" s="1"/>
      <c r="K860" s="1"/>
      <c r="L860" s="1"/>
      <c r="M860" s="1"/>
      <c r="N860" s="10"/>
      <c r="O860" s="10"/>
      <c r="P860" s="10"/>
      <c r="Q860" s="10"/>
      <c r="R860" s="10"/>
      <c r="S860" s="10"/>
      <c r="T860" s="10"/>
      <c r="U860" s="1"/>
      <c r="V860" s="205"/>
      <c r="W860" s="205"/>
      <c r="X860" s="205"/>
      <c r="Y860" s="183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 ht="16.5" customHeight="1">
      <c r="A861" s="1"/>
      <c r="B861" s="1"/>
      <c r="C861" s="199"/>
      <c r="D861" s="1"/>
      <c r="E861" s="1"/>
      <c r="F861" s="1"/>
      <c r="G861" s="199"/>
      <c r="H861" s="1"/>
      <c r="I861" s="1"/>
      <c r="J861" s="1"/>
      <c r="K861" s="1"/>
      <c r="L861" s="1"/>
      <c r="M861" s="1"/>
      <c r="N861" s="10"/>
      <c r="O861" s="10"/>
      <c r="P861" s="10"/>
      <c r="Q861" s="10"/>
      <c r="R861" s="10"/>
      <c r="S861" s="10"/>
      <c r="T861" s="10"/>
      <c r="U861" s="1"/>
      <c r="V861" s="205"/>
      <c r="W861" s="205"/>
      <c r="X861" s="205"/>
      <c r="Y861" s="183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 ht="16.5" customHeight="1">
      <c r="A862" s="1"/>
      <c r="B862" s="1"/>
      <c r="C862" s="199"/>
      <c r="D862" s="1"/>
      <c r="E862" s="1"/>
      <c r="F862" s="1"/>
      <c r="G862" s="199"/>
      <c r="H862" s="1"/>
      <c r="I862" s="1"/>
      <c r="J862" s="1"/>
      <c r="K862" s="1"/>
      <c r="L862" s="1"/>
      <c r="M862" s="1"/>
      <c r="N862" s="10"/>
      <c r="O862" s="10"/>
      <c r="P862" s="10"/>
      <c r="Q862" s="10"/>
      <c r="R862" s="10"/>
      <c r="S862" s="10"/>
      <c r="T862" s="10"/>
      <c r="U862" s="1"/>
      <c r="V862" s="205"/>
      <c r="W862" s="205"/>
      <c r="X862" s="205"/>
      <c r="Y862" s="183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 ht="16.5" customHeight="1">
      <c r="A863" s="1"/>
      <c r="B863" s="1"/>
      <c r="C863" s="199"/>
      <c r="D863" s="1"/>
      <c r="E863" s="1"/>
      <c r="F863" s="1"/>
      <c r="G863" s="199"/>
      <c r="H863" s="1"/>
      <c r="I863" s="1"/>
      <c r="J863" s="1"/>
      <c r="K863" s="1"/>
      <c r="L863" s="1"/>
      <c r="M863" s="1"/>
      <c r="N863" s="10"/>
      <c r="O863" s="10"/>
      <c r="P863" s="10"/>
      <c r="Q863" s="10"/>
      <c r="R863" s="10"/>
      <c r="S863" s="10"/>
      <c r="T863" s="10"/>
      <c r="U863" s="1"/>
      <c r="V863" s="205"/>
      <c r="W863" s="205"/>
      <c r="X863" s="205"/>
      <c r="Y863" s="183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 ht="16.5" customHeight="1">
      <c r="A864" s="1"/>
      <c r="B864" s="1"/>
      <c r="C864" s="199"/>
      <c r="D864" s="1"/>
      <c r="E864" s="1"/>
      <c r="F864" s="1"/>
      <c r="G864" s="199"/>
      <c r="H864" s="1"/>
      <c r="I864" s="1"/>
      <c r="J864" s="1"/>
      <c r="K864" s="1"/>
      <c r="L864" s="1"/>
      <c r="M864" s="1"/>
      <c r="N864" s="10"/>
      <c r="O864" s="10"/>
      <c r="P864" s="10"/>
      <c r="Q864" s="10"/>
      <c r="R864" s="10"/>
      <c r="S864" s="10"/>
      <c r="T864" s="10"/>
      <c r="U864" s="1"/>
      <c r="V864" s="205"/>
      <c r="W864" s="205"/>
      <c r="X864" s="205"/>
      <c r="Y864" s="183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 ht="16.5" customHeight="1">
      <c r="A865" s="1"/>
      <c r="B865" s="1"/>
      <c r="C865" s="199"/>
      <c r="D865" s="1"/>
      <c r="E865" s="1"/>
      <c r="F865" s="1"/>
      <c r="G865" s="199"/>
      <c r="H865" s="1"/>
      <c r="I865" s="1"/>
      <c r="J865" s="1"/>
      <c r="K865" s="1"/>
      <c r="L865" s="1"/>
      <c r="M865" s="1"/>
      <c r="N865" s="10"/>
      <c r="O865" s="10"/>
      <c r="P865" s="10"/>
      <c r="Q865" s="10"/>
      <c r="R865" s="10"/>
      <c r="S865" s="10"/>
      <c r="T865" s="10"/>
      <c r="U865" s="1"/>
      <c r="V865" s="205"/>
      <c r="W865" s="205"/>
      <c r="X865" s="205"/>
      <c r="Y865" s="183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 ht="16.5" customHeight="1">
      <c r="A866" s="1"/>
      <c r="B866" s="1"/>
      <c r="C866" s="199"/>
      <c r="D866" s="1"/>
      <c r="E866" s="1"/>
      <c r="F866" s="1"/>
      <c r="G866" s="199"/>
      <c r="H866" s="1"/>
      <c r="I866" s="1"/>
      <c r="J866" s="1"/>
      <c r="K866" s="1"/>
      <c r="L866" s="1"/>
      <c r="M866" s="1"/>
      <c r="N866" s="10"/>
      <c r="O866" s="10"/>
      <c r="P866" s="10"/>
      <c r="Q866" s="10"/>
      <c r="R866" s="10"/>
      <c r="S866" s="10"/>
      <c r="T866" s="10"/>
      <c r="U866" s="1"/>
      <c r="V866" s="205"/>
      <c r="W866" s="205"/>
      <c r="X866" s="205"/>
      <c r="Y866" s="183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 ht="16.5" customHeight="1">
      <c r="A867" s="1"/>
      <c r="B867" s="1"/>
      <c r="C867" s="199"/>
      <c r="D867" s="1"/>
      <c r="E867" s="1"/>
      <c r="F867" s="1"/>
      <c r="G867" s="199"/>
      <c r="H867" s="1"/>
      <c r="I867" s="1"/>
      <c r="J867" s="1"/>
      <c r="K867" s="1"/>
      <c r="L867" s="1"/>
      <c r="M867" s="1"/>
      <c r="N867" s="10"/>
      <c r="O867" s="10"/>
      <c r="P867" s="10"/>
      <c r="Q867" s="10"/>
      <c r="R867" s="10"/>
      <c r="S867" s="10"/>
      <c r="T867" s="10"/>
      <c r="U867" s="1"/>
      <c r="V867" s="205"/>
      <c r="W867" s="205"/>
      <c r="X867" s="205"/>
      <c r="Y867" s="183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 ht="16.5" customHeight="1">
      <c r="A868" s="1"/>
      <c r="B868" s="1"/>
      <c r="C868" s="199"/>
      <c r="D868" s="1"/>
      <c r="E868" s="1"/>
      <c r="F868" s="1"/>
      <c r="G868" s="199"/>
      <c r="H868" s="1"/>
      <c r="I868" s="1"/>
      <c r="J868" s="1"/>
      <c r="K868" s="1"/>
      <c r="L868" s="1"/>
      <c r="M868" s="1"/>
      <c r="N868" s="10"/>
      <c r="O868" s="10"/>
      <c r="P868" s="10"/>
      <c r="Q868" s="10"/>
      <c r="R868" s="10"/>
      <c r="S868" s="10"/>
      <c r="T868" s="10"/>
      <c r="U868" s="1"/>
      <c r="V868" s="205"/>
      <c r="W868" s="205"/>
      <c r="X868" s="205"/>
      <c r="Y868" s="183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 ht="16.5" customHeight="1">
      <c r="A869" s="1"/>
      <c r="B869" s="1"/>
      <c r="C869" s="199"/>
      <c r="D869" s="1"/>
      <c r="E869" s="1"/>
      <c r="F869" s="1"/>
      <c r="G869" s="199"/>
      <c r="H869" s="1"/>
      <c r="I869" s="1"/>
      <c r="J869" s="1"/>
      <c r="K869" s="1"/>
      <c r="L869" s="1"/>
      <c r="M869" s="1"/>
      <c r="N869" s="10"/>
      <c r="O869" s="10"/>
      <c r="P869" s="10"/>
      <c r="Q869" s="10"/>
      <c r="R869" s="10"/>
      <c r="S869" s="10"/>
      <c r="T869" s="10"/>
      <c r="U869" s="1"/>
      <c r="V869" s="205"/>
      <c r="W869" s="205"/>
      <c r="X869" s="205"/>
      <c r="Y869" s="183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 ht="16.5" customHeight="1">
      <c r="A870" s="1"/>
      <c r="B870" s="1"/>
      <c r="C870" s="199"/>
      <c r="D870" s="1"/>
      <c r="E870" s="1"/>
      <c r="F870" s="1"/>
      <c r="G870" s="199"/>
      <c r="H870" s="1"/>
      <c r="I870" s="1"/>
      <c r="J870" s="1"/>
      <c r="K870" s="1"/>
      <c r="L870" s="1"/>
      <c r="M870" s="1"/>
      <c r="N870" s="10"/>
      <c r="O870" s="10"/>
      <c r="P870" s="10"/>
      <c r="Q870" s="10"/>
      <c r="R870" s="10"/>
      <c r="S870" s="10"/>
      <c r="T870" s="10"/>
      <c r="U870" s="1"/>
      <c r="V870" s="205"/>
      <c r="W870" s="205"/>
      <c r="X870" s="205"/>
      <c r="Y870" s="183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 ht="16.5" customHeight="1">
      <c r="A871" s="1"/>
      <c r="B871" s="1"/>
      <c r="C871" s="199"/>
      <c r="D871" s="1"/>
      <c r="E871" s="1"/>
      <c r="F871" s="1"/>
      <c r="G871" s="199"/>
      <c r="H871" s="1"/>
      <c r="I871" s="1"/>
      <c r="J871" s="1"/>
      <c r="K871" s="1"/>
      <c r="L871" s="1"/>
      <c r="M871" s="1"/>
      <c r="N871" s="10"/>
      <c r="O871" s="10"/>
      <c r="P871" s="10"/>
      <c r="Q871" s="10"/>
      <c r="R871" s="10"/>
      <c r="S871" s="10"/>
      <c r="T871" s="10"/>
      <c r="U871" s="1"/>
      <c r="V871" s="205"/>
      <c r="W871" s="205"/>
      <c r="X871" s="205"/>
      <c r="Y871" s="183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 ht="16.5" customHeight="1">
      <c r="A872" s="1"/>
      <c r="B872" s="1"/>
      <c r="C872" s="199"/>
      <c r="D872" s="1"/>
      <c r="E872" s="1"/>
      <c r="F872" s="1"/>
      <c r="G872" s="199"/>
      <c r="H872" s="1"/>
      <c r="I872" s="1"/>
      <c r="J872" s="1"/>
      <c r="K872" s="1"/>
      <c r="L872" s="1"/>
      <c r="M872" s="1"/>
      <c r="N872" s="10"/>
      <c r="O872" s="10"/>
      <c r="P872" s="10"/>
      <c r="Q872" s="10"/>
      <c r="R872" s="10"/>
      <c r="S872" s="10"/>
      <c r="T872" s="10"/>
      <c r="U872" s="1"/>
      <c r="V872" s="205"/>
      <c r="W872" s="205"/>
      <c r="X872" s="205"/>
      <c r="Y872" s="183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 ht="16.5" customHeight="1">
      <c r="A873" s="1"/>
      <c r="B873" s="1"/>
      <c r="C873" s="199"/>
      <c r="D873" s="1"/>
      <c r="E873" s="1"/>
      <c r="F873" s="1"/>
      <c r="G873" s="199"/>
      <c r="H873" s="1"/>
      <c r="I873" s="1"/>
      <c r="J873" s="1"/>
      <c r="K873" s="1"/>
      <c r="L873" s="1"/>
      <c r="M873" s="1"/>
      <c r="N873" s="10"/>
      <c r="O873" s="10"/>
      <c r="P873" s="10"/>
      <c r="Q873" s="10"/>
      <c r="R873" s="10"/>
      <c r="S873" s="10"/>
      <c r="T873" s="10"/>
      <c r="U873" s="1"/>
      <c r="V873" s="205"/>
      <c r="W873" s="205"/>
      <c r="X873" s="205"/>
      <c r="Y873" s="183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 ht="16.5" customHeight="1">
      <c r="A874" s="1"/>
      <c r="B874" s="1"/>
      <c r="C874" s="199"/>
      <c r="D874" s="1"/>
      <c r="E874" s="1"/>
      <c r="F874" s="1"/>
      <c r="G874" s="199"/>
      <c r="H874" s="1"/>
      <c r="I874" s="1"/>
      <c r="J874" s="1"/>
      <c r="K874" s="1"/>
      <c r="L874" s="1"/>
      <c r="M874" s="1"/>
      <c r="N874" s="10"/>
      <c r="O874" s="10"/>
      <c r="P874" s="10"/>
      <c r="Q874" s="10"/>
      <c r="R874" s="10"/>
      <c r="S874" s="10"/>
      <c r="T874" s="10"/>
      <c r="U874" s="1"/>
      <c r="V874" s="205"/>
      <c r="W874" s="205"/>
      <c r="X874" s="205"/>
      <c r="Y874" s="183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 ht="16.5" customHeight="1">
      <c r="A875" s="1"/>
      <c r="B875" s="1"/>
      <c r="C875" s="199"/>
      <c r="D875" s="1"/>
      <c r="E875" s="1"/>
      <c r="F875" s="1"/>
      <c r="G875" s="199"/>
      <c r="H875" s="1"/>
      <c r="I875" s="1"/>
      <c r="J875" s="1"/>
      <c r="K875" s="1"/>
      <c r="L875" s="1"/>
      <c r="M875" s="1"/>
      <c r="N875" s="10"/>
      <c r="O875" s="10"/>
      <c r="P875" s="10"/>
      <c r="Q875" s="10"/>
      <c r="R875" s="10"/>
      <c r="S875" s="10"/>
      <c r="T875" s="10"/>
      <c r="U875" s="1"/>
      <c r="V875" s="205"/>
      <c r="W875" s="205"/>
      <c r="X875" s="205"/>
      <c r="Y875" s="183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 ht="16.5" customHeight="1">
      <c r="A876" s="1"/>
      <c r="B876" s="1"/>
      <c r="C876" s="199"/>
      <c r="D876" s="1"/>
      <c r="E876" s="1"/>
      <c r="F876" s="1"/>
      <c r="G876" s="199"/>
      <c r="H876" s="1"/>
      <c r="I876" s="1"/>
      <c r="J876" s="1"/>
      <c r="K876" s="1"/>
      <c r="L876" s="1"/>
      <c r="M876" s="1"/>
      <c r="N876" s="10"/>
      <c r="O876" s="10"/>
      <c r="P876" s="10"/>
      <c r="Q876" s="10"/>
      <c r="R876" s="10"/>
      <c r="S876" s="10"/>
      <c r="T876" s="10"/>
      <c r="U876" s="1"/>
      <c r="V876" s="205"/>
      <c r="W876" s="205"/>
      <c r="X876" s="205"/>
      <c r="Y876" s="183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 ht="16.5" customHeight="1">
      <c r="A877" s="1"/>
      <c r="B877" s="1"/>
      <c r="C877" s="199"/>
      <c r="D877" s="1"/>
      <c r="E877" s="1"/>
      <c r="F877" s="1"/>
      <c r="G877" s="199"/>
      <c r="H877" s="1"/>
      <c r="I877" s="1"/>
      <c r="J877" s="1"/>
      <c r="K877" s="1"/>
      <c r="L877" s="1"/>
      <c r="M877" s="1"/>
      <c r="N877" s="10"/>
      <c r="O877" s="10"/>
      <c r="P877" s="10"/>
      <c r="Q877" s="10"/>
      <c r="R877" s="10"/>
      <c r="S877" s="10"/>
      <c r="T877" s="10"/>
      <c r="U877" s="1"/>
      <c r="V877" s="205"/>
      <c r="W877" s="205"/>
      <c r="X877" s="205"/>
      <c r="Y877" s="183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 ht="16.5" customHeight="1">
      <c r="A878" s="1"/>
      <c r="B878" s="1"/>
      <c r="C878" s="199"/>
      <c r="D878" s="1"/>
      <c r="E878" s="1"/>
      <c r="F878" s="1"/>
      <c r="G878" s="199"/>
      <c r="H878" s="1"/>
      <c r="I878" s="1"/>
      <c r="J878" s="1"/>
      <c r="K878" s="1"/>
      <c r="L878" s="1"/>
      <c r="M878" s="1"/>
      <c r="N878" s="10"/>
      <c r="O878" s="10"/>
      <c r="P878" s="10"/>
      <c r="Q878" s="10"/>
      <c r="R878" s="10"/>
      <c r="S878" s="10"/>
      <c r="T878" s="10"/>
      <c r="U878" s="1"/>
      <c r="V878" s="205"/>
      <c r="W878" s="205"/>
      <c r="X878" s="205"/>
      <c r="Y878" s="183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 ht="16.5" customHeight="1">
      <c r="A879" s="1"/>
      <c r="B879" s="1"/>
      <c r="C879" s="199"/>
      <c r="D879" s="1"/>
      <c r="E879" s="1"/>
      <c r="F879" s="1"/>
      <c r="G879" s="199"/>
      <c r="H879" s="1"/>
      <c r="I879" s="1"/>
      <c r="J879" s="1"/>
      <c r="K879" s="1"/>
      <c r="L879" s="1"/>
      <c r="M879" s="1"/>
      <c r="N879" s="10"/>
      <c r="O879" s="10"/>
      <c r="P879" s="10"/>
      <c r="Q879" s="10"/>
      <c r="R879" s="10"/>
      <c r="S879" s="10"/>
      <c r="T879" s="10"/>
      <c r="U879" s="1"/>
      <c r="V879" s="205"/>
      <c r="W879" s="205"/>
      <c r="X879" s="205"/>
      <c r="Y879" s="183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 ht="16.5" customHeight="1">
      <c r="A880" s="1"/>
      <c r="B880" s="1"/>
      <c r="C880" s="199"/>
      <c r="D880" s="1"/>
      <c r="E880" s="1"/>
      <c r="F880" s="1"/>
      <c r="G880" s="199"/>
      <c r="H880" s="1"/>
      <c r="I880" s="1"/>
      <c r="J880" s="1"/>
      <c r="K880" s="1"/>
      <c r="L880" s="1"/>
      <c r="M880" s="1"/>
      <c r="N880" s="10"/>
      <c r="O880" s="10"/>
      <c r="P880" s="10"/>
      <c r="Q880" s="10"/>
      <c r="R880" s="10"/>
      <c r="S880" s="10"/>
      <c r="T880" s="10"/>
      <c r="U880" s="1"/>
      <c r="V880" s="205"/>
      <c r="W880" s="205"/>
      <c r="X880" s="205"/>
      <c r="Y880" s="183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 ht="16.5" customHeight="1">
      <c r="A881" s="1"/>
      <c r="B881" s="1"/>
      <c r="C881" s="199"/>
      <c r="D881" s="1"/>
      <c r="E881" s="1"/>
      <c r="F881" s="1"/>
      <c r="G881" s="199"/>
      <c r="H881" s="1"/>
      <c r="I881" s="1"/>
      <c r="J881" s="1"/>
      <c r="K881" s="1"/>
      <c r="L881" s="1"/>
      <c r="M881" s="1"/>
      <c r="N881" s="10"/>
      <c r="O881" s="10"/>
      <c r="P881" s="10"/>
      <c r="Q881" s="10"/>
      <c r="R881" s="10"/>
      <c r="S881" s="10"/>
      <c r="T881" s="10"/>
      <c r="U881" s="1"/>
      <c r="V881" s="205"/>
      <c r="W881" s="205"/>
      <c r="X881" s="205"/>
      <c r="Y881" s="183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 ht="16.5" customHeight="1">
      <c r="A882" s="1"/>
      <c r="B882" s="1"/>
      <c r="C882" s="199"/>
      <c r="D882" s="1"/>
      <c r="E882" s="1"/>
      <c r="F882" s="1"/>
      <c r="G882" s="199"/>
      <c r="H882" s="1"/>
      <c r="I882" s="1"/>
      <c r="J882" s="1"/>
      <c r="K882" s="1"/>
      <c r="L882" s="1"/>
      <c r="M882" s="1"/>
      <c r="N882" s="10"/>
      <c r="O882" s="10"/>
      <c r="P882" s="10"/>
      <c r="Q882" s="10"/>
      <c r="R882" s="10"/>
      <c r="S882" s="10"/>
      <c r="T882" s="10"/>
      <c r="U882" s="1"/>
      <c r="V882" s="205"/>
      <c r="W882" s="205"/>
      <c r="X882" s="205"/>
      <c r="Y882" s="183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 ht="16.5" customHeight="1">
      <c r="A883" s="1"/>
      <c r="B883" s="1"/>
      <c r="C883" s="199"/>
      <c r="D883" s="1"/>
      <c r="E883" s="1"/>
      <c r="F883" s="1"/>
      <c r="G883" s="199"/>
      <c r="H883" s="1"/>
      <c r="I883" s="1"/>
      <c r="J883" s="1"/>
      <c r="K883" s="1"/>
      <c r="L883" s="1"/>
      <c r="M883" s="1"/>
      <c r="N883" s="10"/>
      <c r="O883" s="10"/>
      <c r="P883" s="10"/>
      <c r="Q883" s="10"/>
      <c r="R883" s="10"/>
      <c r="S883" s="10"/>
      <c r="T883" s="10"/>
      <c r="U883" s="1"/>
      <c r="V883" s="205"/>
      <c r="W883" s="205"/>
      <c r="X883" s="205"/>
      <c r="Y883" s="183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 ht="16.5" customHeight="1">
      <c r="A884" s="1"/>
      <c r="B884" s="1"/>
      <c r="C884" s="199"/>
      <c r="D884" s="1"/>
      <c r="E884" s="1"/>
      <c r="F884" s="1"/>
      <c r="G884" s="199"/>
      <c r="H884" s="1"/>
      <c r="I884" s="1"/>
      <c r="J884" s="1"/>
      <c r="K884" s="1"/>
      <c r="L884" s="1"/>
      <c r="M884" s="1"/>
      <c r="N884" s="10"/>
      <c r="O884" s="10"/>
      <c r="P884" s="10"/>
      <c r="Q884" s="10"/>
      <c r="R884" s="10"/>
      <c r="S884" s="10"/>
      <c r="T884" s="10"/>
      <c r="U884" s="1"/>
      <c r="V884" s="205"/>
      <c r="W884" s="205"/>
      <c r="X884" s="205"/>
      <c r="Y884" s="183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 ht="16.5" customHeight="1">
      <c r="A885" s="1"/>
      <c r="B885" s="1"/>
      <c r="C885" s="199"/>
      <c r="D885" s="1"/>
      <c r="E885" s="1"/>
      <c r="F885" s="1"/>
      <c r="G885" s="199"/>
      <c r="H885" s="1"/>
      <c r="I885" s="1"/>
      <c r="J885" s="1"/>
      <c r="K885" s="1"/>
      <c r="L885" s="1"/>
      <c r="M885" s="1"/>
      <c r="N885" s="10"/>
      <c r="O885" s="10"/>
      <c r="P885" s="10"/>
      <c r="Q885" s="10"/>
      <c r="R885" s="10"/>
      <c r="S885" s="10"/>
      <c r="T885" s="10"/>
      <c r="U885" s="1"/>
      <c r="V885" s="205"/>
      <c r="W885" s="205"/>
      <c r="X885" s="205"/>
      <c r="Y885" s="183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 ht="16.5" customHeight="1">
      <c r="A886" s="1"/>
      <c r="B886" s="1"/>
      <c r="C886" s="199"/>
      <c r="D886" s="1"/>
      <c r="E886" s="1"/>
      <c r="F886" s="1"/>
      <c r="G886" s="199"/>
      <c r="H886" s="1"/>
      <c r="I886" s="1"/>
      <c r="J886" s="1"/>
      <c r="K886" s="1"/>
      <c r="L886" s="1"/>
      <c r="M886" s="1"/>
      <c r="N886" s="10"/>
      <c r="O886" s="10"/>
      <c r="P886" s="10"/>
      <c r="Q886" s="10"/>
      <c r="R886" s="10"/>
      <c r="S886" s="10"/>
      <c r="T886" s="10"/>
      <c r="U886" s="1"/>
      <c r="V886" s="205"/>
      <c r="W886" s="205"/>
      <c r="X886" s="205"/>
      <c r="Y886" s="183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 ht="16.5" customHeight="1">
      <c r="A887" s="1"/>
      <c r="B887" s="1"/>
      <c r="C887" s="199"/>
      <c r="D887" s="1"/>
      <c r="E887" s="1"/>
      <c r="F887" s="1"/>
      <c r="G887" s="199"/>
      <c r="H887" s="1"/>
      <c r="I887" s="1"/>
      <c r="J887" s="1"/>
      <c r="K887" s="1"/>
      <c r="L887" s="1"/>
      <c r="M887" s="1"/>
      <c r="N887" s="10"/>
      <c r="O887" s="10"/>
      <c r="P887" s="10"/>
      <c r="Q887" s="10"/>
      <c r="R887" s="10"/>
      <c r="S887" s="10"/>
      <c r="T887" s="10"/>
      <c r="U887" s="1"/>
      <c r="V887" s="205"/>
      <c r="W887" s="205"/>
      <c r="X887" s="205"/>
      <c r="Y887" s="183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 ht="16.5" customHeight="1">
      <c r="A888" s="1"/>
      <c r="B888" s="1"/>
      <c r="C888" s="199"/>
      <c r="D888" s="1"/>
      <c r="E888" s="1"/>
      <c r="F888" s="1"/>
      <c r="G888" s="199"/>
      <c r="H888" s="1"/>
      <c r="I888" s="1"/>
      <c r="J888" s="1"/>
      <c r="K888" s="1"/>
      <c r="L888" s="1"/>
      <c r="M888" s="1"/>
      <c r="N888" s="10"/>
      <c r="O888" s="10"/>
      <c r="P888" s="10"/>
      <c r="Q888" s="10"/>
      <c r="R888" s="10"/>
      <c r="S888" s="10"/>
      <c r="T888" s="10"/>
      <c r="U888" s="1"/>
      <c r="V888" s="205"/>
      <c r="W888" s="205"/>
      <c r="X888" s="205"/>
      <c r="Y888" s="183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 ht="16.5" customHeight="1">
      <c r="A889" s="1"/>
      <c r="B889" s="1"/>
      <c r="C889" s="199"/>
      <c r="D889" s="1"/>
      <c r="E889" s="1"/>
      <c r="F889" s="1"/>
      <c r="G889" s="199"/>
      <c r="H889" s="1"/>
      <c r="I889" s="1"/>
      <c r="J889" s="1"/>
      <c r="K889" s="1"/>
      <c r="L889" s="1"/>
      <c r="M889" s="1"/>
      <c r="N889" s="10"/>
      <c r="O889" s="10"/>
      <c r="P889" s="10"/>
      <c r="Q889" s="10"/>
      <c r="R889" s="10"/>
      <c r="S889" s="10"/>
      <c r="T889" s="10"/>
      <c r="U889" s="1"/>
      <c r="V889" s="205"/>
      <c r="W889" s="205"/>
      <c r="X889" s="205"/>
      <c r="Y889" s="183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 ht="16.5" customHeight="1">
      <c r="A890" s="1"/>
      <c r="B890" s="1"/>
      <c r="C890" s="199"/>
      <c r="D890" s="1"/>
      <c r="E890" s="1"/>
      <c r="F890" s="1"/>
      <c r="G890" s="199"/>
      <c r="H890" s="1"/>
      <c r="I890" s="1"/>
      <c r="J890" s="1"/>
      <c r="K890" s="1"/>
      <c r="L890" s="1"/>
      <c r="M890" s="1"/>
      <c r="N890" s="10"/>
      <c r="O890" s="10"/>
      <c r="P890" s="10"/>
      <c r="Q890" s="10"/>
      <c r="R890" s="10"/>
      <c r="S890" s="10"/>
      <c r="T890" s="10"/>
      <c r="U890" s="1"/>
      <c r="V890" s="205"/>
      <c r="W890" s="205"/>
      <c r="X890" s="205"/>
      <c r="Y890" s="183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 ht="16.5" customHeight="1">
      <c r="A891" s="1"/>
      <c r="B891" s="1"/>
      <c r="C891" s="199"/>
      <c r="D891" s="1"/>
      <c r="E891" s="1"/>
      <c r="F891" s="1"/>
      <c r="G891" s="199"/>
      <c r="H891" s="1"/>
      <c r="I891" s="1"/>
      <c r="J891" s="1"/>
      <c r="K891" s="1"/>
      <c r="L891" s="1"/>
      <c r="M891" s="1"/>
      <c r="N891" s="10"/>
      <c r="O891" s="10"/>
      <c r="P891" s="10"/>
      <c r="Q891" s="10"/>
      <c r="R891" s="10"/>
      <c r="S891" s="10"/>
      <c r="T891" s="10"/>
      <c r="U891" s="1"/>
      <c r="V891" s="205"/>
      <c r="W891" s="205"/>
      <c r="X891" s="205"/>
      <c r="Y891" s="183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 ht="16.5" customHeight="1">
      <c r="A892" s="1"/>
      <c r="B892" s="1"/>
      <c r="C892" s="199"/>
      <c r="D892" s="1"/>
      <c r="E892" s="1"/>
      <c r="F892" s="1"/>
      <c r="G892" s="199"/>
      <c r="H892" s="1"/>
      <c r="I892" s="1"/>
      <c r="J892" s="1"/>
      <c r="K892" s="1"/>
      <c r="L892" s="1"/>
      <c r="M892" s="1"/>
      <c r="N892" s="10"/>
      <c r="O892" s="10"/>
      <c r="P892" s="10"/>
      <c r="Q892" s="10"/>
      <c r="R892" s="10"/>
      <c r="S892" s="10"/>
      <c r="T892" s="10"/>
      <c r="U892" s="1"/>
      <c r="V892" s="205"/>
      <c r="W892" s="205"/>
      <c r="X892" s="205"/>
      <c r="Y892" s="183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 ht="16.5" customHeight="1">
      <c r="A893" s="1"/>
      <c r="B893" s="1"/>
      <c r="C893" s="199"/>
      <c r="D893" s="1"/>
      <c r="E893" s="1"/>
      <c r="F893" s="1"/>
      <c r="G893" s="199"/>
      <c r="H893" s="1"/>
      <c r="I893" s="1"/>
      <c r="J893" s="1"/>
      <c r="K893" s="1"/>
      <c r="L893" s="1"/>
      <c r="M893" s="1"/>
      <c r="N893" s="10"/>
      <c r="O893" s="10"/>
      <c r="P893" s="10"/>
      <c r="Q893" s="10"/>
      <c r="R893" s="10"/>
      <c r="S893" s="10"/>
      <c r="T893" s="10"/>
      <c r="U893" s="1"/>
      <c r="V893" s="205"/>
      <c r="W893" s="205"/>
      <c r="X893" s="205"/>
      <c r="Y893" s="183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 ht="16.5" customHeight="1">
      <c r="A894" s="1"/>
      <c r="B894" s="1"/>
      <c r="C894" s="199"/>
      <c r="D894" s="1"/>
      <c r="E894" s="1"/>
      <c r="F894" s="1"/>
      <c r="G894" s="199"/>
      <c r="H894" s="1"/>
      <c r="I894" s="1"/>
      <c r="J894" s="1"/>
      <c r="K894" s="1"/>
      <c r="L894" s="1"/>
      <c r="M894" s="1"/>
      <c r="N894" s="10"/>
      <c r="O894" s="10"/>
      <c r="P894" s="10"/>
      <c r="Q894" s="10"/>
      <c r="R894" s="10"/>
      <c r="S894" s="10"/>
      <c r="T894" s="10"/>
      <c r="U894" s="1"/>
      <c r="V894" s="205"/>
      <c r="W894" s="205"/>
      <c r="X894" s="205"/>
      <c r="Y894" s="183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 ht="16.5" customHeight="1">
      <c r="A895" s="1"/>
      <c r="B895" s="1"/>
      <c r="C895" s="199"/>
      <c r="D895" s="1"/>
      <c r="E895" s="1"/>
      <c r="F895" s="1"/>
      <c r="G895" s="199"/>
      <c r="H895" s="1"/>
      <c r="I895" s="1"/>
      <c r="J895" s="1"/>
      <c r="K895" s="1"/>
      <c r="L895" s="1"/>
      <c r="M895" s="1"/>
      <c r="N895" s="10"/>
      <c r="O895" s="10"/>
      <c r="P895" s="10"/>
      <c r="Q895" s="10"/>
      <c r="R895" s="10"/>
      <c r="S895" s="10"/>
      <c r="T895" s="10"/>
      <c r="U895" s="1"/>
      <c r="V895" s="205"/>
      <c r="W895" s="205"/>
      <c r="X895" s="205"/>
      <c r="Y895" s="183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 ht="16.5" customHeight="1">
      <c r="A896" s="1"/>
      <c r="B896" s="1"/>
      <c r="C896" s="199"/>
      <c r="D896" s="1"/>
      <c r="E896" s="1"/>
      <c r="F896" s="1"/>
      <c r="G896" s="199"/>
      <c r="H896" s="1"/>
      <c r="I896" s="1"/>
      <c r="J896" s="1"/>
      <c r="K896" s="1"/>
      <c r="L896" s="1"/>
      <c r="M896" s="1"/>
      <c r="N896" s="10"/>
      <c r="O896" s="10"/>
      <c r="P896" s="10"/>
      <c r="Q896" s="10"/>
      <c r="R896" s="10"/>
      <c r="S896" s="10"/>
      <c r="T896" s="10"/>
      <c r="U896" s="1"/>
      <c r="V896" s="205"/>
      <c r="W896" s="205"/>
      <c r="X896" s="205"/>
      <c r="Y896" s="183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 ht="16.5" customHeight="1">
      <c r="A897" s="1"/>
      <c r="B897" s="1"/>
      <c r="C897" s="199"/>
      <c r="D897" s="1"/>
      <c r="E897" s="1"/>
      <c r="F897" s="1"/>
      <c r="G897" s="199"/>
      <c r="H897" s="1"/>
      <c r="I897" s="1"/>
      <c r="J897" s="1"/>
      <c r="K897" s="1"/>
      <c r="L897" s="1"/>
      <c r="M897" s="1"/>
      <c r="N897" s="10"/>
      <c r="O897" s="10"/>
      <c r="P897" s="10"/>
      <c r="Q897" s="10"/>
      <c r="R897" s="10"/>
      <c r="S897" s="10"/>
      <c r="T897" s="10"/>
      <c r="U897" s="1"/>
      <c r="V897" s="205"/>
      <c r="W897" s="205"/>
      <c r="X897" s="205"/>
      <c r="Y897" s="183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 ht="16.5" customHeight="1">
      <c r="A898" s="1"/>
      <c r="B898" s="1"/>
      <c r="C898" s="199"/>
      <c r="D898" s="1"/>
      <c r="E898" s="1"/>
      <c r="F898" s="1"/>
      <c r="G898" s="199"/>
      <c r="H898" s="1"/>
      <c r="I898" s="1"/>
      <c r="J898" s="1"/>
      <c r="K898" s="1"/>
      <c r="L898" s="1"/>
      <c r="M898" s="1"/>
      <c r="N898" s="10"/>
      <c r="O898" s="10"/>
      <c r="P898" s="10"/>
      <c r="Q898" s="10"/>
      <c r="R898" s="10"/>
      <c r="S898" s="10"/>
      <c r="T898" s="10"/>
      <c r="U898" s="1"/>
      <c r="V898" s="205"/>
      <c r="W898" s="205"/>
      <c r="X898" s="205"/>
      <c r="Y898" s="183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 ht="16.5" customHeight="1">
      <c r="A899" s="1"/>
      <c r="B899" s="1"/>
      <c r="C899" s="199"/>
      <c r="D899" s="1"/>
      <c r="E899" s="1"/>
      <c r="F899" s="1"/>
      <c r="G899" s="199"/>
      <c r="H899" s="1"/>
      <c r="I899" s="1"/>
      <c r="J899" s="1"/>
      <c r="K899" s="1"/>
      <c r="L899" s="1"/>
      <c r="M899" s="1"/>
      <c r="N899" s="10"/>
      <c r="O899" s="10"/>
      <c r="P899" s="10"/>
      <c r="Q899" s="10"/>
      <c r="R899" s="10"/>
      <c r="S899" s="10"/>
      <c r="T899" s="10"/>
      <c r="U899" s="1"/>
      <c r="V899" s="205"/>
      <c r="W899" s="205"/>
      <c r="X899" s="205"/>
      <c r="Y899" s="183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 ht="16.5" customHeight="1">
      <c r="A900" s="1"/>
      <c r="B900" s="1"/>
      <c r="C900" s="199"/>
      <c r="D900" s="1"/>
      <c r="E900" s="1"/>
      <c r="F900" s="1"/>
      <c r="G900" s="199"/>
      <c r="H900" s="1"/>
      <c r="I900" s="1"/>
      <c r="J900" s="1"/>
      <c r="K900" s="1"/>
      <c r="L900" s="1"/>
      <c r="M900" s="1"/>
      <c r="N900" s="10"/>
      <c r="O900" s="10"/>
      <c r="P900" s="10"/>
      <c r="Q900" s="10"/>
      <c r="R900" s="10"/>
      <c r="S900" s="10"/>
      <c r="T900" s="10"/>
      <c r="U900" s="1"/>
      <c r="V900" s="205"/>
      <c r="W900" s="205"/>
      <c r="X900" s="205"/>
      <c r="Y900" s="183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 ht="16.5" customHeight="1">
      <c r="A901" s="1"/>
      <c r="B901" s="1"/>
      <c r="C901" s="199"/>
      <c r="D901" s="1"/>
      <c r="E901" s="1"/>
      <c r="F901" s="1"/>
      <c r="G901" s="199"/>
      <c r="H901" s="1"/>
      <c r="I901" s="1"/>
      <c r="J901" s="1"/>
      <c r="K901" s="1"/>
      <c r="L901" s="1"/>
      <c r="M901" s="1"/>
      <c r="N901" s="10"/>
      <c r="O901" s="10"/>
      <c r="P901" s="10"/>
      <c r="Q901" s="10"/>
      <c r="R901" s="10"/>
      <c r="S901" s="10"/>
      <c r="T901" s="10"/>
      <c r="U901" s="1"/>
      <c r="V901" s="205"/>
      <c r="W901" s="205"/>
      <c r="X901" s="205"/>
      <c r="Y901" s="183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 ht="16.5" customHeight="1">
      <c r="A902" s="1"/>
      <c r="B902" s="1"/>
      <c r="C902" s="199"/>
      <c r="D902" s="1"/>
      <c r="E902" s="1"/>
      <c r="F902" s="1"/>
      <c r="G902" s="199"/>
      <c r="H902" s="1"/>
      <c r="I902" s="1"/>
      <c r="J902" s="1"/>
      <c r="K902" s="1"/>
      <c r="L902" s="1"/>
      <c r="M902" s="1"/>
      <c r="N902" s="10"/>
      <c r="O902" s="10"/>
      <c r="P902" s="10"/>
      <c r="Q902" s="10"/>
      <c r="R902" s="10"/>
      <c r="S902" s="10"/>
      <c r="T902" s="10"/>
      <c r="U902" s="1"/>
      <c r="V902" s="205"/>
      <c r="W902" s="205"/>
      <c r="X902" s="205"/>
      <c r="Y902" s="183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 ht="16.5" customHeight="1">
      <c r="A903" s="1"/>
      <c r="B903" s="1"/>
      <c r="C903" s="199"/>
      <c r="D903" s="1"/>
      <c r="E903" s="1"/>
      <c r="F903" s="1"/>
      <c r="G903" s="199"/>
      <c r="H903" s="1"/>
      <c r="I903" s="1"/>
      <c r="J903" s="1"/>
      <c r="K903" s="1"/>
      <c r="L903" s="1"/>
      <c r="M903" s="1"/>
      <c r="N903" s="10"/>
      <c r="O903" s="10"/>
      <c r="P903" s="10"/>
      <c r="Q903" s="10"/>
      <c r="R903" s="10"/>
      <c r="S903" s="10"/>
      <c r="T903" s="10"/>
      <c r="U903" s="1"/>
      <c r="V903" s="205"/>
      <c r="W903" s="205"/>
      <c r="X903" s="205"/>
      <c r="Y903" s="183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 ht="16.5" customHeight="1">
      <c r="A904" s="1"/>
      <c r="B904" s="1"/>
      <c r="C904" s="199"/>
      <c r="D904" s="1"/>
      <c r="E904" s="1"/>
      <c r="F904" s="1"/>
      <c r="G904" s="199"/>
      <c r="H904" s="1"/>
      <c r="I904" s="1"/>
      <c r="J904" s="1"/>
      <c r="K904" s="1"/>
      <c r="L904" s="1"/>
      <c r="M904" s="1"/>
      <c r="N904" s="10"/>
      <c r="O904" s="10"/>
      <c r="P904" s="10"/>
      <c r="Q904" s="10"/>
      <c r="R904" s="10"/>
      <c r="S904" s="10"/>
      <c r="T904" s="10"/>
      <c r="U904" s="1"/>
      <c r="V904" s="205"/>
      <c r="W904" s="205"/>
      <c r="X904" s="205"/>
      <c r="Y904" s="183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 ht="16.5" customHeight="1">
      <c r="A905" s="1"/>
      <c r="B905" s="1"/>
      <c r="C905" s="199"/>
      <c r="D905" s="1"/>
      <c r="E905" s="1"/>
      <c r="F905" s="1"/>
      <c r="G905" s="199"/>
      <c r="H905" s="1"/>
      <c r="I905" s="1"/>
      <c r="J905" s="1"/>
      <c r="K905" s="1"/>
      <c r="L905" s="1"/>
      <c r="M905" s="1"/>
      <c r="N905" s="10"/>
      <c r="O905" s="10"/>
      <c r="P905" s="10"/>
      <c r="Q905" s="10"/>
      <c r="R905" s="10"/>
      <c r="S905" s="10"/>
      <c r="T905" s="10"/>
      <c r="U905" s="1"/>
      <c r="V905" s="205"/>
      <c r="W905" s="205"/>
      <c r="X905" s="205"/>
      <c r="Y905" s="183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 ht="16.5" customHeight="1">
      <c r="A906" s="1"/>
      <c r="B906" s="1"/>
      <c r="C906" s="199"/>
      <c r="D906" s="1"/>
      <c r="E906" s="1"/>
      <c r="F906" s="1"/>
      <c r="G906" s="199"/>
      <c r="H906" s="1"/>
      <c r="I906" s="1"/>
      <c r="J906" s="1"/>
      <c r="K906" s="1"/>
      <c r="L906" s="1"/>
      <c r="M906" s="1"/>
      <c r="N906" s="10"/>
      <c r="O906" s="10"/>
      <c r="P906" s="10"/>
      <c r="Q906" s="10"/>
      <c r="R906" s="10"/>
      <c r="S906" s="10"/>
      <c r="T906" s="10"/>
      <c r="U906" s="1"/>
      <c r="V906" s="205"/>
      <c r="W906" s="205"/>
      <c r="X906" s="205"/>
      <c r="Y906" s="183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 ht="16.5" customHeight="1">
      <c r="A907" s="1"/>
      <c r="B907" s="1"/>
      <c r="C907" s="199"/>
      <c r="D907" s="1"/>
      <c r="E907" s="1"/>
      <c r="F907" s="1"/>
      <c r="G907" s="199"/>
      <c r="H907" s="1"/>
      <c r="I907" s="1"/>
      <c r="J907" s="1"/>
      <c r="K907" s="1"/>
      <c r="L907" s="1"/>
      <c r="M907" s="1"/>
      <c r="N907" s="10"/>
      <c r="O907" s="10"/>
      <c r="P907" s="10"/>
      <c r="Q907" s="10"/>
      <c r="R907" s="10"/>
      <c r="S907" s="10"/>
      <c r="T907" s="10"/>
      <c r="U907" s="1"/>
      <c r="V907" s="205"/>
      <c r="W907" s="205"/>
      <c r="X907" s="205"/>
      <c r="Y907" s="183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 ht="16.5" customHeight="1">
      <c r="A908" s="1"/>
      <c r="B908" s="1"/>
      <c r="C908" s="199"/>
      <c r="D908" s="1"/>
      <c r="E908" s="1"/>
      <c r="F908" s="1"/>
      <c r="G908" s="199"/>
      <c r="H908" s="1"/>
      <c r="I908" s="1"/>
      <c r="J908" s="1"/>
      <c r="K908" s="1"/>
      <c r="L908" s="1"/>
      <c r="M908" s="1"/>
      <c r="N908" s="10"/>
      <c r="O908" s="10"/>
      <c r="P908" s="10"/>
      <c r="Q908" s="10"/>
      <c r="R908" s="10"/>
      <c r="S908" s="10"/>
      <c r="T908" s="10"/>
      <c r="U908" s="1"/>
      <c r="V908" s="205"/>
      <c r="W908" s="205"/>
      <c r="X908" s="205"/>
      <c r="Y908" s="183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 ht="16.5" customHeight="1">
      <c r="A909" s="1"/>
      <c r="B909" s="1"/>
      <c r="C909" s="199"/>
      <c r="D909" s="1"/>
      <c r="E909" s="1"/>
      <c r="F909" s="1"/>
      <c r="G909" s="199"/>
      <c r="H909" s="1"/>
      <c r="I909" s="1"/>
      <c r="J909" s="1"/>
      <c r="K909" s="1"/>
      <c r="L909" s="1"/>
      <c r="M909" s="1"/>
      <c r="N909" s="10"/>
      <c r="O909" s="10"/>
      <c r="P909" s="10"/>
      <c r="Q909" s="10"/>
      <c r="R909" s="10"/>
      <c r="S909" s="10"/>
      <c r="T909" s="10"/>
      <c r="U909" s="1"/>
      <c r="V909" s="205"/>
      <c r="W909" s="205"/>
      <c r="X909" s="205"/>
      <c r="Y909" s="183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 ht="16.5" customHeight="1">
      <c r="A910" s="1"/>
      <c r="B910" s="1"/>
      <c r="C910" s="199"/>
      <c r="D910" s="1"/>
      <c r="E910" s="1"/>
      <c r="F910" s="1"/>
      <c r="G910" s="199"/>
      <c r="H910" s="1"/>
      <c r="I910" s="1"/>
      <c r="J910" s="1"/>
      <c r="K910" s="1"/>
      <c r="L910" s="1"/>
      <c r="M910" s="1"/>
      <c r="N910" s="10"/>
      <c r="O910" s="10"/>
      <c r="P910" s="10"/>
      <c r="Q910" s="10"/>
      <c r="R910" s="10"/>
      <c r="S910" s="10"/>
      <c r="T910" s="10"/>
      <c r="U910" s="1"/>
      <c r="V910" s="205"/>
      <c r="W910" s="205"/>
      <c r="X910" s="205"/>
      <c r="Y910" s="183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 ht="16.5" customHeight="1">
      <c r="A911" s="1"/>
      <c r="B911" s="1"/>
      <c r="C911" s="199"/>
      <c r="D911" s="1"/>
      <c r="E911" s="1"/>
      <c r="F911" s="1"/>
      <c r="G911" s="199"/>
      <c r="H911" s="1"/>
      <c r="I911" s="1"/>
      <c r="J911" s="1"/>
      <c r="K911" s="1"/>
      <c r="L911" s="1"/>
      <c r="M911" s="1"/>
      <c r="N911" s="10"/>
      <c r="O911" s="10"/>
      <c r="P911" s="10"/>
      <c r="Q911" s="10"/>
      <c r="R911" s="10"/>
      <c r="S911" s="10"/>
      <c r="T911" s="10"/>
      <c r="U911" s="1"/>
      <c r="V911" s="205"/>
      <c r="W911" s="205"/>
      <c r="X911" s="205"/>
      <c r="Y911" s="183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 ht="16.5" customHeight="1">
      <c r="A912" s="1"/>
      <c r="B912" s="1"/>
      <c r="C912" s="199"/>
      <c r="D912" s="1"/>
      <c r="E912" s="1"/>
      <c r="F912" s="1"/>
      <c r="G912" s="199"/>
      <c r="H912" s="1"/>
      <c r="I912" s="1"/>
      <c r="J912" s="1"/>
      <c r="K912" s="1"/>
      <c r="L912" s="1"/>
      <c r="M912" s="1"/>
      <c r="N912" s="10"/>
      <c r="O912" s="10"/>
      <c r="P912" s="10"/>
      <c r="Q912" s="10"/>
      <c r="R912" s="10"/>
      <c r="S912" s="10"/>
      <c r="T912" s="10"/>
      <c r="U912" s="1"/>
      <c r="V912" s="205"/>
      <c r="W912" s="205"/>
      <c r="X912" s="205"/>
      <c r="Y912" s="183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 ht="16.5" customHeight="1">
      <c r="A913" s="1"/>
      <c r="B913" s="1"/>
      <c r="C913" s="199"/>
      <c r="D913" s="1"/>
      <c r="E913" s="1"/>
      <c r="F913" s="1"/>
      <c r="G913" s="199"/>
      <c r="H913" s="1"/>
      <c r="I913" s="1"/>
      <c r="J913" s="1"/>
      <c r="K913" s="1"/>
      <c r="L913" s="1"/>
      <c r="M913" s="1"/>
      <c r="N913" s="10"/>
      <c r="O913" s="10"/>
      <c r="P913" s="10"/>
      <c r="Q913" s="10"/>
      <c r="R913" s="10"/>
      <c r="S913" s="10"/>
      <c r="T913" s="10"/>
      <c r="U913" s="1"/>
      <c r="V913" s="205"/>
      <c r="W913" s="205"/>
      <c r="X913" s="205"/>
      <c r="Y913" s="183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 ht="16.5" customHeight="1">
      <c r="A914" s="1"/>
      <c r="B914" s="1"/>
      <c r="C914" s="199"/>
      <c r="D914" s="1"/>
      <c r="E914" s="1"/>
      <c r="F914" s="1"/>
      <c r="G914" s="199"/>
      <c r="H914" s="1"/>
      <c r="I914" s="1"/>
      <c r="J914" s="1"/>
      <c r="K914" s="1"/>
      <c r="L914" s="1"/>
      <c r="M914" s="1"/>
      <c r="N914" s="10"/>
      <c r="O914" s="10"/>
      <c r="P914" s="10"/>
      <c r="Q914" s="10"/>
      <c r="R914" s="10"/>
      <c r="S914" s="10"/>
      <c r="T914" s="10"/>
      <c r="U914" s="1"/>
      <c r="V914" s="205"/>
      <c r="W914" s="205"/>
      <c r="X914" s="205"/>
      <c r="Y914" s="183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 ht="16.5" customHeight="1">
      <c r="A915" s="1"/>
      <c r="B915" s="1"/>
      <c r="C915" s="199"/>
      <c r="D915" s="1"/>
      <c r="E915" s="1"/>
      <c r="F915" s="1"/>
      <c r="G915" s="199"/>
      <c r="H915" s="1"/>
      <c r="I915" s="1"/>
      <c r="J915" s="1"/>
      <c r="K915" s="1"/>
      <c r="L915" s="1"/>
      <c r="M915" s="1"/>
      <c r="N915" s="10"/>
      <c r="O915" s="10"/>
      <c r="P915" s="10"/>
      <c r="Q915" s="10"/>
      <c r="R915" s="10"/>
      <c r="S915" s="10"/>
      <c r="T915" s="10"/>
      <c r="U915" s="1"/>
      <c r="V915" s="205"/>
      <c r="W915" s="205"/>
      <c r="X915" s="205"/>
      <c r="Y915" s="183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 ht="16.5" customHeight="1">
      <c r="A916" s="1"/>
      <c r="B916" s="1"/>
      <c r="C916" s="199"/>
      <c r="D916" s="1"/>
      <c r="E916" s="1"/>
      <c r="F916" s="1"/>
      <c r="G916" s="199"/>
      <c r="H916" s="1"/>
      <c r="I916" s="1"/>
      <c r="J916" s="1"/>
      <c r="K916" s="1"/>
      <c r="L916" s="1"/>
      <c r="M916" s="1"/>
      <c r="N916" s="10"/>
      <c r="O916" s="10"/>
      <c r="P916" s="10"/>
      <c r="Q916" s="10"/>
      <c r="R916" s="10"/>
      <c r="S916" s="10"/>
      <c r="T916" s="10"/>
      <c r="U916" s="1"/>
      <c r="V916" s="205"/>
      <c r="W916" s="205"/>
      <c r="X916" s="205"/>
      <c r="Y916" s="183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 ht="16.5" customHeight="1">
      <c r="A917" s="1"/>
      <c r="B917" s="1"/>
      <c r="C917" s="199"/>
      <c r="D917" s="1"/>
      <c r="E917" s="1"/>
      <c r="F917" s="1"/>
      <c r="G917" s="199"/>
      <c r="H917" s="1"/>
      <c r="I917" s="1"/>
      <c r="J917" s="1"/>
      <c r="K917" s="1"/>
      <c r="L917" s="1"/>
      <c r="M917" s="1"/>
      <c r="N917" s="10"/>
      <c r="O917" s="10"/>
      <c r="P917" s="10"/>
      <c r="Q917" s="10"/>
      <c r="R917" s="10"/>
      <c r="S917" s="10"/>
      <c r="T917" s="10"/>
      <c r="U917" s="1"/>
      <c r="V917" s="205"/>
      <c r="W917" s="205"/>
      <c r="X917" s="205"/>
      <c r="Y917" s="183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 ht="16.5" customHeight="1">
      <c r="A918" s="1"/>
      <c r="B918" s="1"/>
      <c r="C918" s="199"/>
      <c r="D918" s="1"/>
      <c r="E918" s="1"/>
      <c r="F918" s="1"/>
      <c r="G918" s="199"/>
      <c r="H918" s="1"/>
      <c r="I918" s="1"/>
      <c r="J918" s="1"/>
      <c r="K918" s="1"/>
      <c r="L918" s="1"/>
      <c r="M918" s="1"/>
      <c r="N918" s="10"/>
      <c r="O918" s="10"/>
      <c r="P918" s="10"/>
      <c r="Q918" s="10"/>
      <c r="R918" s="10"/>
      <c r="S918" s="10"/>
      <c r="T918" s="10"/>
      <c r="U918" s="1"/>
      <c r="V918" s="205"/>
      <c r="W918" s="205"/>
      <c r="X918" s="205"/>
      <c r="Y918" s="183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 ht="16.5" customHeight="1">
      <c r="A919" s="1"/>
      <c r="B919" s="1"/>
      <c r="C919" s="199"/>
      <c r="D919" s="1"/>
      <c r="E919" s="1"/>
      <c r="F919" s="1"/>
      <c r="G919" s="199"/>
      <c r="H919" s="1"/>
      <c r="I919" s="1"/>
      <c r="J919" s="1"/>
      <c r="K919" s="1"/>
      <c r="L919" s="1"/>
      <c r="M919" s="1"/>
      <c r="N919" s="10"/>
      <c r="O919" s="10"/>
      <c r="P919" s="10"/>
      <c r="Q919" s="10"/>
      <c r="R919" s="10"/>
      <c r="S919" s="10"/>
      <c r="T919" s="10"/>
      <c r="U919" s="1"/>
      <c r="V919" s="205"/>
      <c r="W919" s="205"/>
      <c r="X919" s="205"/>
      <c r="Y919" s="183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 ht="16.5" customHeight="1">
      <c r="A920" s="1"/>
      <c r="B920" s="1"/>
      <c r="C920" s="199"/>
      <c r="D920" s="1"/>
      <c r="E920" s="1"/>
      <c r="F920" s="1"/>
      <c r="G920" s="199"/>
      <c r="H920" s="1"/>
      <c r="I920" s="1"/>
      <c r="J920" s="1"/>
      <c r="K920" s="1"/>
      <c r="L920" s="1"/>
      <c r="M920" s="1"/>
      <c r="N920" s="10"/>
      <c r="O920" s="10"/>
      <c r="P920" s="10"/>
      <c r="Q920" s="10"/>
      <c r="R920" s="10"/>
      <c r="S920" s="10"/>
      <c r="T920" s="10"/>
      <c r="U920" s="1"/>
      <c r="V920" s="205"/>
      <c r="W920" s="205"/>
      <c r="X920" s="205"/>
      <c r="Y920" s="183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 ht="16.5" customHeight="1">
      <c r="A921" s="1"/>
      <c r="B921" s="1"/>
      <c r="C921" s="199"/>
      <c r="D921" s="1"/>
      <c r="E921" s="1"/>
      <c r="F921" s="1"/>
      <c r="G921" s="199"/>
      <c r="H921" s="1"/>
      <c r="I921" s="1"/>
      <c r="J921" s="1"/>
      <c r="K921" s="1"/>
      <c r="L921" s="1"/>
      <c r="M921" s="1"/>
      <c r="N921" s="10"/>
      <c r="O921" s="10"/>
      <c r="P921" s="10"/>
      <c r="Q921" s="10"/>
      <c r="R921" s="10"/>
      <c r="S921" s="10"/>
      <c r="T921" s="10"/>
      <c r="U921" s="1"/>
      <c r="V921" s="205"/>
      <c r="W921" s="205"/>
      <c r="X921" s="205"/>
      <c r="Y921" s="183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 ht="16.5" customHeight="1">
      <c r="A922" s="1"/>
      <c r="B922" s="1"/>
      <c r="C922" s="199"/>
      <c r="D922" s="1"/>
      <c r="E922" s="1"/>
      <c r="F922" s="1"/>
      <c r="G922" s="199"/>
      <c r="H922" s="1"/>
      <c r="I922" s="1"/>
      <c r="J922" s="1"/>
      <c r="K922" s="1"/>
      <c r="L922" s="1"/>
      <c r="M922" s="1"/>
      <c r="N922" s="10"/>
      <c r="O922" s="10"/>
      <c r="P922" s="10"/>
      <c r="Q922" s="10"/>
      <c r="R922" s="10"/>
      <c r="S922" s="10"/>
      <c r="T922" s="10"/>
      <c r="U922" s="1"/>
      <c r="V922" s="205"/>
      <c r="W922" s="205"/>
      <c r="X922" s="205"/>
      <c r="Y922" s="183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 ht="16.5" customHeight="1">
      <c r="A923" s="1"/>
      <c r="B923" s="1"/>
      <c r="C923" s="199"/>
      <c r="D923" s="1"/>
      <c r="E923" s="1"/>
      <c r="F923" s="1"/>
      <c r="G923" s="199"/>
      <c r="H923" s="1"/>
      <c r="I923" s="1"/>
      <c r="J923" s="1"/>
      <c r="K923" s="1"/>
      <c r="L923" s="1"/>
      <c r="M923" s="1"/>
      <c r="N923" s="10"/>
      <c r="O923" s="10"/>
      <c r="P923" s="10"/>
      <c r="Q923" s="10"/>
      <c r="R923" s="10"/>
      <c r="S923" s="10"/>
      <c r="T923" s="10"/>
      <c r="U923" s="1"/>
      <c r="V923" s="205"/>
      <c r="W923" s="205"/>
      <c r="X923" s="205"/>
      <c r="Y923" s="183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 ht="16.5" customHeight="1">
      <c r="A924" s="1"/>
      <c r="B924" s="1"/>
      <c r="C924" s="199"/>
      <c r="D924" s="1"/>
      <c r="E924" s="1"/>
      <c r="F924" s="1"/>
      <c r="G924" s="199"/>
      <c r="H924" s="1"/>
      <c r="I924" s="1"/>
      <c r="J924" s="1"/>
      <c r="K924" s="1"/>
      <c r="L924" s="1"/>
      <c r="M924" s="1"/>
      <c r="N924" s="10"/>
      <c r="O924" s="10"/>
      <c r="P924" s="10"/>
      <c r="Q924" s="10"/>
      <c r="R924" s="10"/>
      <c r="S924" s="10"/>
      <c r="T924" s="10"/>
      <c r="U924" s="1"/>
      <c r="V924" s="205"/>
      <c r="W924" s="205"/>
      <c r="X924" s="205"/>
      <c r="Y924" s="183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 ht="16.5" customHeight="1">
      <c r="A925" s="1"/>
      <c r="B925" s="1"/>
      <c r="C925" s="199"/>
      <c r="D925" s="1"/>
      <c r="E925" s="1"/>
      <c r="F925" s="1"/>
      <c r="G925" s="199"/>
      <c r="H925" s="1"/>
      <c r="I925" s="1"/>
      <c r="J925" s="1"/>
      <c r="K925" s="1"/>
      <c r="L925" s="1"/>
      <c r="M925" s="1"/>
      <c r="N925" s="10"/>
      <c r="O925" s="10"/>
      <c r="P925" s="10"/>
      <c r="Q925" s="10"/>
      <c r="R925" s="10"/>
      <c r="S925" s="10"/>
      <c r="T925" s="10"/>
      <c r="U925" s="1"/>
      <c r="V925" s="205"/>
      <c r="W925" s="205"/>
      <c r="X925" s="205"/>
      <c r="Y925" s="183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 ht="16.5" customHeight="1">
      <c r="A926" s="1"/>
      <c r="B926" s="1"/>
      <c r="C926" s="199"/>
      <c r="D926" s="1"/>
      <c r="E926" s="1"/>
      <c r="F926" s="1"/>
      <c r="G926" s="199"/>
      <c r="H926" s="1"/>
      <c r="I926" s="1"/>
      <c r="J926" s="1"/>
      <c r="K926" s="1"/>
      <c r="L926" s="1"/>
      <c r="M926" s="1"/>
      <c r="N926" s="10"/>
      <c r="O926" s="10"/>
      <c r="P926" s="10"/>
      <c r="Q926" s="10"/>
      <c r="R926" s="10"/>
      <c r="S926" s="10"/>
      <c r="T926" s="10"/>
      <c r="U926" s="1"/>
      <c r="V926" s="205"/>
      <c r="W926" s="205"/>
      <c r="X926" s="205"/>
      <c r="Y926" s="183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 ht="16.5" customHeight="1">
      <c r="A927" s="1"/>
      <c r="B927" s="1"/>
      <c r="C927" s="199"/>
      <c r="D927" s="1"/>
      <c r="E927" s="1"/>
      <c r="F927" s="1"/>
      <c r="G927" s="199"/>
      <c r="H927" s="1"/>
      <c r="I927" s="1"/>
      <c r="J927" s="1"/>
      <c r="K927" s="1"/>
      <c r="L927" s="1"/>
      <c r="M927" s="1"/>
      <c r="N927" s="10"/>
      <c r="O927" s="10"/>
      <c r="P927" s="10"/>
      <c r="Q927" s="10"/>
      <c r="R927" s="10"/>
      <c r="S927" s="10"/>
      <c r="T927" s="10"/>
      <c r="U927" s="1"/>
      <c r="V927" s="205"/>
      <c r="W927" s="205"/>
      <c r="X927" s="205"/>
      <c r="Y927" s="183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 ht="16.5" customHeight="1">
      <c r="A928" s="1"/>
      <c r="B928" s="1"/>
      <c r="C928" s="199"/>
      <c r="D928" s="1"/>
      <c r="E928" s="1"/>
      <c r="F928" s="1"/>
      <c r="G928" s="199"/>
      <c r="H928" s="1"/>
      <c r="I928" s="1"/>
      <c r="J928" s="1"/>
      <c r="K928" s="1"/>
      <c r="L928" s="1"/>
      <c r="M928" s="1"/>
      <c r="N928" s="10"/>
      <c r="O928" s="10"/>
      <c r="P928" s="10"/>
      <c r="Q928" s="10"/>
      <c r="R928" s="10"/>
      <c r="S928" s="10"/>
      <c r="T928" s="10"/>
      <c r="U928" s="1"/>
      <c r="V928" s="205"/>
      <c r="W928" s="205"/>
      <c r="X928" s="205"/>
      <c r="Y928" s="183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 ht="16.5" customHeight="1">
      <c r="A929" s="1"/>
      <c r="B929" s="1"/>
      <c r="C929" s="199"/>
      <c r="D929" s="1"/>
      <c r="E929" s="1"/>
      <c r="F929" s="1"/>
      <c r="G929" s="199"/>
      <c r="H929" s="1"/>
      <c r="I929" s="1"/>
      <c r="J929" s="1"/>
      <c r="K929" s="1"/>
      <c r="L929" s="1"/>
      <c r="M929" s="1"/>
      <c r="N929" s="10"/>
      <c r="O929" s="10"/>
      <c r="P929" s="10"/>
      <c r="Q929" s="10"/>
      <c r="R929" s="10"/>
      <c r="S929" s="10"/>
      <c r="T929" s="10"/>
      <c r="U929" s="1"/>
      <c r="V929" s="205"/>
      <c r="W929" s="205"/>
      <c r="X929" s="205"/>
      <c r="Y929" s="183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 ht="16.5" customHeight="1">
      <c r="A930" s="1"/>
      <c r="B930" s="1"/>
      <c r="C930" s="199"/>
      <c r="D930" s="1"/>
      <c r="E930" s="1"/>
      <c r="F930" s="1"/>
      <c r="G930" s="199"/>
      <c r="H930" s="1"/>
      <c r="I930" s="1"/>
      <c r="J930" s="1"/>
      <c r="K930" s="1"/>
      <c r="L930" s="1"/>
      <c r="M930" s="1"/>
      <c r="N930" s="10"/>
      <c r="O930" s="10"/>
      <c r="P930" s="10"/>
      <c r="Q930" s="10"/>
      <c r="R930" s="10"/>
      <c r="S930" s="10"/>
      <c r="T930" s="10"/>
      <c r="U930" s="1"/>
      <c r="V930" s="205"/>
      <c r="W930" s="205"/>
      <c r="X930" s="205"/>
      <c r="Y930" s="183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 ht="16.5" customHeight="1">
      <c r="A931" s="1"/>
      <c r="B931" s="1"/>
      <c r="C931" s="199"/>
      <c r="D931" s="1"/>
      <c r="E931" s="1"/>
      <c r="F931" s="1"/>
      <c r="G931" s="199"/>
      <c r="H931" s="1"/>
      <c r="I931" s="1"/>
      <c r="J931" s="1"/>
      <c r="K931" s="1"/>
      <c r="L931" s="1"/>
      <c r="M931" s="1"/>
      <c r="N931" s="10"/>
      <c r="O931" s="10"/>
      <c r="P931" s="10"/>
      <c r="Q931" s="10"/>
      <c r="R931" s="10"/>
      <c r="S931" s="10"/>
      <c r="T931" s="10"/>
      <c r="U931" s="1"/>
      <c r="V931" s="205"/>
      <c r="W931" s="205"/>
      <c r="X931" s="205"/>
      <c r="Y931" s="183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 ht="16.5" customHeight="1">
      <c r="A932" s="1"/>
      <c r="B932" s="1"/>
      <c r="C932" s="199"/>
      <c r="D932" s="1"/>
      <c r="E932" s="1"/>
      <c r="F932" s="1"/>
      <c r="G932" s="199"/>
      <c r="H932" s="1"/>
      <c r="I932" s="1"/>
      <c r="J932" s="1"/>
      <c r="K932" s="1"/>
      <c r="L932" s="1"/>
      <c r="M932" s="1"/>
      <c r="N932" s="10"/>
      <c r="O932" s="10"/>
      <c r="P932" s="10"/>
      <c r="Q932" s="10"/>
      <c r="R932" s="10"/>
      <c r="S932" s="10"/>
      <c r="T932" s="10"/>
      <c r="U932" s="1"/>
      <c r="V932" s="205"/>
      <c r="W932" s="205"/>
      <c r="X932" s="205"/>
      <c r="Y932" s="183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 ht="16.5" customHeight="1">
      <c r="A933" s="1"/>
      <c r="B933" s="1"/>
      <c r="C933" s="199"/>
      <c r="D933" s="1"/>
      <c r="E933" s="1"/>
      <c r="F933" s="1"/>
      <c r="G933" s="199"/>
      <c r="H933" s="1"/>
      <c r="I933" s="1"/>
      <c r="J933" s="1"/>
      <c r="K933" s="1"/>
      <c r="L933" s="1"/>
      <c r="M933" s="1"/>
      <c r="N933" s="10"/>
      <c r="O933" s="10"/>
      <c r="P933" s="10"/>
      <c r="Q933" s="10"/>
      <c r="R933" s="10"/>
      <c r="S933" s="10"/>
      <c r="T933" s="10"/>
      <c r="U933" s="1"/>
      <c r="V933" s="205"/>
      <c r="W933" s="205"/>
      <c r="X933" s="205"/>
      <c r="Y933" s="183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 ht="16.5" customHeight="1">
      <c r="A934" s="1"/>
      <c r="B934" s="1"/>
      <c r="C934" s="199"/>
      <c r="D934" s="1"/>
      <c r="E934" s="1"/>
      <c r="F934" s="1"/>
      <c r="G934" s="199"/>
      <c r="H934" s="1"/>
      <c r="I934" s="1"/>
      <c r="J934" s="1"/>
      <c r="K934" s="1"/>
      <c r="L934" s="1"/>
      <c r="M934" s="1"/>
      <c r="N934" s="10"/>
      <c r="O934" s="10"/>
      <c r="P934" s="10"/>
      <c r="Q934" s="10"/>
      <c r="R934" s="10"/>
      <c r="S934" s="10"/>
      <c r="T934" s="10"/>
      <c r="U934" s="1"/>
      <c r="V934" s="205"/>
      <c r="W934" s="205"/>
      <c r="X934" s="205"/>
      <c r="Y934" s="183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 ht="16.5" customHeight="1">
      <c r="A935" s="1"/>
      <c r="B935" s="1"/>
      <c r="C935" s="199"/>
      <c r="D935" s="1"/>
      <c r="E935" s="1"/>
      <c r="F935" s="1"/>
      <c r="G935" s="199"/>
      <c r="H935" s="1"/>
      <c r="I935" s="1"/>
      <c r="J935" s="1"/>
      <c r="K935" s="1"/>
      <c r="L935" s="1"/>
      <c r="M935" s="1"/>
      <c r="N935" s="10"/>
      <c r="O935" s="10"/>
      <c r="P935" s="10"/>
      <c r="Q935" s="10"/>
      <c r="R935" s="10"/>
      <c r="S935" s="10"/>
      <c r="T935" s="10"/>
      <c r="U935" s="1"/>
      <c r="V935" s="205"/>
      <c r="W935" s="205"/>
      <c r="X935" s="205"/>
      <c r="Y935" s="183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 ht="16.5" customHeight="1">
      <c r="A936" s="1"/>
      <c r="B936" s="1"/>
      <c r="C936" s="199"/>
      <c r="D936" s="1"/>
      <c r="E936" s="1"/>
      <c r="F936" s="1"/>
      <c r="G936" s="199"/>
      <c r="H936" s="1"/>
      <c r="I936" s="1"/>
      <c r="J936" s="1"/>
      <c r="K936" s="1"/>
      <c r="L936" s="1"/>
      <c r="M936" s="1"/>
      <c r="N936" s="10"/>
      <c r="O936" s="10"/>
      <c r="P936" s="10"/>
      <c r="Q936" s="10"/>
      <c r="R936" s="10"/>
      <c r="S936" s="10"/>
      <c r="T936" s="10"/>
      <c r="U936" s="1"/>
      <c r="V936" s="205"/>
      <c r="W936" s="205"/>
      <c r="X936" s="205"/>
      <c r="Y936" s="183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 ht="16.5" customHeight="1">
      <c r="A937" s="1"/>
      <c r="B937" s="1"/>
      <c r="C937" s="199"/>
      <c r="D937" s="1"/>
      <c r="E937" s="1"/>
      <c r="F937" s="1"/>
      <c r="G937" s="199"/>
      <c r="H937" s="1"/>
      <c r="I937" s="1"/>
      <c r="J937" s="1"/>
      <c r="K937" s="1"/>
      <c r="L937" s="1"/>
      <c r="M937" s="1"/>
      <c r="N937" s="10"/>
      <c r="O937" s="10"/>
      <c r="P937" s="10"/>
      <c r="Q937" s="10"/>
      <c r="R937" s="10"/>
      <c r="S937" s="10"/>
      <c r="T937" s="10"/>
      <c r="U937" s="1"/>
      <c r="V937" s="205"/>
      <c r="W937" s="205"/>
      <c r="X937" s="205"/>
      <c r="Y937" s="183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 ht="16.5" customHeight="1">
      <c r="A938" s="1"/>
      <c r="B938" s="1"/>
      <c r="C938" s="199"/>
      <c r="D938" s="1"/>
      <c r="E938" s="1"/>
      <c r="F938" s="1"/>
      <c r="G938" s="199"/>
      <c r="H938" s="1"/>
      <c r="I938" s="1"/>
      <c r="J938" s="1"/>
      <c r="K938" s="1"/>
      <c r="L938" s="1"/>
      <c r="M938" s="1"/>
      <c r="N938" s="10"/>
      <c r="O938" s="10"/>
      <c r="P938" s="10"/>
      <c r="Q938" s="10"/>
      <c r="R938" s="10"/>
      <c r="S938" s="10"/>
      <c r="T938" s="10"/>
      <c r="U938" s="1"/>
      <c r="V938" s="205"/>
      <c r="W938" s="205"/>
      <c r="X938" s="205"/>
      <c r="Y938" s="183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 ht="16.5" customHeight="1">
      <c r="A939" s="1"/>
      <c r="B939" s="1"/>
      <c r="C939" s="199"/>
      <c r="D939" s="1"/>
      <c r="E939" s="1"/>
      <c r="F939" s="1"/>
      <c r="G939" s="199"/>
      <c r="H939" s="1"/>
      <c r="I939" s="1"/>
      <c r="J939" s="1"/>
      <c r="K939" s="1"/>
      <c r="L939" s="1"/>
      <c r="M939" s="1"/>
      <c r="N939" s="10"/>
      <c r="O939" s="10"/>
      <c r="P939" s="10"/>
      <c r="Q939" s="10"/>
      <c r="R939" s="10"/>
      <c r="S939" s="10"/>
      <c r="T939" s="10"/>
      <c r="U939" s="1"/>
      <c r="V939" s="205"/>
      <c r="W939" s="205"/>
      <c r="X939" s="205"/>
      <c r="Y939" s="183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 ht="16.5" customHeight="1">
      <c r="A940" s="1"/>
      <c r="B940" s="1"/>
      <c r="C940" s="199"/>
      <c r="D940" s="1"/>
      <c r="E940" s="1"/>
      <c r="F940" s="1"/>
      <c r="G940" s="199"/>
      <c r="H940" s="1"/>
      <c r="I940" s="1"/>
      <c r="J940" s="1"/>
      <c r="K940" s="1"/>
      <c r="L940" s="1"/>
      <c r="M940" s="1"/>
      <c r="N940" s="10"/>
      <c r="O940" s="10"/>
      <c r="P940" s="10"/>
      <c r="Q940" s="10"/>
      <c r="R940" s="10"/>
      <c r="S940" s="10"/>
      <c r="T940" s="10"/>
      <c r="U940" s="1"/>
      <c r="V940" s="205"/>
      <c r="W940" s="205"/>
      <c r="X940" s="205"/>
      <c r="Y940" s="183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 ht="16.5" customHeight="1">
      <c r="A941" s="1"/>
      <c r="B941" s="1"/>
      <c r="C941" s="199"/>
      <c r="D941" s="1"/>
      <c r="E941" s="1"/>
      <c r="F941" s="1"/>
      <c r="G941" s="199"/>
      <c r="H941" s="1"/>
      <c r="I941" s="1"/>
      <c r="J941" s="1"/>
      <c r="K941" s="1"/>
      <c r="L941" s="1"/>
      <c r="M941" s="1"/>
      <c r="N941" s="10"/>
      <c r="O941" s="10"/>
      <c r="P941" s="10"/>
      <c r="Q941" s="10"/>
      <c r="R941" s="10"/>
      <c r="S941" s="10"/>
      <c r="T941" s="10"/>
      <c r="U941" s="1"/>
      <c r="V941" s="205"/>
      <c r="W941" s="205"/>
      <c r="X941" s="205"/>
      <c r="Y941" s="183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 ht="16.5" customHeight="1">
      <c r="A942" s="1"/>
      <c r="B942" s="1"/>
      <c r="C942" s="199"/>
      <c r="D942" s="1"/>
      <c r="E942" s="1"/>
      <c r="F942" s="1"/>
      <c r="G942" s="199"/>
      <c r="H942" s="1"/>
      <c r="I942" s="1"/>
      <c r="J942" s="1"/>
      <c r="K942" s="1"/>
      <c r="L942" s="1"/>
      <c r="M942" s="1"/>
      <c r="N942" s="10"/>
      <c r="O942" s="10"/>
      <c r="P942" s="10"/>
      <c r="Q942" s="10"/>
      <c r="R942" s="10"/>
      <c r="S942" s="10"/>
      <c r="T942" s="10"/>
      <c r="U942" s="1"/>
      <c r="V942" s="205"/>
      <c r="W942" s="205"/>
      <c r="X942" s="205"/>
      <c r="Y942" s="183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 ht="16.5" customHeight="1">
      <c r="A943" s="1"/>
      <c r="B943" s="1"/>
      <c r="C943" s="199"/>
      <c r="D943" s="1"/>
      <c r="E943" s="1"/>
      <c r="F943" s="1"/>
      <c r="G943" s="199"/>
      <c r="H943" s="1"/>
      <c r="I943" s="1"/>
      <c r="J943" s="1"/>
      <c r="K943" s="1"/>
      <c r="L943" s="1"/>
      <c r="M943" s="1"/>
      <c r="N943" s="10"/>
      <c r="O943" s="10"/>
      <c r="P943" s="10"/>
      <c r="Q943" s="10"/>
      <c r="R943" s="10"/>
      <c r="S943" s="10"/>
      <c r="T943" s="10"/>
      <c r="U943" s="1"/>
      <c r="V943" s="205"/>
      <c r="W943" s="205"/>
      <c r="X943" s="205"/>
      <c r="Y943" s="183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 ht="16.5" customHeight="1">
      <c r="A944" s="1"/>
      <c r="B944" s="1"/>
      <c r="C944" s="199"/>
      <c r="D944" s="1"/>
      <c r="E944" s="1"/>
      <c r="F944" s="1"/>
      <c r="G944" s="199"/>
      <c r="H944" s="1"/>
      <c r="I944" s="1"/>
      <c r="J944" s="1"/>
      <c r="K944" s="1"/>
      <c r="L944" s="1"/>
      <c r="M944" s="1"/>
      <c r="N944" s="10"/>
      <c r="O944" s="10"/>
      <c r="P944" s="10"/>
      <c r="Q944" s="10"/>
      <c r="R944" s="10"/>
      <c r="S944" s="10"/>
      <c r="T944" s="10"/>
      <c r="U944" s="1"/>
      <c r="V944" s="205"/>
      <c r="W944" s="205"/>
      <c r="X944" s="205"/>
      <c r="Y944" s="183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 ht="16.5" customHeight="1">
      <c r="A945" s="1"/>
      <c r="B945" s="1"/>
      <c r="C945" s="199"/>
      <c r="D945" s="1"/>
      <c r="E945" s="1"/>
      <c r="F945" s="1"/>
      <c r="G945" s="199"/>
      <c r="H945" s="1"/>
      <c r="I945" s="1"/>
      <c r="J945" s="1"/>
      <c r="K945" s="1"/>
      <c r="L945" s="1"/>
      <c r="M945" s="1"/>
      <c r="N945" s="10"/>
      <c r="O945" s="10"/>
      <c r="P945" s="10"/>
      <c r="Q945" s="10"/>
      <c r="R945" s="10"/>
      <c r="S945" s="10"/>
      <c r="T945" s="10"/>
      <c r="U945" s="1"/>
      <c r="V945" s="205"/>
      <c r="W945" s="205"/>
      <c r="X945" s="205"/>
      <c r="Y945" s="183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ht="16.5" customHeight="1">
      <c r="A946" s="1"/>
      <c r="B946" s="1"/>
      <c r="C946" s="199"/>
      <c r="D946" s="1"/>
      <c r="E946" s="1"/>
      <c r="F946" s="1"/>
      <c r="G946" s="199"/>
      <c r="H946" s="1"/>
      <c r="I946" s="1"/>
      <c r="J946" s="1"/>
      <c r="K946" s="1"/>
      <c r="L946" s="1"/>
      <c r="M946" s="1"/>
      <c r="N946" s="10"/>
      <c r="O946" s="10"/>
      <c r="P946" s="10"/>
      <c r="Q946" s="10"/>
      <c r="R946" s="10"/>
      <c r="S946" s="10"/>
      <c r="T946" s="10"/>
      <c r="U946" s="1"/>
      <c r="V946" s="205"/>
      <c r="W946" s="205"/>
      <c r="X946" s="205"/>
      <c r="Y946" s="183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 ht="16.5" customHeight="1">
      <c r="A947" s="1"/>
      <c r="B947" s="1"/>
      <c r="C947" s="199"/>
      <c r="D947" s="1"/>
      <c r="E947" s="1"/>
      <c r="F947" s="1"/>
      <c r="G947" s="199"/>
      <c r="H947" s="1"/>
      <c r="I947" s="1"/>
      <c r="J947" s="1"/>
      <c r="K947" s="1"/>
      <c r="L947" s="1"/>
      <c r="M947" s="1"/>
      <c r="N947" s="10"/>
      <c r="O947" s="10"/>
      <c r="P947" s="10"/>
      <c r="Q947" s="10"/>
      <c r="R947" s="10"/>
      <c r="S947" s="10"/>
      <c r="T947" s="10"/>
      <c r="U947" s="1"/>
      <c r="V947" s="205"/>
      <c r="W947" s="205"/>
      <c r="X947" s="205"/>
      <c r="Y947" s="183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 ht="16.5" customHeight="1">
      <c r="A948" s="1"/>
      <c r="B948" s="1"/>
      <c r="C948" s="199"/>
      <c r="D948" s="1"/>
      <c r="E948" s="1"/>
      <c r="F948" s="1"/>
      <c r="G948" s="199"/>
      <c r="H948" s="1"/>
      <c r="I948" s="1"/>
      <c r="J948" s="1"/>
      <c r="K948" s="1"/>
      <c r="L948" s="1"/>
      <c r="M948" s="1"/>
      <c r="N948" s="10"/>
      <c r="O948" s="10"/>
      <c r="P948" s="10"/>
      <c r="Q948" s="10"/>
      <c r="R948" s="10"/>
      <c r="S948" s="10"/>
      <c r="T948" s="10"/>
      <c r="U948" s="1"/>
      <c r="V948" s="205"/>
      <c r="W948" s="205"/>
      <c r="X948" s="205"/>
      <c r="Y948" s="183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 ht="16.5" customHeight="1">
      <c r="A949" s="1"/>
      <c r="B949" s="1"/>
      <c r="C949" s="199"/>
      <c r="D949" s="1"/>
      <c r="E949" s="1"/>
      <c r="F949" s="1"/>
      <c r="G949" s="199"/>
      <c r="H949" s="1"/>
      <c r="I949" s="1"/>
      <c r="J949" s="1"/>
      <c r="K949" s="1"/>
      <c r="L949" s="1"/>
      <c r="M949" s="1"/>
      <c r="N949" s="10"/>
      <c r="O949" s="10"/>
      <c r="P949" s="10"/>
      <c r="Q949" s="10"/>
      <c r="R949" s="10"/>
      <c r="S949" s="10"/>
      <c r="T949" s="10"/>
      <c r="U949" s="1"/>
      <c r="V949" s="205"/>
      <c r="W949" s="205"/>
      <c r="X949" s="205"/>
      <c r="Y949" s="183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 ht="16.5" customHeight="1">
      <c r="A950" s="1"/>
      <c r="B950" s="1"/>
      <c r="C950" s="199"/>
      <c r="D950" s="1"/>
      <c r="E950" s="1"/>
      <c r="F950" s="1"/>
      <c r="G950" s="199"/>
      <c r="H950" s="1"/>
      <c r="I950" s="1"/>
      <c r="J950" s="1"/>
      <c r="K950" s="1"/>
      <c r="L950" s="1"/>
      <c r="M950" s="1"/>
      <c r="N950" s="10"/>
      <c r="O950" s="10"/>
      <c r="P950" s="10"/>
      <c r="Q950" s="10"/>
      <c r="R950" s="10"/>
      <c r="S950" s="10"/>
      <c r="T950" s="10"/>
      <c r="U950" s="1"/>
      <c r="V950" s="205"/>
      <c r="W950" s="205"/>
      <c r="X950" s="205"/>
      <c r="Y950" s="183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 ht="16.5" customHeight="1">
      <c r="A951" s="1"/>
      <c r="B951" s="1"/>
      <c r="C951" s="199"/>
      <c r="D951" s="1"/>
      <c r="E951" s="1"/>
      <c r="F951" s="1"/>
      <c r="G951" s="199"/>
      <c r="H951" s="1"/>
      <c r="I951" s="1"/>
      <c r="J951" s="1"/>
      <c r="K951" s="1"/>
      <c r="L951" s="1"/>
      <c r="M951" s="1"/>
      <c r="N951" s="10"/>
      <c r="O951" s="10"/>
      <c r="P951" s="10"/>
      <c r="Q951" s="10"/>
      <c r="R951" s="10"/>
      <c r="S951" s="10"/>
      <c r="T951" s="10"/>
      <c r="U951" s="1"/>
      <c r="V951" s="205"/>
      <c r="W951" s="205"/>
      <c r="X951" s="205"/>
      <c r="Y951" s="183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 ht="16.5" customHeight="1">
      <c r="A952" s="1"/>
      <c r="B952" s="1"/>
      <c r="C952" s="199"/>
      <c r="D952" s="1"/>
      <c r="E952" s="1"/>
      <c r="F952" s="1"/>
      <c r="G952" s="199"/>
      <c r="H952" s="1"/>
      <c r="I952" s="1"/>
      <c r="J952" s="1"/>
      <c r="K952" s="1"/>
      <c r="L952" s="1"/>
      <c r="M952" s="1"/>
      <c r="N952" s="10"/>
      <c r="O952" s="10"/>
      <c r="P952" s="10"/>
      <c r="Q952" s="10"/>
      <c r="R952" s="10"/>
      <c r="S952" s="10"/>
      <c r="T952" s="10"/>
      <c r="U952" s="1"/>
      <c r="V952" s="205"/>
      <c r="W952" s="205"/>
      <c r="X952" s="205"/>
      <c r="Y952" s="183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 ht="16.5" customHeight="1">
      <c r="A953" s="1"/>
      <c r="B953" s="1"/>
      <c r="C953" s="199"/>
      <c r="D953" s="1"/>
      <c r="E953" s="1"/>
      <c r="F953" s="1"/>
      <c r="G953" s="199"/>
      <c r="H953" s="1"/>
      <c r="I953" s="1"/>
      <c r="J953" s="1"/>
      <c r="K953" s="1"/>
      <c r="L953" s="1"/>
      <c r="M953" s="1"/>
      <c r="N953" s="10"/>
      <c r="O953" s="10"/>
      <c r="P953" s="10"/>
      <c r="Q953" s="10"/>
      <c r="R953" s="10"/>
      <c r="S953" s="10"/>
      <c r="T953" s="10"/>
      <c r="U953" s="1"/>
      <c r="V953" s="205"/>
      <c r="W953" s="205"/>
      <c r="X953" s="205"/>
      <c r="Y953" s="183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 ht="16.5" customHeight="1">
      <c r="A954" s="1"/>
      <c r="B954" s="1"/>
      <c r="C954" s="199"/>
      <c r="D954" s="1"/>
      <c r="E954" s="1"/>
      <c r="F954" s="1"/>
      <c r="G954" s="199"/>
      <c r="H954" s="1"/>
      <c r="I954" s="1"/>
      <c r="J954" s="1"/>
      <c r="K954" s="1"/>
      <c r="L954" s="1"/>
      <c r="M954" s="1"/>
      <c r="N954" s="10"/>
      <c r="O954" s="10"/>
      <c r="P954" s="10"/>
      <c r="Q954" s="10"/>
      <c r="R954" s="10"/>
      <c r="S954" s="10"/>
      <c r="T954" s="10"/>
      <c r="U954" s="1"/>
      <c r="V954" s="205"/>
      <c r="W954" s="205"/>
      <c r="X954" s="205"/>
      <c r="Y954" s="183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 ht="16.5" customHeight="1">
      <c r="A955" s="1"/>
      <c r="B955" s="1"/>
      <c r="C955" s="199"/>
      <c r="D955" s="1"/>
      <c r="E955" s="1"/>
      <c r="F955" s="1"/>
      <c r="G955" s="199"/>
      <c r="H955" s="1"/>
      <c r="I955" s="1"/>
      <c r="J955" s="1"/>
      <c r="K955" s="1"/>
      <c r="L955" s="1"/>
      <c r="M955" s="1"/>
      <c r="N955" s="10"/>
      <c r="O955" s="10"/>
      <c r="P955" s="10"/>
      <c r="Q955" s="10"/>
      <c r="R955" s="10"/>
      <c r="S955" s="10"/>
      <c r="T955" s="10"/>
      <c r="U955" s="1"/>
      <c r="V955" s="205"/>
      <c r="W955" s="205"/>
      <c r="X955" s="205"/>
      <c r="Y955" s="183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 ht="16.5" customHeight="1">
      <c r="A956" s="1"/>
      <c r="B956" s="1"/>
      <c r="C956" s="199"/>
      <c r="D956" s="1"/>
      <c r="E956" s="1"/>
      <c r="F956" s="1"/>
      <c r="G956" s="199"/>
      <c r="H956" s="1"/>
      <c r="I956" s="1"/>
      <c r="J956" s="1"/>
      <c r="K956" s="1"/>
      <c r="L956" s="1"/>
      <c r="M956" s="1"/>
      <c r="N956" s="10"/>
      <c r="O956" s="10"/>
      <c r="P956" s="10"/>
      <c r="Q956" s="10"/>
      <c r="R956" s="10"/>
      <c r="S956" s="10"/>
      <c r="T956" s="10"/>
      <c r="U956" s="1"/>
      <c r="V956" s="205"/>
      <c r="W956" s="205"/>
      <c r="X956" s="205"/>
      <c r="Y956" s="183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 ht="16.5" customHeight="1">
      <c r="A957" s="1"/>
      <c r="B957" s="1"/>
      <c r="C957" s="199"/>
      <c r="D957" s="1"/>
      <c r="E957" s="1"/>
      <c r="F957" s="1"/>
      <c r="G957" s="199"/>
      <c r="H957" s="1"/>
      <c r="I957" s="1"/>
      <c r="J957" s="1"/>
      <c r="K957" s="1"/>
      <c r="L957" s="1"/>
      <c r="M957" s="1"/>
      <c r="N957" s="10"/>
      <c r="O957" s="10"/>
      <c r="P957" s="10"/>
      <c r="Q957" s="10"/>
      <c r="R957" s="10"/>
      <c r="S957" s="10"/>
      <c r="T957" s="10"/>
      <c r="U957" s="1"/>
      <c r="V957" s="205"/>
      <c r="W957" s="205"/>
      <c r="X957" s="205"/>
      <c r="Y957" s="183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 ht="16.5" customHeight="1">
      <c r="A958" s="1"/>
      <c r="B958" s="1"/>
      <c r="C958" s="199"/>
      <c r="D958" s="1"/>
      <c r="E958" s="1"/>
      <c r="F958" s="1"/>
      <c r="G958" s="199"/>
      <c r="H958" s="1"/>
      <c r="I958" s="1"/>
      <c r="J958" s="1"/>
      <c r="K958" s="1"/>
      <c r="L958" s="1"/>
      <c r="M958" s="1"/>
      <c r="N958" s="10"/>
      <c r="O958" s="10"/>
      <c r="P958" s="10"/>
      <c r="Q958" s="10"/>
      <c r="R958" s="10"/>
      <c r="S958" s="10"/>
      <c r="T958" s="10"/>
      <c r="U958" s="1"/>
      <c r="V958" s="205"/>
      <c r="W958" s="205"/>
      <c r="X958" s="205"/>
      <c r="Y958" s="183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 ht="16.5" customHeight="1">
      <c r="A959" s="1"/>
      <c r="B959" s="1"/>
      <c r="C959" s="199"/>
      <c r="D959" s="1"/>
      <c r="E959" s="1"/>
      <c r="F959" s="1"/>
      <c r="G959" s="199"/>
      <c r="H959" s="1"/>
      <c r="I959" s="1"/>
      <c r="J959" s="1"/>
      <c r="K959" s="1"/>
      <c r="L959" s="1"/>
      <c r="M959" s="1"/>
      <c r="N959" s="10"/>
      <c r="O959" s="10"/>
      <c r="P959" s="10"/>
      <c r="Q959" s="10"/>
      <c r="R959" s="10"/>
      <c r="S959" s="10"/>
      <c r="T959" s="10"/>
      <c r="U959" s="1"/>
      <c r="V959" s="205"/>
      <c r="W959" s="205"/>
      <c r="X959" s="205"/>
      <c r="Y959" s="183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 ht="16.5" customHeight="1">
      <c r="A960" s="1"/>
      <c r="B960" s="1"/>
      <c r="C960" s="199"/>
      <c r="D960" s="1"/>
      <c r="E960" s="1"/>
      <c r="F960" s="1"/>
      <c r="G960" s="199"/>
      <c r="H960" s="1"/>
      <c r="I960" s="1"/>
      <c r="J960" s="1"/>
      <c r="K960" s="1"/>
      <c r="L960" s="1"/>
      <c r="M960" s="1"/>
      <c r="N960" s="10"/>
      <c r="O960" s="10"/>
      <c r="P960" s="10"/>
      <c r="Q960" s="10"/>
      <c r="R960" s="10"/>
      <c r="S960" s="10"/>
      <c r="T960" s="10"/>
      <c r="U960" s="1"/>
      <c r="V960" s="205"/>
      <c r="W960" s="205"/>
      <c r="X960" s="205"/>
      <c r="Y960" s="183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 ht="16.5" customHeight="1">
      <c r="A961" s="1"/>
      <c r="B961" s="1"/>
      <c r="C961" s="199"/>
      <c r="D961" s="1"/>
      <c r="E961" s="1"/>
      <c r="F961" s="1"/>
      <c r="G961" s="199"/>
      <c r="H961" s="1"/>
      <c r="I961" s="1"/>
      <c r="J961" s="1"/>
      <c r="K961" s="1"/>
      <c r="L961" s="1"/>
      <c r="M961" s="1"/>
      <c r="N961" s="10"/>
      <c r="O961" s="10"/>
      <c r="P961" s="10"/>
      <c r="Q961" s="10"/>
      <c r="R961" s="10"/>
      <c r="S961" s="10"/>
      <c r="T961" s="10"/>
      <c r="U961" s="1"/>
      <c r="V961" s="205"/>
      <c r="W961" s="205"/>
      <c r="X961" s="205"/>
      <c r="Y961" s="183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 ht="16.5" customHeight="1">
      <c r="A962" s="1"/>
      <c r="B962" s="1"/>
      <c r="C962" s="199"/>
      <c r="D962" s="1"/>
      <c r="E962" s="1"/>
      <c r="F962" s="1"/>
      <c r="G962" s="199"/>
      <c r="H962" s="1"/>
      <c r="I962" s="1"/>
      <c r="J962" s="1"/>
      <c r="K962" s="1"/>
      <c r="L962" s="1"/>
      <c r="M962" s="1"/>
      <c r="N962" s="10"/>
      <c r="O962" s="10"/>
      <c r="P962" s="10"/>
      <c r="Q962" s="10"/>
      <c r="R962" s="10"/>
      <c r="S962" s="10"/>
      <c r="T962" s="10"/>
      <c r="U962" s="1"/>
      <c r="V962" s="205"/>
      <c r="W962" s="205"/>
      <c r="X962" s="205"/>
      <c r="Y962" s="183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 ht="16.5" customHeight="1">
      <c r="A963" s="1"/>
      <c r="B963" s="1"/>
      <c r="C963" s="199"/>
      <c r="D963" s="1"/>
      <c r="E963" s="1"/>
      <c r="F963" s="1"/>
      <c r="G963" s="199"/>
      <c r="H963" s="1"/>
      <c r="I963" s="1"/>
      <c r="J963" s="1"/>
      <c r="K963" s="1"/>
      <c r="L963" s="1"/>
      <c r="M963" s="1"/>
      <c r="N963" s="10"/>
      <c r="O963" s="10"/>
      <c r="P963" s="10"/>
      <c r="Q963" s="10"/>
      <c r="R963" s="10"/>
      <c r="S963" s="10"/>
      <c r="T963" s="10"/>
      <c r="U963" s="1"/>
      <c r="V963" s="205"/>
      <c r="W963" s="205"/>
      <c r="X963" s="205"/>
      <c r="Y963" s="183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 ht="16.5" customHeight="1">
      <c r="A964" s="1"/>
      <c r="B964" s="1"/>
      <c r="C964" s="199"/>
      <c r="D964" s="1"/>
      <c r="E964" s="1"/>
      <c r="F964" s="1"/>
      <c r="G964" s="199"/>
      <c r="H964" s="1"/>
      <c r="I964" s="1"/>
      <c r="J964" s="1"/>
      <c r="K964" s="1"/>
      <c r="L964" s="1"/>
      <c r="M964" s="1"/>
      <c r="N964" s="10"/>
      <c r="O964" s="10"/>
      <c r="P964" s="10"/>
      <c r="Q964" s="10"/>
      <c r="R964" s="10"/>
      <c r="S964" s="10"/>
      <c r="T964" s="10"/>
      <c r="U964" s="1"/>
      <c r="V964" s="205"/>
      <c r="W964" s="205"/>
      <c r="X964" s="205"/>
      <c r="Y964" s="183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 ht="16.5" customHeight="1">
      <c r="A965" s="1"/>
      <c r="B965" s="1"/>
      <c r="C965" s="199"/>
      <c r="D965" s="1"/>
      <c r="E965" s="1"/>
      <c r="F965" s="1"/>
      <c r="G965" s="199"/>
      <c r="H965" s="1"/>
      <c r="I965" s="1"/>
      <c r="J965" s="1"/>
      <c r="K965" s="1"/>
      <c r="L965" s="1"/>
      <c r="M965" s="1"/>
      <c r="N965" s="10"/>
      <c r="O965" s="10"/>
      <c r="P965" s="10"/>
      <c r="Q965" s="10"/>
      <c r="R965" s="10"/>
      <c r="S965" s="10"/>
      <c r="T965" s="10"/>
      <c r="U965" s="1"/>
      <c r="V965" s="205"/>
      <c r="W965" s="205"/>
      <c r="X965" s="205"/>
      <c r="Y965" s="183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 ht="16.5" customHeight="1">
      <c r="A966" s="1"/>
      <c r="B966" s="1"/>
      <c r="C966" s="199"/>
      <c r="D966" s="1"/>
      <c r="E966" s="1"/>
      <c r="F966" s="1"/>
      <c r="G966" s="199"/>
      <c r="H966" s="1"/>
      <c r="I966" s="1"/>
      <c r="J966" s="1"/>
      <c r="K966" s="1"/>
      <c r="L966" s="1"/>
      <c r="M966" s="1"/>
      <c r="N966" s="10"/>
      <c r="O966" s="10"/>
      <c r="P966" s="10"/>
      <c r="Q966" s="10"/>
      <c r="R966" s="10"/>
      <c r="S966" s="10"/>
      <c r="T966" s="10"/>
      <c r="U966" s="1"/>
      <c r="V966" s="205"/>
      <c r="W966" s="205"/>
      <c r="X966" s="205"/>
      <c r="Y966" s="183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 ht="16.5" customHeight="1">
      <c r="A967" s="1"/>
      <c r="B967" s="1"/>
      <c r="C967" s="199"/>
      <c r="D967" s="1"/>
      <c r="E967" s="1"/>
      <c r="F967" s="1"/>
      <c r="G967" s="199"/>
      <c r="H967" s="1"/>
      <c r="I967" s="1"/>
      <c r="J967" s="1"/>
      <c r="K967" s="1"/>
      <c r="L967" s="1"/>
      <c r="M967" s="1"/>
      <c r="N967" s="10"/>
      <c r="O967" s="10"/>
      <c r="P967" s="10"/>
      <c r="Q967" s="10"/>
      <c r="R967" s="10"/>
      <c r="S967" s="10"/>
      <c r="T967" s="10"/>
      <c r="U967" s="1"/>
      <c r="V967" s="205"/>
      <c r="W967" s="205"/>
      <c r="X967" s="205"/>
      <c r="Y967" s="183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 ht="16.5" customHeight="1">
      <c r="A968" s="1"/>
      <c r="B968" s="1"/>
      <c r="C968" s="199"/>
      <c r="D968" s="1"/>
      <c r="E968" s="1"/>
      <c r="F968" s="1"/>
      <c r="G968" s="199"/>
      <c r="H968" s="1"/>
      <c r="I968" s="1"/>
      <c r="J968" s="1"/>
      <c r="K968" s="1"/>
      <c r="L968" s="1"/>
      <c r="M968" s="1"/>
      <c r="N968" s="10"/>
      <c r="O968" s="10"/>
      <c r="P968" s="10"/>
      <c r="Q968" s="10"/>
      <c r="R968" s="10"/>
      <c r="S968" s="10"/>
      <c r="T968" s="10"/>
      <c r="U968" s="1"/>
      <c r="V968" s="205"/>
      <c r="W968" s="205"/>
      <c r="X968" s="205"/>
      <c r="Y968" s="183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 ht="16.5" customHeight="1">
      <c r="A969" s="1"/>
      <c r="B969" s="1"/>
      <c r="C969" s="199"/>
      <c r="D969" s="1"/>
      <c r="E969" s="1"/>
      <c r="F969" s="1"/>
      <c r="G969" s="199"/>
      <c r="H969" s="1"/>
      <c r="I969" s="1"/>
      <c r="J969" s="1"/>
      <c r="K969" s="1"/>
      <c r="L969" s="1"/>
      <c r="M969" s="1"/>
      <c r="N969" s="10"/>
      <c r="O969" s="10"/>
      <c r="P969" s="10"/>
      <c r="Q969" s="10"/>
      <c r="R969" s="10"/>
      <c r="S969" s="10"/>
      <c r="T969" s="10"/>
      <c r="U969" s="1"/>
      <c r="V969" s="205"/>
      <c r="W969" s="205"/>
      <c r="X969" s="205"/>
      <c r="Y969" s="183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 ht="16.5" customHeight="1">
      <c r="A970" s="1"/>
      <c r="B970" s="1"/>
      <c r="C970" s="199"/>
      <c r="D970" s="1"/>
      <c r="E970" s="1"/>
      <c r="F970" s="1"/>
      <c r="G970" s="199"/>
      <c r="H970" s="1"/>
      <c r="I970" s="1"/>
      <c r="J970" s="1"/>
      <c r="K970" s="1"/>
      <c r="L970" s="1"/>
      <c r="M970" s="1"/>
      <c r="N970" s="10"/>
      <c r="O970" s="10"/>
      <c r="P970" s="10"/>
      <c r="Q970" s="10"/>
      <c r="R970" s="10"/>
      <c r="S970" s="10"/>
      <c r="T970" s="10"/>
      <c r="U970" s="1"/>
      <c r="V970" s="205"/>
      <c r="W970" s="205"/>
      <c r="X970" s="205"/>
      <c r="Y970" s="183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 ht="16.5" customHeight="1">
      <c r="A971" s="1"/>
      <c r="B971" s="1"/>
      <c r="C971" s="199"/>
      <c r="D971" s="1"/>
      <c r="E971" s="1"/>
      <c r="F971" s="1"/>
      <c r="G971" s="199"/>
      <c r="H971" s="1"/>
      <c r="I971" s="1"/>
      <c r="J971" s="1"/>
      <c r="K971" s="1"/>
      <c r="L971" s="1"/>
      <c r="M971" s="1"/>
      <c r="N971" s="10"/>
      <c r="O971" s="10"/>
      <c r="P971" s="10"/>
      <c r="Q971" s="10"/>
      <c r="R971" s="10"/>
      <c r="S971" s="10"/>
      <c r="T971" s="10"/>
      <c r="U971" s="1"/>
      <c r="V971" s="205"/>
      <c r="W971" s="205"/>
      <c r="X971" s="205"/>
      <c r="Y971" s="183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 ht="16.5" customHeight="1">
      <c r="A972" s="1"/>
      <c r="B972" s="1"/>
      <c r="C972" s="199"/>
      <c r="D972" s="1"/>
      <c r="E972" s="1"/>
      <c r="F972" s="1"/>
      <c r="G972" s="199"/>
      <c r="H972" s="1"/>
      <c r="I972" s="1"/>
      <c r="J972" s="1"/>
      <c r="K972" s="1"/>
      <c r="L972" s="1"/>
      <c r="M972" s="1"/>
      <c r="N972" s="10"/>
      <c r="O972" s="10"/>
      <c r="P972" s="10"/>
      <c r="Q972" s="10"/>
      <c r="R972" s="10"/>
      <c r="S972" s="10"/>
      <c r="T972" s="10"/>
      <c r="U972" s="1"/>
      <c r="V972" s="205"/>
      <c r="W972" s="205"/>
      <c r="X972" s="205"/>
      <c r="Y972" s="183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 ht="16.5" customHeight="1">
      <c r="A973" s="1"/>
      <c r="B973" s="1"/>
      <c r="C973" s="199"/>
      <c r="D973" s="1"/>
      <c r="E973" s="1"/>
      <c r="F973" s="1"/>
      <c r="G973" s="199"/>
      <c r="H973" s="1"/>
      <c r="I973" s="1"/>
      <c r="J973" s="1"/>
      <c r="K973" s="1"/>
      <c r="L973" s="1"/>
      <c r="M973" s="1"/>
      <c r="N973" s="10"/>
      <c r="O973" s="10"/>
      <c r="P973" s="10"/>
      <c r="Q973" s="10"/>
      <c r="R973" s="10"/>
      <c r="S973" s="10"/>
      <c r="T973" s="10"/>
      <c r="U973" s="1"/>
      <c r="V973" s="205"/>
      <c r="W973" s="205"/>
      <c r="X973" s="205"/>
      <c r="Y973" s="183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 ht="16.5" customHeight="1">
      <c r="A974" s="1"/>
      <c r="B974" s="1"/>
      <c r="C974" s="199"/>
      <c r="D974" s="1"/>
      <c r="E974" s="1"/>
      <c r="F974" s="1"/>
      <c r="G974" s="199"/>
      <c r="H974" s="1"/>
      <c r="I974" s="1"/>
      <c r="J974" s="1"/>
      <c r="K974" s="1"/>
      <c r="L974" s="1"/>
      <c r="M974" s="1"/>
      <c r="N974" s="10"/>
      <c r="O974" s="10"/>
      <c r="P974" s="10"/>
      <c r="Q974" s="10"/>
      <c r="R974" s="10"/>
      <c r="S974" s="10"/>
      <c r="T974" s="10"/>
      <c r="U974" s="1"/>
      <c r="V974" s="205"/>
      <c r="W974" s="205"/>
      <c r="X974" s="205"/>
      <c r="Y974" s="183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 ht="16.5" customHeight="1">
      <c r="A975" s="1"/>
      <c r="B975" s="1"/>
      <c r="C975" s="199"/>
      <c r="D975" s="1"/>
      <c r="E975" s="1"/>
      <c r="F975" s="1"/>
      <c r="G975" s="199"/>
      <c r="H975" s="1"/>
      <c r="I975" s="1"/>
      <c r="J975" s="1"/>
      <c r="K975" s="1"/>
      <c r="L975" s="1"/>
      <c r="M975" s="1"/>
      <c r="N975" s="10"/>
      <c r="O975" s="10"/>
      <c r="P975" s="10"/>
      <c r="Q975" s="10"/>
      <c r="R975" s="10"/>
      <c r="S975" s="10"/>
      <c r="T975" s="10"/>
      <c r="U975" s="1"/>
      <c r="V975" s="205"/>
      <c r="W975" s="205"/>
      <c r="X975" s="205"/>
      <c r="Y975" s="183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 ht="16.5" customHeight="1">
      <c r="A976" s="1"/>
      <c r="B976" s="1"/>
      <c r="C976" s="199"/>
      <c r="D976" s="1"/>
      <c r="E976" s="1"/>
      <c r="F976" s="1"/>
      <c r="G976" s="199"/>
      <c r="H976" s="1"/>
      <c r="I976" s="1"/>
      <c r="J976" s="1"/>
      <c r="K976" s="1"/>
      <c r="L976" s="1"/>
      <c r="M976" s="1"/>
      <c r="N976" s="10"/>
      <c r="O976" s="10"/>
      <c r="P976" s="10"/>
      <c r="Q976" s="10"/>
      <c r="R976" s="10"/>
      <c r="S976" s="10"/>
      <c r="T976" s="10"/>
      <c r="U976" s="1"/>
      <c r="V976" s="205"/>
      <c r="W976" s="205"/>
      <c r="X976" s="205"/>
      <c r="Y976" s="183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 ht="16.5" customHeight="1">
      <c r="A977" s="1"/>
      <c r="B977" s="1"/>
      <c r="C977" s="199"/>
      <c r="D977" s="1"/>
      <c r="E977" s="1"/>
      <c r="F977" s="1"/>
      <c r="G977" s="199"/>
      <c r="H977" s="1"/>
      <c r="I977" s="1"/>
      <c r="J977" s="1"/>
      <c r="K977" s="1"/>
      <c r="L977" s="1"/>
      <c r="M977" s="1"/>
      <c r="N977" s="10"/>
      <c r="O977" s="10"/>
      <c r="P977" s="10"/>
      <c r="Q977" s="10"/>
      <c r="R977" s="10"/>
      <c r="S977" s="10"/>
      <c r="T977" s="10"/>
      <c r="U977" s="1"/>
      <c r="V977" s="205"/>
      <c r="W977" s="205"/>
      <c r="X977" s="205"/>
      <c r="Y977" s="183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 ht="16.5" customHeight="1">
      <c r="A978" s="1"/>
      <c r="B978" s="1"/>
      <c r="C978" s="199"/>
      <c r="D978" s="1"/>
      <c r="E978" s="1"/>
      <c r="F978" s="1"/>
      <c r="G978" s="199"/>
      <c r="H978" s="1"/>
      <c r="I978" s="1"/>
      <c r="J978" s="1"/>
      <c r="K978" s="1"/>
      <c r="L978" s="1"/>
      <c r="M978" s="1"/>
      <c r="N978" s="10"/>
      <c r="O978" s="10"/>
      <c r="P978" s="10"/>
      <c r="Q978" s="10"/>
      <c r="R978" s="10"/>
      <c r="S978" s="10"/>
      <c r="T978" s="10"/>
      <c r="U978" s="1"/>
      <c r="V978" s="205"/>
      <c r="W978" s="205"/>
      <c r="X978" s="205"/>
      <c r="Y978" s="183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 ht="16.5" customHeight="1">
      <c r="A979" s="1"/>
      <c r="B979" s="1"/>
      <c r="C979" s="199"/>
      <c r="D979" s="1"/>
      <c r="E979" s="1"/>
      <c r="F979" s="1"/>
      <c r="G979" s="199"/>
      <c r="H979" s="1"/>
      <c r="I979" s="1"/>
      <c r="J979" s="1"/>
      <c r="K979" s="1"/>
      <c r="L979" s="1"/>
      <c r="M979" s="1"/>
      <c r="N979" s="10"/>
      <c r="O979" s="10"/>
      <c r="P979" s="10"/>
      <c r="Q979" s="10"/>
      <c r="R979" s="10"/>
      <c r="S979" s="10"/>
      <c r="T979" s="10"/>
      <c r="U979" s="1"/>
      <c r="V979" s="205"/>
      <c r="W979" s="205"/>
      <c r="X979" s="205"/>
      <c r="Y979" s="183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 ht="16.5" customHeight="1">
      <c r="A980" s="1"/>
      <c r="B980" s="1"/>
      <c r="C980" s="199"/>
      <c r="D980" s="1"/>
      <c r="E980" s="1"/>
      <c r="F980" s="1"/>
      <c r="G980" s="199"/>
      <c r="H980" s="1"/>
      <c r="I980" s="1"/>
      <c r="J980" s="1"/>
      <c r="K980" s="1"/>
      <c r="L980" s="1"/>
      <c r="M980" s="1"/>
      <c r="N980" s="10"/>
      <c r="O980" s="10"/>
      <c r="P980" s="10"/>
      <c r="Q980" s="10"/>
      <c r="R980" s="10"/>
      <c r="S980" s="10"/>
      <c r="T980" s="10"/>
      <c r="U980" s="1"/>
      <c r="V980" s="205"/>
      <c r="W980" s="205"/>
      <c r="X980" s="205"/>
      <c r="Y980" s="183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 ht="16.5" customHeight="1">
      <c r="A981" s="1"/>
      <c r="B981" s="1"/>
      <c r="C981" s="199"/>
      <c r="D981" s="1"/>
      <c r="E981" s="1"/>
      <c r="F981" s="1"/>
      <c r="G981" s="199"/>
      <c r="H981" s="1"/>
      <c r="I981" s="1"/>
      <c r="J981" s="1"/>
      <c r="K981" s="1"/>
      <c r="L981" s="1"/>
      <c r="M981" s="1"/>
      <c r="N981" s="10"/>
      <c r="O981" s="10"/>
      <c r="P981" s="10"/>
      <c r="Q981" s="10"/>
      <c r="R981" s="10"/>
      <c r="S981" s="10"/>
      <c r="T981" s="10"/>
      <c r="U981" s="1"/>
      <c r="V981" s="205"/>
      <c r="W981" s="205"/>
      <c r="X981" s="205"/>
      <c r="Y981" s="183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 ht="16.5" customHeight="1">
      <c r="A982" s="1"/>
      <c r="B982" s="1"/>
      <c r="C982" s="199"/>
      <c r="D982" s="1"/>
      <c r="E982" s="1"/>
      <c r="F982" s="1"/>
      <c r="G982" s="199"/>
      <c r="H982" s="1"/>
      <c r="I982" s="1"/>
      <c r="J982" s="1"/>
      <c r="K982" s="1"/>
      <c r="L982" s="1"/>
      <c r="M982" s="1"/>
      <c r="N982" s="10"/>
      <c r="O982" s="10"/>
      <c r="P982" s="10"/>
      <c r="Q982" s="10"/>
      <c r="R982" s="10"/>
      <c r="S982" s="10"/>
      <c r="T982" s="10"/>
      <c r="U982" s="1"/>
      <c r="V982" s="205"/>
      <c r="W982" s="205"/>
      <c r="X982" s="205"/>
      <c r="Y982" s="183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 ht="16.5" customHeight="1">
      <c r="A983" s="1"/>
      <c r="B983" s="1"/>
      <c r="C983" s="199"/>
      <c r="D983" s="1"/>
      <c r="E983" s="1"/>
      <c r="F983" s="1"/>
      <c r="G983" s="199"/>
      <c r="H983" s="1"/>
      <c r="I983" s="1"/>
      <c r="J983" s="1"/>
      <c r="K983" s="1"/>
      <c r="L983" s="1"/>
      <c r="M983" s="1"/>
      <c r="N983" s="10"/>
      <c r="O983" s="10"/>
      <c r="P983" s="10"/>
      <c r="Q983" s="10"/>
      <c r="R983" s="10"/>
      <c r="S983" s="10"/>
      <c r="T983" s="10"/>
      <c r="U983" s="1"/>
      <c r="V983" s="205"/>
      <c r="W983" s="205"/>
      <c r="X983" s="205"/>
      <c r="Y983" s="183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 ht="16.5" customHeight="1">
      <c r="A984" s="1"/>
      <c r="B984" s="1"/>
      <c r="C984" s="199"/>
      <c r="D984" s="1"/>
      <c r="E984" s="1"/>
      <c r="F984" s="1"/>
      <c r="G984" s="199"/>
      <c r="H984" s="1"/>
      <c r="I984" s="1"/>
      <c r="J984" s="1"/>
      <c r="K984" s="1"/>
      <c r="L984" s="1"/>
      <c r="M984" s="1"/>
      <c r="N984" s="10"/>
      <c r="O984" s="10"/>
      <c r="P984" s="10"/>
      <c r="Q984" s="10"/>
      <c r="R984" s="10"/>
      <c r="S984" s="10"/>
      <c r="T984" s="10"/>
      <c r="U984" s="1"/>
      <c r="V984" s="205"/>
      <c r="W984" s="205"/>
      <c r="X984" s="205"/>
      <c r="Y984" s="183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 ht="16.5" customHeight="1">
      <c r="A985" s="1"/>
      <c r="B985" s="1"/>
      <c r="C985" s="199"/>
      <c r="D985" s="1"/>
      <c r="E985" s="1"/>
      <c r="F985" s="1"/>
      <c r="G985" s="199"/>
      <c r="H985" s="1"/>
      <c r="I985" s="1"/>
      <c r="J985" s="1"/>
      <c r="K985" s="1"/>
      <c r="L985" s="1"/>
      <c r="M985" s="1"/>
      <c r="N985" s="10"/>
      <c r="O985" s="10"/>
      <c r="P985" s="10"/>
      <c r="Q985" s="10"/>
      <c r="R985" s="10"/>
      <c r="S985" s="10"/>
      <c r="T985" s="10"/>
      <c r="U985" s="1"/>
      <c r="V985" s="205"/>
      <c r="W985" s="205"/>
      <c r="X985" s="205"/>
      <c r="Y985" s="183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 ht="16.5" customHeight="1">
      <c r="A986" s="1"/>
      <c r="B986" s="1"/>
      <c r="C986" s="199"/>
      <c r="D986" s="1"/>
      <c r="E986" s="1"/>
      <c r="F986" s="1"/>
      <c r="G986" s="199"/>
      <c r="H986" s="1"/>
      <c r="I986" s="1"/>
      <c r="J986" s="1"/>
      <c r="K986" s="1"/>
      <c r="L986" s="1"/>
      <c r="M986" s="1"/>
      <c r="N986" s="10"/>
      <c r="O986" s="10"/>
      <c r="P986" s="10"/>
      <c r="Q986" s="10"/>
      <c r="R986" s="10"/>
      <c r="S986" s="10"/>
      <c r="T986" s="10"/>
      <c r="U986" s="1"/>
      <c r="V986" s="205"/>
      <c r="W986" s="205"/>
      <c r="X986" s="205"/>
      <c r="Y986" s="183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 ht="16.5" customHeight="1">
      <c r="A987" s="1"/>
      <c r="B987" s="1"/>
      <c r="C987" s="199"/>
      <c r="D987" s="1"/>
      <c r="E987" s="1"/>
      <c r="F987" s="1"/>
      <c r="G987" s="199"/>
      <c r="H987" s="1"/>
      <c r="I987" s="1"/>
      <c r="J987" s="1"/>
      <c r="K987" s="1"/>
      <c r="L987" s="1"/>
      <c r="M987" s="1"/>
      <c r="N987" s="10"/>
      <c r="O987" s="10"/>
      <c r="P987" s="10"/>
      <c r="Q987" s="10"/>
      <c r="R987" s="10"/>
      <c r="S987" s="10"/>
      <c r="T987" s="10"/>
      <c r="U987" s="1"/>
      <c r="V987" s="205"/>
      <c r="W987" s="205"/>
      <c r="X987" s="205"/>
      <c r="Y987" s="183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 ht="16.5" customHeight="1">
      <c r="A988" s="1"/>
      <c r="B988" s="1"/>
      <c r="C988" s="199"/>
      <c r="D988" s="1"/>
      <c r="E988" s="1"/>
      <c r="F988" s="1"/>
      <c r="G988" s="199"/>
      <c r="H988" s="1"/>
      <c r="I988" s="1"/>
      <c r="J988" s="1"/>
      <c r="K988" s="1"/>
      <c r="L988" s="1"/>
      <c r="M988" s="1"/>
      <c r="N988" s="10"/>
      <c r="O988" s="10"/>
      <c r="P988" s="10"/>
      <c r="Q988" s="10"/>
      <c r="R988" s="10"/>
      <c r="S988" s="10"/>
      <c r="T988" s="10"/>
      <c r="U988" s="1"/>
      <c r="V988" s="205"/>
      <c r="W988" s="205"/>
      <c r="X988" s="205"/>
      <c r="Y988" s="183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 ht="16.5" customHeight="1">
      <c r="A989" s="1"/>
      <c r="B989" s="1"/>
      <c r="C989" s="199"/>
      <c r="D989" s="1"/>
      <c r="E989" s="1"/>
      <c r="F989" s="1"/>
      <c r="G989" s="199"/>
      <c r="H989" s="1"/>
      <c r="I989" s="1"/>
      <c r="J989" s="1"/>
      <c r="K989" s="1"/>
      <c r="L989" s="1"/>
      <c r="M989" s="1"/>
      <c r="N989" s="10"/>
      <c r="O989" s="10"/>
      <c r="P989" s="10"/>
      <c r="Q989" s="10"/>
      <c r="R989" s="10"/>
      <c r="S989" s="10"/>
      <c r="T989" s="10"/>
      <c r="U989" s="1"/>
      <c r="V989" s="205"/>
      <c r="W989" s="205"/>
      <c r="X989" s="205"/>
      <c r="Y989" s="183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 ht="16.5" customHeight="1">
      <c r="A990" s="1"/>
      <c r="B990" s="1"/>
      <c r="C990" s="199"/>
      <c r="D990" s="1"/>
      <c r="E990" s="1"/>
      <c r="F990" s="1"/>
      <c r="G990" s="199"/>
      <c r="H990" s="1"/>
      <c r="I990" s="1"/>
      <c r="J990" s="1"/>
      <c r="K990" s="1"/>
      <c r="L990" s="1"/>
      <c r="M990" s="1"/>
      <c r="N990" s="10"/>
      <c r="O990" s="10"/>
      <c r="P990" s="10"/>
      <c r="Q990" s="10"/>
      <c r="R990" s="10"/>
      <c r="S990" s="10"/>
      <c r="T990" s="10"/>
      <c r="U990" s="1"/>
      <c r="V990" s="205"/>
      <c r="W990" s="205"/>
      <c r="X990" s="205"/>
      <c r="Y990" s="183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 ht="16.5" customHeight="1">
      <c r="A991" s="1"/>
      <c r="B991" s="1"/>
      <c r="C991" s="199"/>
      <c r="D991" s="1"/>
      <c r="E991" s="1"/>
      <c r="F991" s="1"/>
      <c r="G991" s="199"/>
      <c r="H991" s="1"/>
      <c r="I991" s="1"/>
      <c r="J991" s="1"/>
      <c r="K991" s="1"/>
      <c r="L991" s="1"/>
      <c r="M991" s="1"/>
      <c r="N991" s="10"/>
      <c r="O991" s="10"/>
      <c r="P991" s="10"/>
      <c r="Q991" s="10"/>
      <c r="R991" s="10"/>
      <c r="S991" s="10"/>
      <c r="T991" s="10"/>
      <c r="U991" s="1"/>
      <c r="V991" s="205"/>
      <c r="W991" s="205"/>
      <c r="X991" s="205"/>
      <c r="Y991" s="183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 ht="16.5" customHeight="1">
      <c r="A992" s="1"/>
      <c r="B992" s="1"/>
      <c r="C992" s="199"/>
      <c r="D992" s="1"/>
      <c r="E992" s="1"/>
      <c r="F992" s="1"/>
      <c r="G992" s="199"/>
      <c r="H992" s="1"/>
      <c r="I992" s="1"/>
      <c r="J992" s="1"/>
      <c r="K992" s="1"/>
      <c r="L992" s="1"/>
      <c r="M992" s="1"/>
      <c r="N992" s="10"/>
      <c r="O992" s="10"/>
      <c r="P992" s="10"/>
      <c r="Q992" s="10"/>
      <c r="R992" s="10"/>
      <c r="S992" s="10"/>
      <c r="T992" s="10"/>
      <c r="U992" s="1"/>
      <c r="V992" s="205"/>
      <c r="W992" s="205"/>
      <c r="X992" s="205"/>
      <c r="Y992" s="183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 ht="16.5" customHeight="1">
      <c r="A993" s="1"/>
      <c r="B993" s="1"/>
      <c r="C993" s="199"/>
      <c r="D993" s="1"/>
      <c r="E993" s="1"/>
      <c r="F993" s="1"/>
      <c r="G993" s="199"/>
      <c r="H993" s="1"/>
      <c r="I993" s="1"/>
      <c r="J993" s="1"/>
      <c r="K993" s="1"/>
      <c r="L993" s="1"/>
      <c r="M993" s="1"/>
      <c r="N993" s="10"/>
      <c r="O993" s="10"/>
      <c r="P993" s="10"/>
      <c r="Q993" s="10"/>
      <c r="R993" s="10"/>
      <c r="S993" s="10"/>
      <c r="T993" s="10"/>
      <c r="U993" s="1"/>
      <c r="V993" s="205"/>
      <c r="W993" s="205"/>
      <c r="X993" s="205"/>
      <c r="Y993" s="183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 ht="16.5" customHeight="1">
      <c r="A994" s="1"/>
      <c r="B994" s="1"/>
      <c r="C994" s="199"/>
      <c r="D994" s="1"/>
      <c r="E994" s="1"/>
      <c r="F994" s="1"/>
      <c r="G994" s="199"/>
      <c r="H994" s="1"/>
      <c r="I994" s="1"/>
      <c r="J994" s="1"/>
      <c r="K994" s="1"/>
      <c r="L994" s="1"/>
      <c r="M994" s="1"/>
      <c r="N994" s="10"/>
      <c r="O994" s="10"/>
      <c r="P994" s="10"/>
      <c r="Q994" s="10"/>
      <c r="R994" s="10"/>
      <c r="S994" s="10"/>
      <c r="T994" s="10"/>
      <c r="U994" s="1"/>
      <c r="V994" s="205"/>
      <c r="W994" s="205"/>
      <c r="X994" s="205"/>
      <c r="Y994" s="183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 ht="16.5" customHeight="1">
      <c r="A995" s="1"/>
      <c r="B995" s="1"/>
      <c r="C995" s="199"/>
      <c r="D995" s="1"/>
      <c r="E995" s="1"/>
      <c r="F995" s="1"/>
      <c r="G995" s="199"/>
      <c r="H995" s="1"/>
      <c r="I995" s="1"/>
      <c r="J995" s="1"/>
      <c r="K995" s="1"/>
      <c r="L995" s="1"/>
      <c r="M995" s="1"/>
      <c r="N995" s="10"/>
      <c r="O995" s="10"/>
      <c r="P995" s="10"/>
      <c r="Q995" s="10"/>
      <c r="R995" s="10"/>
      <c r="S995" s="10"/>
      <c r="T995" s="10"/>
      <c r="U995" s="1"/>
      <c r="V995" s="205"/>
      <c r="W995" s="205"/>
      <c r="X995" s="205"/>
      <c r="Y995" s="183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 ht="16.5" customHeight="1">
      <c r="A996" s="1"/>
      <c r="B996" s="1"/>
      <c r="C996" s="199"/>
      <c r="D996" s="1"/>
      <c r="E996" s="1"/>
      <c r="F996" s="1"/>
      <c r="G996" s="199"/>
      <c r="H996" s="1"/>
      <c r="I996" s="1"/>
      <c r="J996" s="1"/>
      <c r="K996" s="1"/>
      <c r="L996" s="1"/>
      <c r="M996" s="1"/>
      <c r="N996" s="10"/>
      <c r="O996" s="10"/>
      <c r="P996" s="10"/>
      <c r="Q996" s="10"/>
      <c r="R996" s="10"/>
      <c r="S996" s="10"/>
      <c r="T996" s="10"/>
      <c r="U996" s="1"/>
      <c r="V996" s="205"/>
      <c r="W996" s="205"/>
      <c r="X996" s="205"/>
      <c r="Y996" s="183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 ht="16.5" customHeight="1">
      <c r="A997" s="1"/>
      <c r="B997" s="1"/>
      <c r="C997" s="199"/>
      <c r="D997" s="1"/>
      <c r="E997" s="1"/>
      <c r="F997" s="1"/>
      <c r="G997" s="199"/>
      <c r="H997" s="1"/>
      <c r="I997" s="1"/>
      <c r="J997" s="1"/>
      <c r="K997" s="1"/>
      <c r="L997" s="1"/>
      <c r="M997" s="1"/>
      <c r="N997" s="10"/>
      <c r="O997" s="10"/>
      <c r="P997" s="10"/>
      <c r="Q997" s="10"/>
      <c r="R997" s="10"/>
      <c r="S997" s="10"/>
      <c r="T997" s="10"/>
      <c r="U997" s="1"/>
      <c r="V997" s="205"/>
      <c r="W997" s="205"/>
      <c r="X997" s="205"/>
      <c r="Y997" s="183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 ht="16.5" customHeight="1">
      <c r="A998" s="1"/>
      <c r="B998" s="1"/>
      <c r="C998" s="199"/>
      <c r="D998" s="1"/>
      <c r="E998" s="1"/>
      <c r="F998" s="1"/>
      <c r="G998" s="199"/>
      <c r="H998" s="1"/>
      <c r="I998" s="1"/>
      <c r="J998" s="1"/>
      <c r="K998" s="1"/>
      <c r="L998" s="1"/>
      <c r="M998" s="1"/>
      <c r="N998" s="10"/>
      <c r="O998" s="10"/>
      <c r="P998" s="10"/>
      <c r="Q998" s="10"/>
      <c r="R998" s="10"/>
      <c r="S998" s="10"/>
      <c r="T998" s="10"/>
      <c r="U998" s="1"/>
      <c r="V998" s="205"/>
      <c r="W998" s="205"/>
      <c r="X998" s="205"/>
      <c r="Y998" s="183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 ht="16.5" customHeight="1">
      <c r="A999" s="1"/>
      <c r="B999" s="1"/>
      <c r="C999" s="199"/>
      <c r="D999" s="1"/>
      <c r="E999" s="1"/>
      <c r="F999" s="1"/>
      <c r="G999" s="199"/>
      <c r="H999" s="1"/>
      <c r="I999" s="1"/>
      <c r="J999" s="1"/>
      <c r="K999" s="1"/>
      <c r="L999" s="1"/>
      <c r="M999" s="1"/>
      <c r="N999" s="10"/>
      <c r="O999" s="10"/>
      <c r="P999" s="10"/>
      <c r="Q999" s="10"/>
      <c r="R999" s="10"/>
      <c r="S999" s="10"/>
      <c r="T999" s="10"/>
      <c r="U999" s="1"/>
      <c r="V999" s="205"/>
      <c r="W999" s="205"/>
      <c r="X999" s="205"/>
      <c r="Y999" s="183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  <row r="1000" ht="16.5" customHeight="1">
      <c r="A1000" s="1"/>
      <c r="B1000" s="1"/>
      <c r="C1000" s="199"/>
      <c r="D1000" s="1"/>
      <c r="E1000" s="1"/>
      <c r="F1000" s="1"/>
      <c r="G1000" s="199"/>
      <c r="H1000" s="1"/>
      <c r="I1000" s="1"/>
      <c r="J1000" s="1"/>
      <c r="K1000" s="1"/>
      <c r="L1000" s="1"/>
      <c r="M1000" s="1"/>
      <c r="N1000" s="10"/>
      <c r="O1000" s="10"/>
      <c r="P1000" s="10"/>
      <c r="Q1000" s="10"/>
      <c r="R1000" s="10"/>
      <c r="S1000" s="10"/>
      <c r="T1000" s="10"/>
      <c r="U1000" s="1"/>
      <c r="V1000" s="205"/>
      <c r="W1000" s="205"/>
      <c r="X1000" s="205"/>
      <c r="Y1000" s="183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</row>
    <row r="1001" ht="16.5" customHeight="1">
      <c r="A1001" s="1"/>
      <c r="B1001" s="1"/>
      <c r="C1001" s="199"/>
      <c r="D1001" s="1"/>
      <c r="E1001" s="1"/>
      <c r="F1001" s="1"/>
      <c r="G1001" s="199"/>
      <c r="H1001" s="1"/>
      <c r="I1001" s="1"/>
      <c r="J1001" s="1"/>
      <c r="K1001" s="1"/>
      <c r="L1001" s="1"/>
      <c r="M1001" s="1"/>
      <c r="N1001" s="10"/>
      <c r="O1001" s="10"/>
      <c r="P1001" s="10"/>
      <c r="Q1001" s="10"/>
      <c r="R1001" s="10"/>
      <c r="S1001" s="10"/>
      <c r="T1001" s="10"/>
      <c r="U1001" s="1"/>
      <c r="V1001" s="205"/>
      <c r="W1001" s="205"/>
      <c r="X1001" s="205"/>
      <c r="Y1001" s="183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</row>
    <row r="1002" ht="16.5" customHeight="1">
      <c r="A1002" s="1"/>
      <c r="B1002" s="1"/>
      <c r="C1002" s="199"/>
      <c r="D1002" s="1"/>
      <c r="E1002" s="1"/>
      <c r="F1002" s="1"/>
      <c r="G1002" s="199"/>
      <c r="H1002" s="1"/>
      <c r="I1002" s="1"/>
      <c r="J1002" s="1"/>
      <c r="K1002" s="1"/>
      <c r="L1002" s="1"/>
      <c r="M1002" s="1"/>
      <c r="N1002" s="10"/>
      <c r="O1002" s="10"/>
      <c r="P1002" s="10"/>
      <c r="Q1002" s="10"/>
      <c r="R1002" s="10"/>
      <c r="S1002" s="10"/>
      <c r="T1002" s="10"/>
      <c r="U1002" s="1"/>
      <c r="V1002" s="205"/>
      <c r="W1002" s="205"/>
      <c r="X1002" s="205"/>
      <c r="Y1002" s="183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</row>
    <row r="1003" ht="16.5" customHeight="1">
      <c r="A1003" s="1"/>
      <c r="B1003" s="1"/>
      <c r="C1003" s="199"/>
      <c r="D1003" s="1"/>
      <c r="E1003" s="1"/>
      <c r="F1003" s="1"/>
      <c r="G1003" s="199"/>
      <c r="H1003" s="1"/>
      <c r="I1003" s="1"/>
      <c r="J1003" s="1"/>
      <c r="K1003" s="1"/>
      <c r="L1003" s="1"/>
      <c r="M1003" s="1"/>
      <c r="N1003" s="10"/>
      <c r="O1003" s="10"/>
      <c r="P1003" s="10"/>
      <c r="Q1003" s="10"/>
      <c r="R1003" s="10"/>
      <c r="S1003" s="10"/>
      <c r="T1003" s="10"/>
      <c r="U1003" s="1"/>
      <c r="V1003" s="205"/>
      <c r="W1003" s="205"/>
      <c r="X1003" s="205"/>
      <c r="Y1003" s="183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</row>
    <row r="1004" ht="16.5" customHeight="1">
      <c r="A1004" s="1"/>
      <c r="B1004" s="1"/>
      <c r="C1004" s="199"/>
      <c r="D1004" s="1"/>
      <c r="E1004" s="1"/>
      <c r="F1004" s="1"/>
      <c r="G1004" s="199"/>
      <c r="H1004" s="1"/>
      <c r="I1004" s="1"/>
      <c r="J1004" s="1"/>
      <c r="K1004" s="1"/>
      <c r="L1004" s="1"/>
      <c r="M1004" s="1"/>
      <c r="N1004" s="10"/>
      <c r="O1004" s="10"/>
      <c r="P1004" s="10"/>
      <c r="Q1004" s="10"/>
      <c r="R1004" s="10"/>
      <c r="S1004" s="10"/>
      <c r="T1004" s="10"/>
      <c r="U1004" s="1"/>
      <c r="V1004" s="205"/>
      <c r="W1004" s="205"/>
      <c r="X1004" s="205"/>
      <c r="Y1004" s="183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</row>
    <row r="1005" ht="16.5" customHeight="1">
      <c r="A1005" s="1"/>
      <c r="B1005" s="1"/>
      <c r="C1005" s="199"/>
      <c r="D1005" s="1"/>
      <c r="E1005" s="1"/>
      <c r="F1005" s="1"/>
      <c r="G1005" s="199"/>
      <c r="H1005" s="1"/>
      <c r="I1005" s="1"/>
      <c r="J1005" s="1"/>
      <c r="K1005" s="1"/>
      <c r="L1005" s="1"/>
      <c r="M1005" s="1"/>
      <c r="N1005" s="10"/>
      <c r="O1005" s="10"/>
      <c r="P1005" s="10"/>
      <c r="Q1005" s="10"/>
      <c r="R1005" s="10"/>
      <c r="S1005" s="10"/>
      <c r="T1005" s="10"/>
      <c r="U1005" s="1"/>
      <c r="V1005" s="205"/>
      <c r="W1005" s="205"/>
      <c r="X1005" s="205"/>
      <c r="Y1005" s="183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</row>
    <row r="1006" ht="16.5" customHeight="1">
      <c r="A1006" s="1"/>
      <c r="B1006" s="1"/>
      <c r="C1006" s="199"/>
      <c r="D1006" s="1"/>
      <c r="E1006" s="1"/>
      <c r="F1006" s="1"/>
      <c r="G1006" s="199"/>
      <c r="H1006" s="1"/>
      <c r="I1006" s="1"/>
      <c r="J1006" s="1"/>
      <c r="K1006" s="1"/>
      <c r="L1006" s="1"/>
      <c r="M1006" s="1"/>
      <c r="N1006" s="10"/>
      <c r="O1006" s="10"/>
      <c r="P1006" s="10"/>
      <c r="Q1006" s="10"/>
      <c r="R1006" s="10"/>
      <c r="S1006" s="10"/>
      <c r="T1006" s="10"/>
      <c r="U1006" s="1"/>
      <c r="V1006" s="205"/>
      <c r="W1006" s="205"/>
      <c r="X1006" s="205"/>
      <c r="Y1006" s="183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</row>
    <row r="1007" ht="16.5" customHeight="1">
      <c r="A1007" s="1"/>
      <c r="B1007" s="1"/>
      <c r="C1007" s="199"/>
      <c r="D1007" s="1"/>
      <c r="E1007" s="1"/>
      <c r="F1007" s="1"/>
      <c r="G1007" s="199"/>
      <c r="H1007" s="1"/>
      <c r="I1007" s="1"/>
      <c r="J1007" s="1"/>
      <c r="K1007" s="1"/>
      <c r="L1007" s="1"/>
      <c r="M1007" s="1"/>
      <c r="N1007" s="10"/>
      <c r="O1007" s="10"/>
      <c r="P1007" s="10"/>
      <c r="Q1007" s="10"/>
      <c r="R1007" s="10"/>
      <c r="S1007" s="10"/>
      <c r="T1007" s="10"/>
      <c r="U1007" s="1"/>
      <c r="V1007" s="205"/>
      <c r="W1007" s="205"/>
      <c r="X1007" s="205"/>
      <c r="Y1007" s="183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</row>
    <row r="1008" ht="16.5" customHeight="1">
      <c r="A1008" s="1"/>
      <c r="B1008" s="1"/>
      <c r="C1008" s="199"/>
      <c r="D1008" s="1"/>
      <c r="E1008" s="1"/>
      <c r="F1008" s="1"/>
      <c r="G1008" s="199"/>
      <c r="H1008" s="1"/>
      <c r="I1008" s="1"/>
      <c r="J1008" s="1"/>
      <c r="K1008" s="1"/>
      <c r="L1008" s="1"/>
      <c r="M1008" s="1"/>
      <c r="N1008" s="10"/>
      <c r="O1008" s="10"/>
      <c r="P1008" s="10"/>
      <c r="Q1008" s="10"/>
      <c r="R1008" s="10"/>
      <c r="S1008" s="10"/>
      <c r="T1008" s="10"/>
      <c r="U1008" s="1"/>
      <c r="V1008" s="205"/>
      <c r="W1008" s="205"/>
      <c r="X1008" s="205"/>
      <c r="Y1008" s="183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</row>
    <row r="1009" ht="16.5" customHeight="1">
      <c r="A1009" s="1"/>
      <c r="B1009" s="1"/>
      <c r="C1009" s="199"/>
      <c r="D1009" s="1"/>
      <c r="E1009" s="1"/>
      <c r="F1009" s="1"/>
      <c r="G1009" s="199"/>
      <c r="H1009" s="1"/>
      <c r="I1009" s="1"/>
      <c r="J1009" s="1"/>
      <c r="K1009" s="1"/>
      <c r="L1009" s="1"/>
      <c r="M1009" s="1"/>
      <c r="N1009" s="10"/>
      <c r="O1009" s="10"/>
      <c r="P1009" s="10"/>
      <c r="Q1009" s="10"/>
      <c r="R1009" s="10"/>
      <c r="S1009" s="10"/>
      <c r="T1009" s="10"/>
      <c r="U1009" s="1"/>
      <c r="V1009" s="205"/>
      <c r="W1009" s="205"/>
      <c r="X1009" s="205"/>
      <c r="Y1009" s="183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</row>
    <row r="1010" ht="16.5" customHeight="1">
      <c r="A1010" s="1"/>
      <c r="B1010" s="1"/>
      <c r="C1010" s="199"/>
      <c r="D1010" s="1"/>
      <c r="E1010" s="1"/>
      <c r="F1010" s="1"/>
      <c r="G1010" s="199"/>
      <c r="H1010" s="1"/>
      <c r="I1010" s="1"/>
      <c r="J1010" s="1"/>
      <c r="K1010" s="1"/>
      <c r="L1010" s="1"/>
      <c r="M1010" s="1"/>
      <c r="N1010" s="10"/>
      <c r="O1010" s="10"/>
      <c r="P1010" s="10"/>
      <c r="Q1010" s="10"/>
      <c r="R1010" s="10"/>
      <c r="S1010" s="10"/>
      <c r="T1010" s="10"/>
      <c r="U1010" s="1"/>
      <c r="V1010" s="205"/>
      <c r="W1010" s="205"/>
      <c r="X1010" s="205"/>
      <c r="Y1010" s="183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</row>
    <row r="1011" ht="16.5" customHeight="1">
      <c r="A1011" s="1"/>
      <c r="B1011" s="1"/>
      <c r="C1011" s="199"/>
      <c r="D1011" s="1"/>
      <c r="E1011" s="1"/>
      <c r="F1011" s="1"/>
      <c r="G1011" s="199"/>
      <c r="H1011" s="1"/>
      <c r="I1011" s="1"/>
      <c r="J1011" s="1"/>
      <c r="K1011" s="1"/>
      <c r="L1011" s="1"/>
      <c r="M1011" s="1"/>
      <c r="N1011" s="10"/>
      <c r="O1011" s="10"/>
      <c r="P1011" s="10"/>
      <c r="Q1011" s="10"/>
      <c r="R1011" s="10"/>
      <c r="S1011" s="10"/>
      <c r="T1011" s="10"/>
      <c r="U1011" s="1"/>
      <c r="V1011" s="205"/>
      <c r="W1011" s="205"/>
      <c r="X1011" s="205"/>
      <c r="Y1011" s="183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89"/>
    <col customWidth="1" min="2" max="18" width="10.11"/>
  </cols>
  <sheetData>
    <row r="1">
      <c r="A1" s="2"/>
      <c r="B1" s="2"/>
      <c r="C1" s="2"/>
      <c r="D1" s="16" t="s">
        <v>170</v>
      </c>
      <c r="E1" s="2"/>
      <c r="F1" s="2"/>
      <c r="G1" s="16" t="s">
        <v>171</v>
      </c>
      <c r="J1" s="2"/>
      <c r="K1" s="16" t="s">
        <v>172</v>
      </c>
      <c r="L1" s="16" t="s">
        <v>173</v>
      </c>
      <c r="M1" s="16" t="s">
        <v>174</v>
      </c>
      <c r="N1" s="16">
        <v>1.0</v>
      </c>
      <c r="O1" s="16">
        <v>2.0</v>
      </c>
      <c r="P1" s="16">
        <v>3.0</v>
      </c>
      <c r="Q1" s="16">
        <v>4.0</v>
      </c>
      <c r="R1" s="16">
        <v>5.0</v>
      </c>
      <c r="S1" s="16">
        <v>6.0</v>
      </c>
      <c r="T1" s="16">
        <v>7.0</v>
      </c>
      <c r="U1" s="16">
        <v>8.0</v>
      </c>
      <c r="V1" s="16">
        <v>9.0</v>
      </c>
      <c r="W1" s="16" t="s">
        <v>175</v>
      </c>
      <c r="X1" s="2"/>
      <c r="Y1" s="2"/>
      <c r="Z1" s="2"/>
    </row>
    <row r="2">
      <c r="A2" s="16">
        <v>1.0</v>
      </c>
      <c r="B2" s="2" t="str">
        <f>'skill data'!N79</f>
        <v>騎士勇氣</v>
      </c>
      <c r="C2" s="16" t="s">
        <v>176</v>
      </c>
      <c r="D2" s="2">
        <f>OFFSET('skill data'!$K$122,(E2-1)*6,(F2-1)*5)</f>
        <v>0</v>
      </c>
      <c r="E2" s="16">
        <v>1.0</v>
      </c>
      <c r="F2" s="16">
        <v>2.0</v>
      </c>
      <c r="G2" s="16">
        <v>1.0</v>
      </c>
      <c r="H2" s="2" t="str">
        <f>VLOOKUP('skill data'!T79,$B$2:$C$41,2,FALSE)</f>
        <v>G31</v>
      </c>
      <c r="I2" s="2">
        <f t="shared" ref="I2:I16" si="1">VLOOKUP(H2,$C$2:$D$41,2,FALSE)</f>
        <v>3</v>
      </c>
      <c r="J2" s="2"/>
      <c r="K2" s="16" t="s">
        <v>14</v>
      </c>
      <c r="L2" s="16" t="str">
        <f>'保存讀取技能樹'!B3</f>
        <v/>
      </c>
      <c r="M2" s="16"/>
      <c r="N2" s="16"/>
      <c r="O2" s="16"/>
      <c r="P2" s="186"/>
      <c r="Q2" s="16"/>
      <c r="R2" s="16"/>
      <c r="S2" s="16"/>
      <c r="T2" s="16"/>
      <c r="U2" s="16"/>
      <c r="V2" s="16"/>
      <c r="W2" s="2"/>
      <c r="X2" s="2"/>
      <c r="Y2" s="2"/>
      <c r="Z2" s="2"/>
    </row>
    <row r="3">
      <c r="A3" s="16">
        <v>2.0</v>
      </c>
      <c r="B3" s="2" t="str">
        <f>'skill data'!N80</f>
        <v>騎士兵團</v>
      </c>
      <c r="C3" s="16" t="s">
        <v>177</v>
      </c>
      <c r="D3" s="2">
        <f>OFFSET('skill data'!$K$122,(E3-1)*6,(F3-1)*5)</f>
        <v>3</v>
      </c>
      <c r="E3" s="16">
        <v>2.0</v>
      </c>
      <c r="F3" s="16">
        <v>1.0</v>
      </c>
      <c r="G3" s="16">
        <v>2.0</v>
      </c>
      <c r="H3" s="2" t="str">
        <f>VLOOKUP('skill data'!T80,$B$2:$C$41,2,FALSE)</f>
        <v>R21</v>
      </c>
      <c r="I3" s="2">
        <f t="shared" si="1"/>
        <v>3</v>
      </c>
      <c r="J3" s="2"/>
      <c r="K3" s="16" t="s">
        <v>16</v>
      </c>
      <c r="L3" s="2" t="str">
        <f>'技能模擬器'!C3&amp;'技能模擬器'!C2</f>
        <v>頭目寵物流</v>
      </c>
      <c r="M3" s="186"/>
      <c r="N3" s="186"/>
      <c r="O3" s="186"/>
      <c r="P3" s="186"/>
      <c r="Q3" s="16"/>
      <c r="R3" s="16"/>
      <c r="S3" s="16"/>
      <c r="T3" s="16"/>
      <c r="U3" s="16"/>
      <c r="V3" s="16"/>
      <c r="W3" s="2"/>
      <c r="X3" s="2"/>
      <c r="Y3" s="2"/>
      <c r="Z3" s="2"/>
    </row>
    <row r="4">
      <c r="A4" s="16">
        <v>3.0</v>
      </c>
      <c r="B4" s="2" t="str">
        <f>'skill data'!N81</f>
        <v>寵物進化</v>
      </c>
      <c r="C4" s="16" t="s">
        <v>178</v>
      </c>
      <c r="D4" s="2">
        <f>OFFSET('skill data'!$K$122,(E4-1)*6,(F4-1)*5)</f>
        <v>3</v>
      </c>
      <c r="E4" s="16">
        <v>2.0</v>
      </c>
      <c r="F4" s="16">
        <v>2.0</v>
      </c>
      <c r="G4" s="16">
        <v>3.0</v>
      </c>
      <c r="H4" s="2" t="str">
        <f>VLOOKUP('skill data'!T81,$B$2:$C$41,2,FALSE)</f>
        <v>B21</v>
      </c>
      <c r="I4" s="2">
        <f t="shared" si="1"/>
        <v>3</v>
      </c>
      <c r="J4" s="2"/>
      <c r="K4" s="16" t="s">
        <v>19</v>
      </c>
      <c r="L4" s="16">
        <f>'技能模擬器'!K3</f>
        <v>0</v>
      </c>
      <c r="M4" s="16"/>
      <c r="N4" s="16"/>
      <c r="O4" s="16"/>
      <c r="P4" s="186"/>
      <c r="Q4" s="16"/>
      <c r="R4" s="16"/>
      <c r="S4" s="16"/>
      <c r="T4" s="16"/>
      <c r="U4" s="16"/>
      <c r="V4" s="16"/>
      <c r="W4" s="2"/>
      <c r="X4" s="2"/>
      <c r="Y4" s="2"/>
      <c r="Z4" s="2"/>
    </row>
    <row r="5">
      <c r="A5" s="16">
        <v>4.0</v>
      </c>
      <c r="B5" s="2" t="str">
        <f>'skill data'!N82</f>
        <v>米達斯之心</v>
      </c>
      <c r="C5" s="16" t="s">
        <v>179</v>
      </c>
      <c r="D5" s="2">
        <f>OFFSET('skill data'!$K$122,(E5-1)*6,(F5-1)*5)</f>
        <v>3</v>
      </c>
      <c r="E5" s="16">
        <v>2.0</v>
      </c>
      <c r="F5" s="16">
        <v>3.0</v>
      </c>
      <c r="G5" s="16">
        <v>4.0</v>
      </c>
      <c r="H5" s="2" t="str">
        <f>VLOOKUP('skill data'!T82,$B$2:$C$41,2,FALSE)</f>
        <v>R23</v>
      </c>
      <c r="I5" s="2">
        <f t="shared" si="1"/>
        <v>3</v>
      </c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>
        <v>5.0</v>
      </c>
      <c r="B6" s="2" t="str">
        <f>'skill data'!N83</f>
        <v>劈斬</v>
      </c>
      <c r="C6" s="16" t="s">
        <v>180</v>
      </c>
      <c r="D6" s="2">
        <f>OFFSET('skill data'!$K$122,(E6-1)*6,(F6-1)*5)</f>
        <v>3</v>
      </c>
      <c r="E6" s="16">
        <v>3.0</v>
      </c>
      <c r="F6" s="16">
        <v>1.0</v>
      </c>
      <c r="G6" s="16">
        <v>5.0</v>
      </c>
      <c r="H6" s="2" t="str">
        <f>VLOOKUP('skill data'!T83,$B$2:$C$41,2,FALSE)</f>
        <v>Y43</v>
      </c>
      <c r="I6" s="2">
        <f t="shared" si="1"/>
        <v>3</v>
      </c>
      <c r="J6" s="16">
        <v>1.0</v>
      </c>
      <c r="K6" s="2" t="str">
        <f t="shared" ref="K6:K45" si="2">B2</f>
        <v>騎士勇氣</v>
      </c>
      <c r="L6" s="2" t="str">
        <f>skillR11</f>
        <v/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>
        <v>6.0</v>
      </c>
      <c r="B7" s="2" t="str">
        <f>'skill data'!N84</f>
        <v>召喚煉獄</v>
      </c>
      <c r="C7" s="16" t="s">
        <v>181</v>
      </c>
      <c r="D7" s="2">
        <f>OFFSET('skill data'!$K$122,(E7-1)*6,(F7-1)*5)</f>
        <v>3</v>
      </c>
      <c r="E7" s="16">
        <v>3.0</v>
      </c>
      <c r="F7" s="16">
        <v>2.0</v>
      </c>
      <c r="G7" s="16">
        <v>6.0</v>
      </c>
      <c r="H7" s="2" t="str">
        <f>VLOOKUP('skill data'!T84,$B$2:$C$41,2,FALSE)</f>
        <v>R22</v>
      </c>
      <c r="I7" s="2">
        <f t="shared" si="1"/>
        <v>3</v>
      </c>
      <c r="J7" s="16">
        <v>2.0</v>
      </c>
      <c r="K7" s="2" t="str">
        <f t="shared" si="2"/>
        <v>騎士兵團</v>
      </c>
      <c r="L7" s="2" t="str">
        <f>skillR21</f>
        <v/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>
        <v>7.0</v>
      </c>
      <c r="B8" s="2" t="str">
        <f>'skill data'!N85</f>
        <v>閃電爆破</v>
      </c>
      <c r="C8" s="16" t="s">
        <v>182</v>
      </c>
      <c r="D8" s="2">
        <f>OFFSET('skill data'!$K$122,(E8-1)*6,(F8-1)*5)</f>
        <v>3</v>
      </c>
      <c r="E8" s="16">
        <v>3.0</v>
      </c>
      <c r="F8" s="16">
        <v>3.0</v>
      </c>
      <c r="G8" s="16">
        <v>7.0</v>
      </c>
      <c r="H8" s="2" t="str">
        <f>VLOOKUP('skill data'!T85,$B$2:$C$41,2,FALSE)</f>
        <v>G11</v>
      </c>
      <c r="I8" s="2">
        <f t="shared" si="1"/>
        <v>0</v>
      </c>
      <c r="J8" s="16">
        <v>3.0</v>
      </c>
      <c r="K8" s="2" t="str">
        <f t="shared" si="2"/>
        <v>寵物進化</v>
      </c>
      <c r="L8" s="2" t="str">
        <f>skillR22</f>
        <v/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>
        <v>8.0</v>
      </c>
      <c r="B9" s="2" t="str">
        <f>'skill data'!N86</f>
        <v>野蠻狂怒</v>
      </c>
      <c r="C9" s="16" t="s">
        <v>183</v>
      </c>
      <c r="D9" s="2">
        <f>OFFSET('skill data'!$K$122,(E9-1)*6,(F9-1)*5)</f>
        <v>3</v>
      </c>
      <c r="E9" s="16">
        <v>4.0</v>
      </c>
      <c r="F9" s="16">
        <v>1.0</v>
      </c>
      <c r="G9" s="16">
        <v>8.0</v>
      </c>
      <c r="H9" s="2" t="str">
        <f>VLOOKUP('skill data'!T86,$B$2:$C$41,2,FALSE)</f>
        <v>R41</v>
      </c>
      <c r="I9" s="2">
        <f t="shared" si="1"/>
        <v>3</v>
      </c>
      <c r="J9" s="16">
        <v>4.0</v>
      </c>
      <c r="K9" s="2" t="str">
        <f t="shared" si="2"/>
        <v>米達斯之心</v>
      </c>
      <c r="L9" s="2" t="str">
        <f>skillR23</f>
        <v/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9.0</v>
      </c>
      <c r="B10" s="2"/>
      <c r="C10" s="2"/>
      <c r="D10" s="2" t="str">
        <f>OFFSET('skill data'!$K$122,(E10-1)*6,(F10-1)*5)</f>
        <v/>
      </c>
      <c r="E10" s="16">
        <v>4.0</v>
      </c>
      <c r="F10" s="16">
        <v>2.0</v>
      </c>
      <c r="G10" s="16">
        <v>9.0</v>
      </c>
      <c r="H10" s="2" t="str">
        <f>VLOOKUP('skill data'!T87,$B$2:$C$41,2,FALSE)</f>
        <v>R32</v>
      </c>
      <c r="I10" s="2">
        <f t="shared" si="1"/>
        <v>3</v>
      </c>
      <c r="J10" s="16">
        <v>5.0</v>
      </c>
      <c r="K10" s="2" t="str">
        <f t="shared" si="2"/>
        <v>劈斬</v>
      </c>
      <c r="L10" s="2" t="str">
        <f>skillR31</f>
        <v/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>
        <v>10.0</v>
      </c>
      <c r="B11" s="2" t="str">
        <f>'skill data'!N87</f>
        <v>閃電瞬移</v>
      </c>
      <c r="C11" s="16" t="s">
        <v>184</v>
      </c>
      <c r="D11" s="2">
        <f>OFFSET('skill data'!$K$122,(E11-1)*6,(F11-1)*5)</f>
        <v>3</v>
      </c>
      <c r="E11" s="16">
        <v>4.0</v>
      </c>
      <c r="F11" s="16">
        <v>3.0</v>
      </c>
      <c r="G11" s="16">
        <v>10.0</v>
      </c>
      <c r="H11" s="2" t="str">
        <f>VLOOKUP('skill data'!T88,$B$2:$C$41,2,FALSE)</f>
        <v>R43</v>
      </c>
      <c r="I11" s="2">
        <f t="shared" si="1"/>
        <v>3</v>
      </c>
      <c r="J11" s="16">
        <v>6.0</v>
      </c>
      <c r="K11" s="2" t="str">
        <f t="shared" si="2"/>
        <v>召喚煉獄</v>
      </c>
      <c r="L11" s="2" t="str">
        <f>skillR32</f>
        <v/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>
        <v>11.0</v>
      </c>
      <c r="B12" s="2" t="str">
        <f>'skill data'!N88</f>
        <v>指揮官大師</v>
      </c>
      <c r="C12" s="16" t="s">
        <v>185</v>
      </c>
      <c r="D12" s="2">
        <f>OFFSET('skill data'!$K$147,(E12-1)*6,(F12-1)*5)</f>
        <v>0</v>
      </c>
      <c r="E12" s="16">
        <v>1.0</v>
      </c>
      <c r="F12" s="16">
        <v>2.0</v>
      </c>
      <c r="G12" s="16">
        <v>11.0</v>
      </c>
      <c r="H12" s="2" t="str">
        <f>VLOOKUP('skill data'!T89,$B$2:$C$41,2,FALSE)</f>
        <v>Y22</v>
      </c>
      <c r="I12" s="2">
        <f t="shared" si="1"/>
        <v>3</v>
      </c>
      <c r="J12" s="16">
        <v>7.0</v>
      </c>
      <c r="K12" s="2" t="str">
        <f t="shared" si="2"/>
        <v>閃電爆破</v>
      </c>
      <c r="L12" s="2" t="str">
        <f>skillR33</f>
        <v/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>
        <v>12.0</v>
      </c>
      <c r="B13" s="2" t="str">
        <f>'skill data'!N89</f>
        <v>戰利品</v>
      </c>
      <c r="C13" s="16" t="s">
        <v>186</v>
      </c>
      <c r="D13" s="2">
        <f>OFFSET('skill data'!$K$147,(E13-1)*6,(F13-1)*5)</f>
        <v>3</v>
      </c>
      <c r="E13" s="16">
        <v>2.0</v>
      </c>
      <c r="F13" s="16">
        <v>1.0</v>
      </c>
      <c r="G13" s="16">
        <v>12.0</v>
      </c>
      <c r="H13" s="2" t="str">
        <f>VLOOKUP('skill data'!T90,$B$2:$C$41,2,FALSE)</f>
        <v>R33</v>
      </c>
      <c r="I13" s="2">
        <f t="shared" si="1"/>
        <v>3</v>
      </c>
      <c r="J13" s="16">
        <v>8.0</v>
      </c>
      <c r="K13" s="2" t="str">
        <f t="shared" si="2"/>
        <v>野蠻狂怒</v>
      </c>
      <c r="L13" s="2" t="str">
        <f>skillR41</f>
        <v/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>
        <v>13.0</v>
      </c>
      <c r="B14" s="2" t="str">
        <f>'skill data'!N90</f>
        <v>英雄神力</v>
      </c>
      <c r="C14" s="16" t="s">
        <v>187</v>
      </c>
      <c r="D14" s="2">
        <f>OFFSET('skill data'!$K$147,(E14-1)*6,(F14-1)*5)</f>
        <v>3</v>
      </c>
      <c r="E14" s="16">
        <v>2.0</v>
      </c>
      <c r="F14" s="16">
        <v>2.0</v>
      </c>
      <c r="G14" s="16">
        <v>13.0</v>
      </c>
      <c r="H14" s="2" t="str">
        <f>VLOOKUP('skill data'!T91,$B$2:$C$41,2,FALSE)</f>
        <v>Y31</v>
      </c>
      <c r="I14" s="2">
        <f t="shared" si="1"/>
        <v>3</v>
      </c>
      <c r="J14" s="16">
        <v>9.0</v>
      </c>
      <c r="K14" s="2" t="str">
        <f t="shared" si="2"/>
        <v/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>
        <v>14.0</v>
      </c>
      <c r="B15" s="2" t="str">
        <f>'skill data'!N91</f>
        <v>空中突擊</v>
      </c>
      <c r="C15" s="16" t="s">
        <v>188</v>
      </c>
      <c r="D15" s="2">
        <f>OFFSET('skill data'!$K$147,(E15-1)*6,(F15-1)*5)</f>
        <v>3</v>
      </c>
      <c r="E15" s="16">
        <v>2.0</v>
      </c>
      <c r="F15" s="16">
        <v>3.0</v>
      </c>
      <c r="G15" s="16">
        <v>14.0</v>
      </c>
      <c r="H15" s="2" t="str">
        <f>VLOOKUP('skill data'!T92,$B$2:$C$41,2,FALSE)</f>
        <v>R11</v>
      </c>
      <c r="I15" s="2">
        <f t="shared" si="1"/>
        <v>0</v>
      </c>
      <c r="J15" s="16">
        <v>10.0</v>
      </c>
      <c r="K15" s="2" t="str">
        <f t="shared" si="2"/>
        <v>閃電瞬移</v>
      </c>
      <c r="L15" s="2" t="str">
        <f>skillR43</f>
        <v/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>
        <v>15.0</v>
      </c>
      <c r="B16" s="2" t="str">
        <f>'skill data'!N92</f>
        <v>洞察戰術</v>
      </c>
      <c r="C16" s="16" t="s">
        <v>189</v>
      </c>
      <c r="D16" s="2">
        <f>OFFSET('skill data'!$K$147,(E16-1)*6,(F16-1)*5)</f>
        <v>3</v>
      </c>
      <c r="E16" s="16">
        <v>3.0</v>
      </c>
      <c r="F16" s="16">
        <v>1.0</v>
      </c>
      <c r="G16" s="16">
        <v>15.0</v>
      </c>
      <c r="H16" s="2" t="str">
        <f>VLOOKUP('skill data'!T93,$B$2:$C$41,2,FALSE)</f>
        <v>Y41</v>
      </c>
      <c r="I16" s="2">
        <f t="shared" si="1"/>
        <v>3</v>
      </c>
      <c r="J16" s="16">
        <v>11.0</v>
      </c>
      <c r="K16" s="2" t="str">
        <f t="shared" si="2"/>
        <v>指揮官大師</v>
      </c>
      <c r="L16" s="2" t="str">
        <f>skillY11</f>
        <v/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16.0</v>
      </c>
      <c r="B17" s="2" t="str">
        <f>'skill data'!N93</f>
        <v>灼熱之光</v>
      </c>
      <c r="C17" s="16" t="s">
        <v>190</v>
      </c>
      <c r="D17" s="2">
        <f>OFFSET('skill data'!$K$147,(E17-1)*6,(F17-1)*5)</f>
        <v>3</v>
      </c>
      <c r="E17" s="16">
        <v>3.0</v>
      </c>
      <c r="F17" s="16">
        <v>2.0</v>
      </c>
      <c r="G17" s="2"/>
      <c r="H17" s="2"/>
      <c r="I17" s="2"/>
      <c r="J17" s="16">
        <v>12.0</v>
      </c>
      <c r="K17" s="2" t="str">
        <f t="shared" si="2"/>
        <v>戰利品</v>
      </c>
      <c r="L17" s="2" t="str">
        <f>skillY21</f>
        <v/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>
        <v>17.0</v>
      </c>
      <c r="B18" s="2" t="str">
        <f>'skill data'!N94</f>
        <v>聯合進擊</v>
      </c>
      <c r="C18" s="16" t="s">
        <v>192</v>
      </c>
      <c r="D18" s="2">
        <f>OFFSET('skill data'!$K$147,(E18-1)*6,(F18-1)*5)</f>
        <v>3</v>
      </c>
      <c r="E18" s="16">
        <v>3.0</v>
      </c>
      <c r="F18" s="16">
        <v>3.0</v>
      </c>
      <c r="G18" s="2"/>
      <c r="H18" s="2"/>
      <c r="I18" s="2"/>
      <c r="J18" s="16">
        <v>13.0</v>
      </c>
      <c r="K18" s="2" t="str">
        <f t="shared" si="2"/>
        <v>英雄神力</v>
      </c>
      <c r="L18" s="2" t="str">
        <f>skillY22</f>
        <v/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18.0</v>
      </c>
      <c r="B19" s="2" t="str">
        <f>'skill data'!N95</f>
        <v>星體覺醒</v>
      </c>
      <c r="C19" s="16" t="s">
        <v>194</v>
      </c>
      <c r="D19" s="2">
        <f>OFFSET('skill data'!$K$147,(E19-1)*6,(F19-1)*5)</f>
        <v>3</v>
      </c>
      <c r="E19" s="16">
        <v>4.0</v>
      </c>
      <c r="F19" s="16">
        <v>1.0</v>
      </c>
      <c r="G19" s="2"/>
      <c r="H19" s="2"/>
      <c r="I19" s="2"/>
      <c r="J19" s="16">
        <v>14.0</v>
      </c>
      <c r="K19" s="2" t="str">
        <f t="shared" si="2"/>
        <v>空中突擊</v>
      </c>
      <c r="L19" s="2" t="str">
        <f>skillY23</f>
        <v/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>
        <v>19.0</v>
      </c>
      <c r="B20" s="2"/>
      <c r="C20" s="2"/>
      <c r="D20" s="2" t="str">
        <f>OFFSET('skill data'!$K$147,(E20-1)*6,(F20-1)*5)</f>
        <v/>
      </c>
      <c r="E20" s="16">
        <v>4.0</v>
      </c>
      <c r="F20" s="16">
        <v>2.0</v>
      </c>
      <c r="G20" s="2"/>
      <c r="H20" s="2"/>
      <c r="I20" s="2"/>
      <c r="J20" s="16">
        <v>15.0</v>
      </c>
      <c r="K20" s="2" t="str">
        <f t="shared" si="2"/>
        <v>洞察戰術</v>
      </c>
      <c r="L20" s="2" t="str">
        <f>skillY31</f>
        <v/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20.0</v>
      </c>
      <c r="B21" s="2" t="str">
        <f>'skill data'!N96</f>
        <v>禁錮射擊</v>
      </c>
      <c r="C21" s="16" t="s">
        <v>196</v>
      </c>
      <c r="D21" s="2">
        <f>OFFSET('skill data'!$K$147,(E21-1)*6,(F21-1)*5)</f>
        <v>3</v>
      </c>
      <c r="E21" s="16">
        <v>4.0</v>
      </c>
      <c r="F21" s="16">
        <v>3.0</v>
      </c>
      <c r="G21" s="2"/>
      <c r="H21" s="2"/>
      <c r="I21" s="2"/>
      <c r="J21" s="16">
        <v>16.0</v>
      </c>
      <c r="K21" s="2" t="str">
        <f t="shared" si="2"/>
        <v>灼熱之光</v>
      </c>
      <c r="L21" s="2" t="str">
        <f>skillY32</f>
        <v/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>
        <v>21.0</v>
      </c>
      <c r="B22" s="2" t="str">
        <f>'skill data'!N97</f>
        <v>界限突破</v>
      </c>
      <c r="C22" s="16" t="s">
        <v>198</v>
      </c>
      <c r="D22" s="2">
        <f>OFFSET('skill data'!$AA$122,(E22-1)*6,(F22-1)*5)</f>
        <v>0</v>
      </c>
      <c r="E22" s="16">
        <v>1.0</v>
      </c>
      <c r="F22" s="16">
        <v>2.0</v>
      </c>
      <c r="G22" s="2"/>
      <c r="H22" s="2"/>
      <c r="I22" s="2"/>
      <c r="J22" s="16">
        <v>17.0</v>
      </c>
      <c r="K22" s="2" t="str">
        <f t="shared" si="2"/>
        <v>聯合進擊</v>
      </c>
      <c r="L22" s="2" t="str">
        <f>skillY33</f>
        <v/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22.0</v>
      </c>
      <c r="B23" s="2" t="str">
        <f>'skill data'!N98</f>
        <v>終極米達斯</v>
      </c>
      <c r="C23" s="16" t="s">
        <v>199</v>
      </c>
      <c r="D23" s="2">
        <f>OFFSET('skill data'!$AA$122,(E23-1)*6,(F23-1)*5)</f>
        <v>3</v>
      </c>
      <c r="E23" s="16">
        <v>2.0</v>
      </c>
      <c r="F23" s="16">
        <v>1.0</v>
      </c>
      <c r="G23" s="2"/>
      <c r="H23" s="2"/>
      <c r="I23" s="2"/>
      <c r="J23" s="16">
        <v>18.0</v>
      </c>
      <c r="K23" s="2" t="str">
        <f t="shared" si="2"/>
        <v>星體覺醒</v>
      </c>
      <c r="L23" s="2" t="str">
        <f>skillY41</f>
        <v/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23.0</v>
      </c>
      <c r="B24" s="2" t="str">
        <f>'skill data'!N99</f>
        <v>天使光輝</v>
      </c>
      <c r="C24" s="16" t="s">
        <v>202</v>
      </c>
      <c r="D24" s="2">
        <f>OFFSET('skill data'!$AA$122,(E24-1)*6,(F24-1)*5)</f>
        <v>3</v>
      </c>
      <c r="E24" s="16">
        <v>2.0</v>
      </c>
      <c r="F24" s="16">
        <v>2.0</v>
      </c>
      <c r="G24" s="2"/>
      <c r="H24" s="2"/>
      <c r="I24" s="2"/>
      <c r="J24" s="16">
        <v>19.0</v>
      </c>
      <c r="K24" s="2" t="str">
        <f t="shared" si="2"/>
        <v/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24.0</v>
      </c>
      <c r="B25" s="2" t="str">
        <f>'skill data'!N100</f>
        <v>幻影復仇</v>
      </c>
      <c r="C25" s="16" t="s">
        <v>204</v>
      </c>
      <c r="D25" s="2">
        <f>OFFSET('skill data'!$AA$122,(E25-1)*6,(F25-1)*5)</f>
        <v>3</v>
      </c>
      <c r="E25" s="16">
        <v>2.0</v>
      </c>
      <c r="F25" s="16">
        <v>3.0</v>
      </c>
      <c r="G25" s="2"/>
      <c r="H25" s="2"/>
      <c r="I25" s="2"/>
      <c r="J25" s="16">
        <v>20.0</v>
      </c>
      <c r="K25" s="2" t="str">
        <f t="shared" si="2"/>
        <v>禁錮射擊</v>
      </c>
      <c r="L25" s="2" t="str">
        <f>skillY43</f>
        <v/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25.0</v>
      </c>
      <c r="B26" s="2" t="str">
        <f>'skill data'!N101</f>
        <v>妖精魅力</v>
      </c>
      <c r="C26" s="16" t="s">
        <v>205</v>
      </c>
      <c r="D26" s="2">
        <f>OFFSET('skill data'!$AA$122,(E26-1)*6,(F26-1)*5)</f>
        <v>3</v>
      </c>
      <c r="E26" s="16">
        <v>3.0</v>
      </c>
      <c r="F26" s="16">
        <v>1.0</v>
      </c>
      <c r="G26" s="2"/>
      <c r="H26" s="2"/>
      <c r="I26" s="2"/>
      <c r="J26" s="16">
        <v>21.0</v>
      </c>
      <c r="K26" s="2" t="str">
        <f t="shared" si="2"/>
        <v>界限突破</v>
      </c>
      <c r="L26" s="2" t="str">
        <f>skillB11</f>
        <v/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>
        <v>26.0</v>
      </c>
      <c r="B27" s="2" t="str">
        <f>'skill data'!N102</f>
        <v>魔力抽取</v>
      </c>
      <c r="C27" s="16" t="s">
        <v>206</v>
      </c>
      <c r="D27" s="2">
        <f>OFFSET('skill data'!$AA$122,(E27-1)*6,(F27-1)*5)</f>
        <v>3</v>
      </c>
      <c r="E27" s="16">
        <v>3.0</v>
      </c>
      <c r="F27" s="16">
        <v>2.0</v>
      </c>
      <c r="G27" s="2"/>
      <c r="H27" s="2"/>
      <c r="I27" s="2"/>
      <c r="J27" s="16">
        <v>22.0</v>
      </c>
      <c r="K27" s="2" t="str">
        <f t="shared" si="2"/>
        <v>終極米達斯</v>
      </c>
      <c r="L27" s="2" t="str">
        <f>skillB21</f>
        <v/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>
        <v>27.0</v>
      </c>
      <c r="B28" s="2" t="str">
        <f>'skill data'!N103</f>
        <v>永恆黑暗</v>
      </c>
      <c r="C28" s="16" t="s">
        <v>207</v>
      </c>
      <c r="D28" s="2">
        <f>OFFSET('skill data'!$AA$122,(E28-1)*6,(F28-1)*5)</f>
        <v>3</v>
      </c>
      <c r="E28" s="16">
        <v>3.0</v>
      </c>
      <c r="F28" s="16">
        <v>3.0</v>
      </c>
      <c r="G28" s="2"/>
      <c r="H28" s="2"/>
      <c r="I28" s="2"/>
      <c r="J28" s="16">
        <v>23.0</v>
      </c>
      <c r="K28" s="2" t="str">
        <f t="shared" si="2"/>
        <v>天使光輝</v>
      </c>
      <c r="L28" s="2" t="str">
        <f>skillB22</f>
        <v/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">
        <v>28.0</v>
      </c>
      <c r="B29" s="2" t="str">
        <f>'skill data'!N104</f>
        <v>魔力瑪尼</v>
      </c>
      <c r="C29" s="16" t="s">
        <v>210</v>
      </c>
      <c r="D29" s="2">
        <f>OFFSET('skill data'!$AA$122,(E29-1)*6,(F29-1)*5)</f>
        <v>3</v>
      </c>
      <c r="E29" s="16">
        <v>4.0</v>
      </c>
      <c r="F29" s="16">
        <v>1.0</v>
      </c>
      <c r="G29" s="2"/>
      <c r="H29" s="2"/>
      <c r="I29" s="2"/>
      <c r="J29" s="16">
        <v>24.0</v>
      </c>
      <c r="K29" s="2" t="str">
        <f t="shared" si="2"/>
        <v>幻影復仇</v>
      </c>
      <c r="L29" s="2" t="str">
        <f>skillB23</f>
        <v/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>
        <v>29.0</v>
      </c>
      <c r="B30" s="2" t="str">
        <f>'skill data'!N105</f>
        <v>閃電雷擊</v>
      </c>
      <c r="C30" s="16" t="s">
        <v>211</v>
      </c>
      <c r="D30" s="2">
        <f>OFFSET('skill data'!$AA$122,(E30-1)*6,(F30-1)*5)</f>
        <v>3</v>
      </c>
      <c r="E30" s="16">
        <v>4.0</v>
      </c>
      <c r="F30" s="16">
        <v>2.0</v>
      </c>
      <c r="G30" s="2"/>
      <c r="H30" s="2"/>
      <c r="I30" s="2"/>
      <c r="J30" s="16">
        <v>25.0</v>
      </c>
      <c r="K30" s="2" t="str">
        <f t="shared" si="2"/>
        <v>妖精魅力</v>
      </c>
      <c r="L30" s="2" t="str">
        <f>skillB31</f>
        <v/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">
        <v>30.0</v>
      </c>
      <c r="B31" s="2" t="str">
        <f>'skill data'!N106</f>
        <v>次元轉移</v>
      </c>
      <c r="C31" s="16" t="s">
        <v>212</v>
      </c>
      <c r="D31" s="2">
        <f>OFFSET('skill data'!$AA$122,(E31-1)*6,(F31-1)*5)</f>
        <v>3</v>
      </c>
      <c r="E31" s="16">
        <v>4.0</v>
      </c>
      <c r="F31" s="16">
        <v>3.0</v>
      </c>
      <c r="G31" s="2"/>
      <c r="H31" s="2"/>
      <c r="I31" s="2"/>
      <c r="J31" s="16">
        <v>26.0</v>
      </c>
      <c r="K31" s="2" t="str">
        <f t="shared" si="2"/>
        <v>魔力抽取</v>
      </c>
      <c r="L31" s="2" t="str">
        <f>skillB32</f>
        <v/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>
        <v>31.0</v>
      </c>
      <c r="B32" s="2" t="str">
        <f>'skill data'!N107</f>
        <v>竊盜大師</v>
      </c>
      <c r="C32" s="16" t="s">
        <v>213</v>
      </c>
      <c r="D32" s="2">
        <f>OFFSET('skill data'!$AA$147,(E32-1)*6,(F32-1)*5)</f>
        <v>0</v>
      </c>
      <c r="E32" s="16">
        <v>1.0</v>
      </c>
      <c r="F32" s="16">
        <v>2.0</v>
      </c>
      <c r="G32" s="2"/>
      <c r="H32" s="2"/>
      <c r="I32" s="2"/>
      <c r="J32" s="16">
        <v>27.0</v>
      </c>
      <c r="K32" s="2" t="str">
        <f t="shared" si="2"/>
        <v>永恆黑暗</v>
      </c>
      <c r="L32" s="2" t="str">
        <f>skillB33</f>
        <v/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>
        <v>32.0</v>
      </c>
      <c r="B33" s="2" t="str">
        <f>'skill data'!N108</f>
        <v>暗殺</v>
      </c>
      <c r="C33" s="16" t="s">
        <v>215</v>
      </c>
      <c r="D33" s="2">
        <f>OFFSET('skill data'!$AA$147,(E33-1)*6,(F33-1)*5)</f>
        <v>3</v>
      </c>
      <c r="E33" s="16">
        <v>2.0</v>
      </c>
      <c r="F33" s="16">
        <v>1.0</v>
      </c>
      <c r="G33" s="2"/>
      <c r="H33" s="2"/>
      <c r="I33" s="2"/>
      <c r="J33" s="16">
        <v>28.0</v>
      </c>
      <c r="K33" s="2" t="str">
        <f t="shared" si="2"/>
        <v>魔力瑪尼</v>
      </c>
      <c r="L33" s="2" t="str">
        <f>skillB41</f>
        <v/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>
        <v>33.0</v>
      </c>
      <c r="B34" s="2" t="str">
        <f>'skill data'!N109</f>
        <v>沉默行軍</v>
      </c>
      <c r="C34" s="16" t="s">
        <v>216</v>
      </c>
      <c r="D34" s="2">
        <f>OFFSET('skill data'!$AA$147,(E34-1)*6,(F34-1)*5)</f>
        <v>3</v>
      </c>
      <c r="E34" s="16">
        <v>2.0</v>
      </c>
      <c r="F34" s="16">
        <v>2.0</v>
      </c>
      <c r="G34" s="2"/>
      <c r="H34" s="2"/>
      <c r="I34" s="2"/>
      <c r="J34" s="16">
        <v>29.0</v>
      </c>
      <c r="K34" s="2" t="str">
        <f t="shared" si="2"/>
        <v>閃電雷擊</v>
      </c>
      <c r="L34" s="2" t="str">
        <f>skillB42</f>
        <v/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>
        <v>34.0</v>
      </c>
      <c r="B35" s="2" t="str">
        <f>'skill data'!N110</f>
        <v>伏擊</v>
      </c>
      <c r="C35" s="16" t="s">
        <v>218</v>
      </c>
      <c r="D35" s="2">
        <f>OFFSET('skill data'!$AA$147,(E35-1)*6,(F35-1)*5)</f>
        <v>3</v>
      </c>
      <c r="E35" s="16">
        <v>2.0</v>
      </c>
      <c r="F35" s="16">
        <v>3.0</v>
      </c>
      <c r="G35" s="2"/>
      <c r="H35" s="2"/>
      <c r="I35" s="2"/>
      <c r="J35" s="16">
        <v>30.0</v>
      </c>
      <c r="K35" s="2" t="str">
        <f t="shared" si="2"/>
        <v>次元轉移</v>
      </c>
      <c r="L35" s="2" t="str">
        <f>skillB43</f>
        <v/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>
        <v>35.0</v>
      </c>
      <c r="B36" s="2" t="str">
        <f>'skill data'!N111</f>
        <v>暮色面紗</v>
      </c>
      <c r="C36" s="16" t="s">
        <v>221</v>
      </c>
      <c r="D36" s="2">
        <f>OFFSET('skill data'!$AA$147,(E36-1)*6,(F36-1)*5)</f>
        <v>3</v>
      </c>
      <c r="E36" s="16">
        <v>3.0</v>
      </c>
      <c r="F36" s="16">
        <v>1.0</v>
      </c>
      <c r="G36" s="2"/>
      <c r="H36" s="2"/>
      <c r="I36" s="2"/>
      <c r="J36" s="16">
        <v>31.0</v>
      </c>
      <c r="K36" s="2" t="str">
        <f t="shared" si="2"/>
        <v>竊盜大師</v>
      </c>
      <c r="L36" s="2" t="str">
        <f>skillG11</f>
        <v/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>
        <v>36.0</v>
      </c>
      <c r="B37" s="2" t="str">
        <f>'skill data'!N112</f>
        <v>幽靈船</v>
      </c>
      <c r="C37" s="16" t="s">
        <v>222</v>
      </c>
      <c r="D37" s="2">
        <f>OFFSET('skill data'!$AA$147,(E37-1)*6,(F37-1)*5)</f>
        <v>3</v>
      </c>
      <c r="E37" s="16">
        <v>3.0</v>
      </c>
      <c r="F37" s="16">
        <v>2.0</v>
      </c>
      <c r="G37" s="2"/>
      <c r="H37" s="2"/>
      <c r="I37" s="2"/>
      <c r="J37" s="16">
        <v>32.0</v>
      </c>
      <c r="K37" s="2" t="str">
        <f t="shared" si="2"/>
        <v>暗殺</v>
      </c>
      <c r="L37" s="2" t="str">
        <f>skillG21</f>
        <v/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37.0</v>
      </c>
      <c r="B38" s="2" t="str">
        <f>'skill data'!N113</f>
        <v>闇影殺手</v>
      </c>
      <c r="C38" s="16" t="s">
        <v>223</v>
      </c>
      <c r="D38" s="2">
        <f>OFFSET('skill data'!$AA$147,(E38-1)*6,(F38-1)*5)</f>
        <v>3</v>
      </c>
      <c r="E38" s="16">
        <v>3.0</v>
      </c>
      <c r="F38" s="16">
        <v>3.0</v>
      </c>
      <c r="G38" s="2"/>
      <c r="H38" s="2"/>
      <c r="I38" s="2"/>
      <c r="J38" s="16">
        <v>33.0</v>
      </c>
      <c r="K38" s="2" t="str">
        <f t="shared" si="2"/>
        <v>沉默行軍</v>
      </c>
      <c r="L38" s="2" t="str">
        <f>skillG22</f>
        <v/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>
        <v>38.0</v>
      </c>
      <c r="B39" s="2"/>
      <c r="C39" s="2"/>
      <c r="D39" s="2" t="str">
        <f>OFFSET('skill data'!$AA$147,(E39-1)*6,(F39-1)*5)</f>
        <v/>
      </c>
      <c r="E39" s="16">
        <v>4.0</v>
      </c>
      <c r="F39" s="16">
        <v>1.0</v>
      </c>
      <c r="G39" s="2"/>
      <c r="H39" s="2"/>
      <c r="I39" s="2"/>
      <c r="J39" s="16">
        <v>34.0</v>
      </c>
      <c r="K39" s="2" t="str">
        <f t="shared" si="2"/>
        <v>伏擊</v>
      </c>
      <c r="L39" s="2" t="str">
        <f>skillG23</f>
        <v/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39.0</v>
      </c>
      <c r="B40" s="2"/>
      <c r="C40" s="2"/>
      <c r="D40" s="2" t="str">
        <f>OFFSET('skill data'!$AA$147,(E40-1)*6,(F40-1)*5)</f>
        <v/>
      </c>
      <c r="E40" s="16">
        <v>4.0</v>
      </c>
      <c r="F40" s="16">
        <v>2.0</v>
      </c>
      <c r="G40" s="2"/>
      <c r="H40" s="2"/>
      <c r="I40" s="2"/>
      <c r="J40" s="16">
        <v>35.0</v>
      </c>
      <c r="K40" s="2" t="str">
        <f t="shared" si="2"/>
        <v>暮色面紗</v>
      </c>
      <c r="L40" s="2" t="str">
        <f>skillG31</f>
        <v/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>
        <v>40.0</v>
      </c>
      <c r="B41" s="2"/>
      <c r="C41" s="2"/>
      <c r="D41" s="2" t="str">
        <f>OFFSET('skill data'!$AA$147,(E41-1)*6,(F41-1)*5)</f>
        <v/>
      </c>
      <c r="E41" s="16">
        <v>4.0</v>
      </c>
      <c r="F41" s="16">
        <v>3.0</v>
      </c>
      <c r="G41" s="2"/>
      <c r="H41" s="2"/>
      <c r="I41" s="2"/>
      <c r="J41" s="16">
        <v>36.0</v>
      </c>
      <c r="K41" s="2" t="str">
        <f t="shared" si="2"/>
        <v>幽靈船</v>
      </c>
      <c r="L41" s="2" t="str">
        <f>skillG32</f>
        <v/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/>
      <c r="B42" s="2"/>
      <c r="C42" s="2"/>
      <c r="D42" s="2"/>
      <c r="E42" s="2"/>
      <c r="F42" s="2"/>
      <c r="G42" s="2"/>
      <c r="H42" s="2"/>
      <c r="I42" s="2"/>
      <c r="J42" s="16">
        <v>37.0</v>
      </c>
      <c r="K42" s="2" t="str">
        <f t="shared" si="2"/>
        <v>闇影殺手</v>
      </c>
      <c r="L42" s="2" t="str">
        <f>skillG33</f>
        <v/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16">
        <v>38.0</v>
      </c>
      <c r="K43" s="2" t="str">
        <f t="shared" si="2"/>
        <v/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16">
        <v>39.0</v>
      </c>
      <c r="K44" s="2" t="str">
        <f t="shared" si="2"/>
        <v/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16">
        <v>40.0</v>
      </c>
      <c r="K45" s="2" t="str">
        <f t="shared" si="2"/>
        <v/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1:I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4" max="14" width="8.44"/>
    <col customWidth="1" min="15" max="39" width="5.6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0">
        <v>1.0</v>
      </c>
      <c r="L1" s="115">
        <v>1.0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20">
        <v>2.0</v>
      </c>
      <c r="L2" s="115">
        <v>2.0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20">
        <v>3.0</v>
      </c>
      <c r="L3" s="115">
        <v>3.0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20">
        <v>4.0</v>
      </c>
      <c r="L4" s="115">
        <v>4.0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20">
        <v>5.0</v>
      </c>
      <c r="L5" s="115">
        <v>5.0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>
      <c r="A6" s="1"/>
      <c r="B6" s="1"/>
      <c r="C6" s="1"/>
      <c r="D6" s="1"/>
      <c r="E6" s="1"/>
      <c r="F6" s="1"/>
      <c r="G6" s="20" t="s">
        <v>246</v>
      </c>
      <c r="H6" s="1" t="str">
        <f>VLOOKUP('特殊技能效益'!AC8,'skill data'!G82:H107,2)</f>
        <v/>
      </c>
      <c r="I6" s="1"/>
      <c r="J6" s="1"/>
      <c r="K6" s="20">
        <v>6.0</v>
      </c>
      <c r="L6" s="115">
        <v>6.0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>
      <c r="A7" s="1"/>
      <c r="B7" s="1"/>
      <c r="C7" s="1"/>
      <c r="D7" s="1"/>
      <c r="E7" s="1"/>
      <c r="F7" s="1"/>
      <c r="G7" s="20" t="s">
        <v>247</v>
      </c>
      <c r="H7" s="1">
        <f>IF('特殊技能效益'!AC9&gt;0,VLOOKUP('特殊技能效益'!AC9,K1:L12,2),0)</f>
        <v>0</v>
      </c>
      <c r="I7" s="1"/>
      <c r="J7" s="1"/>
      <c r="K7" s="20">
        <v>7.0</v>
      </c>
      <c r="L7" s="115">
        <v>8.0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s="1"/>
      <c r="B8" s="1"/>
      <c r="C8" s="1"/>
      <c r="D8" s="1"/>
      <c r="E8" s="1"/>
      <c r="F8" s="1"/>
      <c r="G8" s="20" t="s">
        <v>248</v>
      </c>
      <c r="H8" s="1">
        <f>IF('特殊技能效益'!AC10&lt;20,'特殊技能效益'!AC10+0,20)</f>
        <v>0</v>
      </c>
      <c r="I8" s="1"/>
      <c r="J8" s="1"/>
      <c r="K8" s="20">
        <v>8.0</v>
      </c>
      <c r="L8" s="115">
        <v>10.0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>
      <c r="A9" s="1"/>
      <c r="B9" s="1"/>
      <c r="C9" s="1"/>
      <c r="D9" s="1"/>
      <c r="E9" s="1"/>
      <c r="F9" s="1"/>
      <c r="G9" s="1"/>
      <c r="H9" s="1">
        <f>H8+H7+H6</f>
        <v>0</v>
      </c>
      <c r="I9" s="1"/>
      <c r="J9" s="1"/>
      <c r="K9" s="20">
        <v>9.0</v>
      </c>
      <c r="L9" s="115">
        <v>12.0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>
      <c r="A10" s="1"/>
      <c r="B10" s="1"/>
      <c r="C10" s="1"/>
      <c r="D10" s="1"/>
      <c r="E10" s="1"/>
      <c r="F10" s="1"/>
      <c r="G10" s="1"/>
      <c r="H10" s="1">
        <f>H9*0.5%*60</f>
        <v>0</v>
      </c>
      <c r="I10" s="1"/>
      <c r="J10" s="1"/>
      <c r="K10" s="20">
        <v>10.0</v>
      </c>
      <c r="L10" s="115">
        <v>14.0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>
      <c r="A11" s="1"/>
      <c r="B11" s="1"/>
      <c r="C11" s="1"/>
      <c r="D11" s="1"/>
      <c r="E11" s="1"/>
      <c r="F11" s="1"/>
      <c r="G11" s="2"/>
      <c r="H11" s="2"/>
      <c r="I11" s="2"/>
      <c r="J11" s="2"/>
      <c r="K11" s="16">
        <v>11.0</v>
      </c>
      <c r="L11" s="115">
        <v>17.0</v>
      </c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>
      <c r="A12" s="1"/>
      <c r="B12" s="1"/>
      <c r="C12" s="1"/>
      <c r="D12" s="1"/>
      <c r="E12" s="1"/>
      <c r="F12" s="1"/>
      <c r="G12" s="2"/>
      <c r="H12" s="2"/>
      <c r="I12" s="2"/>
      <c r="J12" s="2"/>
      <c r="K12" s="16">
        <v>12.0</v>
      </c>
      <c r="L12" s="195">
        <v>20.0</v>
      </c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/>
      <c r="B14" s="1"/>
      <c r="C14" s="1"/>
      <c r="D14" s="1"/>
      <c r="E14" s="1"/>
      <c r="F14" s="1"/>
      <c r="G14" s="2"/>
      <c r="H14" s="2"/>
      <c r="I14" s="16" t="s">
        <v>249</v>
      </c>
      <c r="J14" s="16" t="s">
        <v>250</v>
      </c>
      <c r="K14" s="16" t="s">
        <v>251</v>
      </c>
      <c r="L14" s="16" t="s">
        <v>44</v>
      </c>
      <c r="M14" s="16" t="s">
        <v>252</v>
      </c>
      <c r="N14" s="16" t="s">
        <v>253</v>
      </c>
      <c r="O14" s="16">
        <v>1.0</v>
      </c>
      <c r="P14" s="16">
        <v>2.0</v>
      </c>
      <c r="Q14" s="16">
        <v>3.0</v>
      </c>
      <c r="R14" s="16">
        <v>4.0</v>
      </c>
      <c r="S14" s="16">
        <v>5.0</v>
      </c>
      <c r="T14" s="16">
        <v>6.0</v>
      </c>
      <c r="U14" s="20">
        <v>7.0</v>
      </c>
      <c r="V14" s="20">
        <v>8.0</v>
      </c>
      <c r="W14" s="20">
        <v>9.0</v>
      </c>
      <c r="X14" s="20">
        <v>10.0</v>
      </c>
      <c r="Y14" s="20">
        <v>11.0</v>
      </c>
      <c r="Z14" s="20">
        <v>12.0</v>
      </c>
      <c r="AA14" s="20">
        <v>13.0</v>
      </c>
      <c r="AB14" s="20">
        <v>14.0</v>
      </c>
      <c r="AC14" s="20">
        <v>15.0</v>
      </c>
      <c r="AD14" s="20">
        <v>16.0</v>
      </c>
      <c r="AE14" s="20">
        <v>17.0</v>
      </c>
      <c r="AF14" s="20">
        <v>18.0</v>
      </c>
      <c r="AG14" s="20">
        <v>19.0</v>
      </c>
      <c r="AH14" s="20">
        <v>20.0</v>
      </c>
      <c r="AI14" s="20">
        <v>21.0</v>
      </c>
      <c r="AJ14" s="20">
        <v>22.0</v>
      </c>
      <c r="AK14" s="20">
        <v>23.0</v>
      </c>
      <c r="AL14" s="20">
        <v>24.0</v>
      </c>
      <c r="AM14" s="20">
        <v>25.0</v>
      </c>
      <c r="AN14" s="1"/>
      <c r="AO14" s="1"/>
      <c r="AP14" s="1"/>
    </row>
    <row r="15">
      <c r="A15" s="16">
        <v>0.0</v>
      </c>
      <c r="B15" s="16">
        <v>0.0</v>
      </c>
      <c r="C15" s="16">
        <v>0.0</v>
      </c>
      <c r="D15" s="2"/>
      <c r="E15" s="16">
        <v>0.0</v>
      </c>
      <c r="F15" s="16">
        <v>0.0</v>
      </c>
      <c r="G15" s="2"/>
      <c r="H15" s="2"/>
      <c r="I15" s="2">
        <f>IF('特殊技能效益'!$AC$7&gt;=1,1,0)</f>
        <v>0</v>
      </c>
      <c r="J15" s="2">
        <f>'特殊技能效益'!$AC$7-1</f>
        <v>-1</v>
      </c>
      <c r="K15" s="16">
        <v>0.0</v>
      </c>
      <c r="L15" s="2">
        <f t="shared" ref="L15:L39" si="2">IF(J15&gt;=0,B16,0)</f>
        <v>0</v>
      </c>
      <c r="M15" s="2">
        <f>IF(J15&gt;=0,('特殊技能效益'!AF$4+L15)*H$10*VLOOKUP(K15,E$15:F$40,2)/100+C16,0)</f>
        <v>0</v>
      </c>
      <c r="N15" s="16">
        <v>0.02</v>
      </c>
      <c r="O15" s="2">
        <f t="shared" ref="O15:AH15" si="1">VLOOKUP(O14,$E$16:$G$35,3)</f>
        <v>2</v>
      </c>
      <c r="P15" s="2">
        <f t="shared" si="1"/>
        <v>4</v>
      </c>
      <c r="Q15" s="2">
        <f t="shared" si="1"/>
        <v>7</v>
      </c>
      <c r="R15" s="2">
        <f t="shared" si="1"/>
        <v>10</v>
      </c>
      <c r="S15" s="2">
        <f t="shared" si="1"/>
        <v>13</v>
      </c>
      <c r="T15" s="2">
        <f t="shared" si="1"/>
        <v>17</v>
      </c>
      <c r="U15" s="1">
        <f t="shared" si="1"/>
        <v>22</v>
      </c>
      <c r="V15" s="1">
        <f t="shared" si="1"/>
        <v>27</v>
      </c>
      <c r="W15" s="1">
        <f t="shared" si="1"/>
        <v>33</v>
      </c>
      <c r="X15" s="1">
        <f t="shared" si="1"/>
        <v>40</v>
      </c>
      <c r="Y15" s="1">
        <f t="shared" si="1"/>
        <v>48</v>
      </c>
      <c r="Z15" s="1">
        <f t="shared" si="1"/>
        <v>57</v>
      </c>
      <c r="AA15" s="1">
        <f t="shared" si="1"/>
        <v>68</v>
      </c>
      <c r="AB15" s="1">
        <f t="shared" si="1"/>
        <v>80</v>
      </c>
      <c r="AC15" s="1">
        <f t="shared" si="1"/>
        <v>94</v>
      </c>
      <c r="AD15" s="1">
        <f t="shared" si="1"/>
        <v>110</v>
      </c>
      <c r="AE15" s="1">
        <f t="shared" si="1"/>
        <v>129</v>
      </c>
      <c r="AF15" s="1">
        <f t="shared" si="1"/>
        <v>151</v>
      </c>
      <c r="AG15" s="1">
        <f t="shared" si="1"/>
        <v>176</v>
      </c>
      <c r="AH15" s="1">
        <f t="shared" si="1"/>
        <v>204</v>
      </c>
      <c r="AI15" s="20">
        <v>237.0</v>
      </c>
      <c r="AJ15" s="20">
        <v>275.0</v>
      </c>
      <c r="AK15" s="20">
        <v>318.0</v>
      </c>
      <c r="AL15" s="20">
        <v>368.0</v>
      </c>
      <c r="AM15" s="20">
        <v>426.0</v>
      </c>
      <c r="AN15" s="1"/>
      <c r="AO15" s="1"/>
      <c r="AP15" s="1"/>
    </row>
    <row r="16">
      <c r="A16" s="196">
        <v>1.0</v>
      </c>
      <c r="B16" s="75">
        <f>simulationData!W1</f>
        <v>5</v>
      </c>
      <c r="C16" s="75">
        <f>simulationData!X1</f>
        <v>0.1</v>
      </c>
      <c r="D16" s="10">
        <v>1.0</v>
      </c>
      <c r="E16" s="154">
        <v>1.0</v>
      </c>
      <c r="F16" s="154">
        <f>simulationData!W51</f>
        <v>0.05</v>
      </c>
      <c r="G16" s="10">
        <v>2.0</v>
      </c>
      <c r="H16" s="2"/>
      <c r="I16" s="16">
        <v>2.0</v>
      </c>
      <c r="J16" s="2">
        <f>'特殊技能效益'!$AC$7-VLOOKUP(I16,A$16:D$40,4)</f>
        <v>-3</v>
      </c>
      <c r="K16" s="2">
        <f t="shared" ref="K16:K39" si="4">SUM(O16:AM16)</f>
        <v>0</v>
      </c>
      <c r="L16" s="2">
        <f t="shared" si="2"/>
        <v>0</v>
      </c>
      <c r="M16" s="2">
        <f>IF(J16&gt;=0,('特殊技能效益'!AF$4+L16)*H$10*VLOOKUP(K16,E$15:F$40,2)/100+C17,0)</f>
        <v>0</v>
      </c>
      <c r="N16" s="2">
        <f>IF(L16&gt;0,'特殊技能效益'!AF$6*L16+'特殊技能效益'!AF$7*M16+row()*0.000001,-1)</f>
        <v>-1</v>
      </c>
      <c r="O16" s="2">
        <f t="shared" ref="O16:AM16" si="3">IF($J16&gt;=O$15,1,0)</f>
        <v>0</v>
      </c>
      <c r="P16" s="2">
        <f t="shared" si="3"/>
        <v>0</v>
      </c>
      <c r="Q16" s="2">
        <f t="shared" si="3"/>
        <v>0</v>
      </c>
      <c r="R16" s="2">
        <f t="shared" si="3"/>
        <v>0</v>
      </c>
      <c r="S16" s="2">
        <f t="shared" si="3"/>
        <v>0</v>
      </c>
      <c r="T16" s="2">
        <f t="shared" si="3"/>
        <v>0</v>
      </c>
      <c r="U16" s="2">
        <f t="shared" si="3"/>
        <v>0</v>
      </c>
      <c r="V16" s="2">
        <f t="shared" si="3"/>
        <v>0</v>
      </c>
      <c r="W16" s="2">
        <f t="shared" si="3"/>
        <v>0</v>
      </c>
      <c r="X16" s="2">
        <f t="shared" si="3"/>
        <v>0</v>
      </c>
      <c r="Y16" s="2">
        <f t="shared" si="3"/>
        <v>0</v>
      </c>
      <c r="Z16" s="2">
        <f t="shared" si="3"/>
        <v>0</v>
      </c>
      <c r="AA16" s="2">
        <f t="shared" si="3"/>
        <v>0</v>
      </c>
      <c r="AB16" s="2">
        <f t="shared" si="3"/>
        <v>0</v>
      </c>
      <c r="AC16" s="2">
        <f t="shared" si="3"/>
        <v>0</v>
      </c>
      <c r="AD16" s="2">
        <f t="shared" si="3"/>
        <v>0</v>
      </c>
      <c r="AE16" s="2">
        <f t="shared" si="3"/>
        <v>0</v>
      </c>
      <c r="AF16" s="2">
        <f t="shared" si="3"/>
        <v>0</v>
      </c>
      <c r="AG16" s="2">
        <f t="shared" si="3"/>
        <v>0</v>
      </c>
      <c r="AH16" s="2">
        <f t="shared" si="3"/>
        <v>0</v>
      </c>
      <c r="AI16" s="2">
        <f t="shared" si="3"/>
        <v>0</v>
      </c>
      <c r="AJ16" s="2">
        <f t="shared" si="3"/>
        <v>0</v>
      </c>
      <c r="AK16" s="2">
        <f t="shared" si="3"/>
        <v>0</v>
      </c>
      <c r="AL16" s="2">
        <f t="shared" si="3"/>
        <v>0</v>
      </c>
      <c r="AM16" s="2">
        <f t="shared" si="3"/>
        <v>0</v>
      </c>
      <c r="AN16" s="1"/>
      <c r="AO16" s="1"/>
      <c r="AP16" s="1"/>
    </row>
    <row r="17">
      <c r="A17" s="196">
        <v>2.0</v>
      </c>
      <c r="B17" s="75">
        <f>simulationData!W2</f>
        <v>8</v>
      </c>
      <c r="C17" s="75">
        <f>simulationData!X2</f>
        <v>0.228</v>
      </c>
      <c r="D17" s="10">
        <v>3.0</v>
      </c>
      <c r="E17" s="154">
        <v>2.0</v>
      </c>
      <c r="F17" s="154">
        <f>simulationData!W52</f>
        <v>0.07</v>
      </c>
      <c r="G17" s="10">
        <v>4.0</v>
      </c>
      <c r="H17" s="2"/>
      <c r="I17" s="16">
        <v>3.0</v>
      </c>
      <c r="J17" s="2">
        <f>'特殊技能效益'!$AC$7-VLOOKUP(I17,A$16:D$40,4)</f>
        <v>-5</v>
      </c>
      <c r="K17" s="2">
        <f t="shared" si="4"/>
        <v>0</v>
      </c>
      <c r="L17" s="2">
        <f t="shared" si="2"/>
        <v>0</v>
      </c>
      <c r="M17" s="2">
        <f>IF(J17&gt;=0,('特殊技能效益'!AF$4+L17)*H$10*VLOOKUP(K17,E$15:F$40,2)/100+C18,0)</f>
        <v>0</v>
      </c>
      <c r="N17" s="2">
        <f>IF(L17&gt;0,'特殊技能效益'!AF$6*L17+'特殊技能效益'!AF$7*M17+row()*0.000001,-1)</f>
        <v>-1</v>
      </c>
      <c r="O17" s="2">
        <f t="shared" ref="O17:AM17" si="5">IF($J17&gt;=O$15,1,0)</f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2">
        <f t="shared" si="5"/>
        <v>0</v>
      </c>
      <c r="T17" s="2">
        <f t="shared" si="5"/>
        <v>0</v>
      </c>
      <c r="U17" s="2">
        <f t="shared" si="5"/>
        <v>0</v>
      </c>
      <c r="V17" s="2">
        <f t="shared" si="5"/>
        <v>0</v>
      </c>
      <c r="W17" s="2">
        <f t="shared" si="5"/>
        <v>0</v>
      </c>
      <c r="X17" s="2">
        <f t="shared" si="5"/>
        <v>0</v>
      </c>
      <c r="Y17" s="2">
        <f t="shared" si="5"/>
        <v>0</v>
      </c>
      <c r="Z17" s="2">
        <f t="shared" si="5"/>
        <v>0</v>
      </c>
      <c r="AA17" s="2">
        <f t="shared" si="5"/>
        <v>0</v>
      </c>
      <c r="AB17" s="2">
        <f t="shared" si="5"/>
        <v>0</v>
      </c>
      <c r="AC17" s="2">
        <f t="shared" si="5"/>
        <v>0</v>
      </c>
      <c r="AD17" s="2">
        <f t="shared" si="5"/>
        <v>0</v>
      </c>
      <c r="AE17" s="2">
        <f t="shared" si="5"/>
        <v>0</v>
      </c>
      <c r="AF17" s="2">
        <f t="shared" si="5"/>
        <v>0</v>
      </c>
      <c r="AG17" s="2">
        <f t="shared" si="5"/>
        <v>0</v>
      </c>
      <c r="AH17" s="2">
        <f t="shared" si="5"/>
        <v>0</v>
      </c>
      <c r="AI17" s="2">
        <f t="shared" si="5"/>
        <v>0</v>
      </c>
      <c r="AJ17" s="2">
        <f t="shared" si="5"/>
        <v>0</v>
      </c>
      <c r="AK17" s="2">
        <f t="shared" si="5"/>
        <v>0</v>
      </c>
      <c r="AL17" s="2">
        <f t="shared" si="5"/>
        <v>0</v>
      </c>
      <c r="AM17" s="2">
        <f t="shared" si="5"/>
        <v>0</v>
      </c>
      <c r="AN17" s="1"/>
      <c r="AO17" s="1"/>
      <c r="AP17" s="1"/>
    </row>
    <row r="18">
      <c r="A18" s="196">
        <v>3.0</v>
      </c>
      <c r="B18" s="75">
        <f>simulationData!W3</f>
        <v>12</v>
      </c>
      <c r="C18" s="75">
        <f>simulationData!X3</f>
        <v>0.373</v>
      </c>
      <c r="D18" s="10">
        <v>5.0</v>
      </c>
      <c r="E18" s="154">
        <v>3.0</v>
      </c>
      <c r="F18" s="154">
        <f>simulationData!W53</f>
        <v>0.1</v>
      </c>
      <c r="G18" s="10">
        <v>7.0</v>
      </c>
      <c r="H18" s="2"/>
      <c r="I18" s="16">
        <v>4.0</v>
      </c>
      <c r="J18" s="2">
        <f>'特殊技能效益'!$AC$7-VLOOKUP(I18,A$16:D$40,4)</f>
        <v>-8</v>
      </c>
      <c r="K18" s="2">
        <f t="shared" si="4"/>
        <v>0</v>
      </c>
      <c r="L18" s="2">
        <f t="shared" si="2"/>
        <v>0</v>
      </c>
      <c r="M18" s="2">
        <f>IF(J18&gt;=0,('特殊技能效益'!AF$4+L18)*H$10*VLOOKUP(K18,E$15:F$40,2)/100+C19,0)</f>
        <v>0</v>
      </c>
      <c r="N18" s="2">
        <f>IF(L18&gt;0,'特殊技能效益'!AF$6*L18+'特殊技能效益'!AF$7*M18+row()*0.000001,-1)</f>
        <v>-1</v>
      </c>
      <c r="O18" s="2">
        <f t="shared" ref="O18:AM18" si="6">IF($J18&gt;=O$15,1,0)</f>
        <v>0</v>
      </c>
      <c r="P18" s="2">
        <f t="shared" si="6"/>
        <v>0</v>
      </c>
      <c r="Q18" s="2">
        <f t="shared" si="6"/>
        <v>0</v>
      </c>
      <c r="R18" s="2">
        <f t="shared" si="6"/>
        <v>0</v>
      </c>
      <c r="S18" s="2">
        <f t="shared" si="6"/>
        <v>0</v>
      </c>
      <c r="T18" s="2">
        <f t="shared" si="6"/>
        <v>0</v>
      </c>
      <c r="U18" s="2">
        <f t="shared" si="6"/>
        <v>0</v>
      </c>
      <c r="V18" s="2">
        <f t="shared" si="6"/>
        <v>0</v>
      </c>
      <c r="W18" s="2">
        <f t="shared" si="6"/>
        <v>0</v>
      </c>
      <c r="X18" s="2">
        <f t="shared" si="6"/>
        <v>0</v>
      </c>
      <c r="Y18" s="2">
        <f t="shared" si="6"/>
        <v>0</v>
      </c>
      <c r="Z18" s="2">
        <f t="shared" si="6"/>
        <v>0</v>
      </c>
      <c r="AA18" s="2">
        <f t="shared" si="6"/>
        <v>0</v>
      </c>
      <c r="AB18" s="2">
        <f t="shared" si="6"/>
        <v>0</v>
      </c>
      <c r="AC18" s="2">
        <f t="shared" si="6"/>
        <v>0</v>
      </c>
      <c r="AD18" s="2">
        <f t="shared" si="6"/>
        <v>0</v>
      </c>
      <c r="AE18" s="2">
        <f t="shared" si="6"/>
        <v>0</v>
      </c>
      <c r="AF18" s="2">
        <f t="shared" si="6"/>
        <v>0</v>
      </c>
      <c r="AG18" s="2">
        <f t="shared" si="6"/>
        <v>0</v>
      </c>
      <c r="AH18" s="2">
        <f t="shared" si="6"/>
        <v>0</v>
      </c>
      <c r="AI18" s="2">
        <f t="shared" si="6"/>
        <v>0</v>
      </c>
      <c r="AJ18" s="2">
        <f t="shared" si="6"/>
        <v>0</v>
      </c>
      <c r="AK18" s="2">
        <f t="shared" si="6"/>
        <v>0</v>
      </c>
      <c r="AL18" s="2">
        <f t="shared" si="6"/>
        <v>0</v>
      </c>
      <c r="AM18" s="2">
        <f t="shared" si="6"/>
        <v>0</v>
      </c>
      <c r="AN18" s="1"/>
      <c r="AO18" s="1"/>
      <c r="AP18" s="1"/>
    </row>
    <row r="19">
      <c r="A19" s="196">
        <v>4.0</v>
      </c>
      <c r="B19" s="75">
        <f>simulationData!W4</f>
        <v>19</v>
      </c>
      <c r="C19" s="75">
        <f>simulationData!X4</f>
        <v>0.538</v>
      </c>
      <c r="D19" s="10">
        <v>8.0</v>
      </c>
      <c r="E19" s="154">
        <v>4.0</v>
      </c>
      <c r="F19" s="154">
        <f>simulationData!W54</f>
        <v>0.13</v>
      </c>
      <c r="G19" s="10">
        <v>10.0</v>
      </c>
      <c r="H19" s="2"/>
      <c r="I19" s="16">
        <v>5.0</v>
      </c>
      <c r="J19" s="2">
        <f>'特殊技能效益'!$AC$7-VLOOKUP(I19,A$16:D$40,4)</f>
        <v>-11</v>
      </c>
      <c r="K19" s="2">
        <f t="shared" si="4"/>
        <v>0</v>
      </c>
      <c r="L19" s="2">
        <f t="shared" si="2"/>
        <v>0</v>
      </c>
      <c r="M19" s="2">
        <f>IF(J19&gt;=0,('特殊技能效益'!AF$4+L19)*H$10*VLOOKUP(K19,E$15:F$40,2)/100+C20,0)</f>
        <v>0</v>
      </c>
      <c r="N19" s="2">
        <f>IF(L19&gt;0,'特殊技能效益'!AF$6*L19+'特殊技能效益'!AF$7*M19+row()*0.000001,-1)</f>
        <v>-1</v>
      </c>
      <c r="O19" s="2">
        <f t="shared" ref="O19:AM19" si="7">IF($J19&gt;=O$15,1,0)</f>
        <v>0</v>
      </c>
      <c r="P19" s="2">
        <f t="shared" si="7"/>
        <v>0</v>
      </c>
      <c r="Q19" s="2">
        <f t="shared" si="7"/>
        <v>0</v>
      </c>
      <c r="R19" s="2">
        <f t="shared" si="7"/>
        <v>0</v>
      </c>
      <c r="S19" s="2">
        <f t="shared" si="7"/>
        <v>0</v>
      </c>
      <c r="T19" s="2">
        <f t="shared" si="7"/>
        <v>0</v>
      </c>
      <c r="U19" s="2">
        <f t="shared" si="7"/>
        <v>0</v>
      </c>
      <c r="V19" s="2">
        <f t="shared" si="7"/>
        <v>0</v>
      </c>
      <c r="W19" s="2">
        <f t="shared" si="7"/>
        <v>0</v>
      </c>
      <c r="X19" s="2">
        <f t="shared" si="7"/>
        <v>0</v>
      </c>
      <c r="Y19" s="2">
        <f t="shared" si="7"/>
        <v>0</v>
      </c>
      <c r="Z19" s="2">
        <f t="shared" si="7"/>
        <v>0</v>
      </c>
      <c r="AA19" s="2">
        <f t="shared" si="7"/>
        <v>0</v>
      </c>
      <c r="AB19" s="2">
        <f t="shared" si="7"/>
        <v>0</v>
      </c>
      <c r="AC19" s="2">
        <f t="shared" si="7"/>
        <v>0</v>
      </c>
      <c r="AD19" s="2">
        <f t="shared" si="7"/>
        <v>0</v>
      </c>
      <c r="AE19" s="2">
        <f t="shared" si="7"/>
        <v>0</v>
      </c>
      <c r="AF19" s="2">
        <f t="shared" si="7"/>
        <v>0</v>
      </c>
      <c r="AG19" s="2">
        <f t="shared" si="7"/>
        <v>0</v>
      </c>
      <c r="AH19" s="2">
        <f t="shared" si="7"/>
        <v>0</v>
      </c>
      <c r="AI19" s="2">
        <f t="shared" si="7"/>
        <v>0</v>
      </c>
      <c r="AJ19" s="2">
        <f t="shared" si="7"/>
        <v>0</v>
      </c>
      <c r="AK19" s="2">
        <f t="shared" si="7"/>
        <v>0</v>
      </c>
      <c r="AL19" s="2">
        <f t="shared" si="7"/>
        <v>0</v>
      </c>
      <c r="AM19" s="2">
        <f t="shared" si="7"/>
        <v>0</v>
      </c>
      <c r="AN19" s="1"/>
      <c r="AO19" s="1"/>
      <c r="AP19" s="1"/>
    </row>
    <row r="20">
      <c r="A20" s="196">
        <v>5.0</v>
      </c>
      <c r="B20" s="75">
        <f>simulationData!W5</f>
        <v>26</v>
      </c>
      <c r="C20" s="75">
        <f>simulationData!X5</f>
        <v>0.727</v>
      </c>
      <c r="D20" s="10">
        <v>11.0</v>
      </c>
      <c r="E20" s="154">
        <v>5.0</v>
      </c>
      <c r="F20" s="154">
        <f>simulationData!W55</f>
        <v>0.16</v>
      </c>
      <c r="G20" s="10">
        <v>13.0</v>
      </c>
      <c r="H20" s="2"/>
      <c r="I20" s="16">
        <v>6.0</v>
      </c>
      <c r="J20" s="2">
        <f>'特殊技能效益'!$AC$7-VLOOKUP(I20,A$16:D$40,4)</f>
        <v>-14</v>
      </c>
      <c r="K20" s="2">
        <f t="shared" si="4"/>
        <v>0</v>
      </c>
      <c r="L20" s="2">
        <f t="shared" si="2"/>
        <v>0</v>
      </c>
      <c r="M20" s="2">
        <f>IF(J20&gt;=0,('特殊技能效益'!AF$4+L20)*H$10*VLOOKUP(K20,E$15:F$40,2)/100+C21,0)</f>
        <v>0</v>
      </c>
      <c r="N20" s="2">
        <f>IF(L20&gt;0,'特殊技能效益'!AF$6*L20+'特殊技能效益'!AF$7*M20+row()*0.000001,-1)</f>
        <v>-1</v>
      </c>
      <c r="O20" s="2">
        <f t="shared" ref="O20:AM20" si="8">IF($J20&gt;=O$15,1,0)</f>
        <v>0</v>
      </c>
      <c r="P20" s="2">
        <f t="shared" si="8"/>
        <v>0</v>
      </c>
      <c r="Q20" s="2">
        <f t="shared" si="8"/>
        <v>0</v>
      </c>
      <c r="R20" s="2">
        <f t="shared" si="8"/>
        <v>0</v>
      </c>
      <c r="S20" s="2">
        <f t="shared" si="8"/>
        <v>0</v>
      </c>
      <c r="T20" s="2">
        <f t="shared" si="8"/>
        <v>0</v>
      </c>
      <c r="U20" s="2">
        <f t="shared" si="8"/>
        <v>0</v>
      </c>
      <c r="V20" s="2">
        <f t="shared" si="8"/>
        <v>0</v>
      </c>
      <c r="W20" s="2">
        <f t="shared" si="8"/>
        <v>0</v>
      </c>
      <c r="X20" s="2">
        <f t="shared" si="8"/>
        <v>0</v>
      </c>
      <c r="Y20" s="2">
        <f t="shared" si="8"/>
        <v>0</v>
      </c>
      <c r="Z20" s="2">
        <f t="shared" si="8"/>
        <v>0</v>
      </c>
      <c r="AA20" s="2">
        <f t="shared" si="8"/>
        <v>0</v>
      </c>
      <c r="AB20" s="2">
        <f t="shared" si="8"/>
        <v>0</v>
      </c>
      <c r="AC20" s="2">
        <f t="shared" si="8"/>
        <v>0</v>
      </c>
      <c r="AD20" s="2">
        <f t="shared" si="8"/>
        <v>0</v>
      </c>
      <c r="AE20" s="2">
        <f t="shared" si="8"/>
        <v>0</v>
      </c>
      <c r="AF20" s="2">
        <f t="shared" si="8"/>
        <v>0</v>
      </c>
      <c r="AG20" s="2">
        <f t="shared" si="8"/>
        <v>0</v>
      </c>
      <c r="AH20" s="2">
        <f t="shared" si="8"/>
        <v>0</v>
      </c>
      <c r="AI20" s="2">
        <f t="shared" si="8"/>
        <v>0</v>
      </c>
      <c r="AJ20" s="2">
        <f t="shared" si="8"/>
        <v>0</v>
      </c>
      <c r="AK20" s="2">
        <f t="shared" si="8"/>
        <v>0</v>
      </c>
      <c r="AL20" s="2">
        <f t="shared" si="8"/>
        <v>0</v>
      </c>
      <c r="AM20" s="2">
        <f t="shared" si="8"/>
        <v>0</v>
      </c>
      <c r="AN20" s="1"/>
      <c r="AO20" s="1"/>
      <c r="AP20" s="1"/>
    </row>
    <row r="21">
      <c r="A21" s="196">
        <v>6.0</v>
      </c>
      <c r="B21" s="75">
        <f>simulationData!W6</f>
        <v>35</v>
      </c>
      <c r="C21" s="75">
        <f>simulationData!X6</f>
        <v>0.941</v>
      </c>
      <c r="D21" s="10">
        <v>14.0</v>
      </c>
      <c r="E21" s="154">
        <v>6.0</v>
      </c>
      <c r="F21" s="154">
        <f>simulationData!W56</f>
        <v>0.2</v>
      </c>
      <c r="G21" s="10">
        <v>17.0</v>
      </c>
      <c r="H21" s="2"/>
      <c r="I21" s="16">
        <v>7.0</v>
      </c>
      <c r="J21" s="2">
        <f>'特殊技能效益'!$AC$7-VLOOKUP(I21,A$16:D$40,4)</f>
        <v>-18</v>
      </c>
      <c r="K21" s="2">
        <f t="shared" si="4"/>
        <v>0</v>
      </c>
      <c r="L21" s="2">
        <f t="shared" si="2"/>
        <v>0</v>
      </c>
      <c r="M21" s="2">
        <f>IF(J21&gt;=0,('特殊技能效益'!AF$4+L21)*H$10*VLOOKUP(K21,E$15:F$40,2)/100+C22,0)</f>
        <v>0</v>
      </c>
      <c r="N21" s="2">
        <f>IF(L21&gt;0,'特殊技能效益'!AF$6*L21+'特殊技能效益'!AF$7*M21+row()*0.000001,-1)</f>
        <v>-1</v>
      </c>
      <c r="O21" s="2">
        <f t="shared" ref="O21:AM21" si="9">IF($J21&gt;=O$15,1,0)</f>
        <v>0</v>
      </c>
      <c r="P21" s="2">
        <f t="shared" si="9"/>
        <v>0</v>
      </c>
      <c r="Q21" s="2">
        <f t="shared" si="9"/>
        <v>0</v>
      </c>
      <c r="R21" s="2">
        <f t="shared" si="9"/>
        <v>0</v>
      </c>
      <c r="S21" s="2">
        <f t="shared" si="9"/>
        <v>0</v>
      </c>
      <c r="T21" s="2">
        <f t="shared" si="9"/>
        <v>0</v>
      </c>
      <c r="U21" s="2">
        <f t="shared" si="9"/>
        <v>0</v>
      </c>
      <c r="V21" s="2">
        <f t="shared" si="9"/>
        <v>0</v>
      </c>
      <c r="W21" s="2">
        <f t="shared" si="9"/>
        <v>0</v>
      </c>
      <c r="X21" s="2">
        <f t="shared" si="9"/>
        <v>0</v>
      </c>
      <c r="Y21" s="2">
        <f t="shared" si="9"/>
        <v>0</v>
      </c>
      <c r="Z21" s="2">
        <f t="shared" si="9"/>
        <v>0</v>
      </c>
      <c r="AA21" s="2">
        <f t="shared" si="9"/>
        <v>0</v>
      </c>
      <c r="AB21" s="2">
        <f t="shared" si="9"/>
        <v>0</v>
      </c>
      <c r="AC21" s="2">
        <f t="shared" si="9"/>
        <v>0</v>
      </c>
      <c r="AD21" s="2">
        <f t="shared" si="9"/>
        <v>0</v>
      </c>
      <c r="AE21" s="2">
        <f t="shared" si="9"/>
        <v>0</v>
      </c>
      <c r="AF21" s="2">
        <f t="shared" si="9"/>
        <v>0</v>
      </c>
      <c r="AG21" s="2">
        <f t="shared" si="9"/>
        <v>0</v>
      </c>
      <c r="AH21" s="2">
        <f t="shared" si="9"/>
        <v>0</v>
      </c>
      <c r="AI21" s="2">
        <f t="shared" si="9"/>
        <v>0</v>
      </c>
      <c r="AJ21" s="2">
        <f t="shared" si="9"/>
        <v>0</v>
      </c>
      <c r="AK21" s="2">
        <f t="shared" si="9"/>
        <v>0</v>
      </c>
      <c r="AL21" s="2">
        <f t="shared" si="9"/>
        <v>0</v>
      </c>
      <c r="AM21" s="2">
        <f t="shared" si="9"/>
        <v>0</v>
      </c>
      <c r="AN21" s="1"/>
      <c r="AO21" s="1"/>
      <c r="AP21" s="1"/>
    </row>
    <row r="22">
      <c r="A22" s="196">
        <v>7.0</v>
      </c>
      <c r="B22" s="75">
        <f>simulationData!W7</f>
        <v>46</v>
      </c>
      <c r="C22" s="75">
        <f>simulationData!X7</f>
        <v>1.185</v>
      </c>
      <c r="D22" s="10">
        <v>18.0</v>
      </c>
      <c r="E22" s="154">
        <v>7.0</v>
      </c>
      <c r="F22" s="154">
        <f>simulationData!W57</f>
        <v>0.25</v>
      </c>
      <c r="G22" s="10">
        <v>22.0</v>
      </c>
      <c r="H22" s="2"/>
      <c r="I22" s="16">
        <v>8.0</v>
      </c>
      <c r="J22" s="2">
        <f>'特殊技能效益'!$AC$7-VLOOKUP(I22,A$16:D$40,4)</f>
        <v>-23</v>
      </c>
      <c r="K22" s="2">
        <f t="shared" si="4"/>
        <v>0</v>
      </c>
      <c r="L22" s="2">
        <f t="shared" si="2"/>
        <v>0</v>
      </c>
      <c r="M22" s="2">
        <f>IF(J22&gt;=0,('特殊技能效益'!AF$4+L22)*H$10*VLOOKUP(K22,E$15:F$40,2)/100+C23,0)</f>
        <v>0</v>
      </c>
      <c r="N22" s="2">
        <f>IF(L22&gt;0,'特殊技能效益'!AF$6*L22+'特殊技能效益'!AF$7*M22+row()*0.000001,-1)</f>
        <v>-1</v>
      </c>
      <c r="O22" s="2">
        <f t="shared" ref="O22:AM22" si="10">IF($J22&gt;=O$15,1,0)</f>
        <v>0</v>
      </c>
      <c r="P22" s="2">
        <f t="shared" si="10"/>
        <v>0</v>
      </c>
      <c r="Q22" s="2">
        <f t="shared" si="10"/>
        <v>0</v>
      </c>
      <c r="R22" s="2">
        <f t="shared" si="10"/>
        <v>0</v>
      </c>
      <c r="S22" s="2">
        <f t="shared" si="10"/>
        <v>0</v>
      </c>
      <c r="T22" s="2">
        <f t="shared" si="10"/>
        <v>0</v>
      </c>
      <c r="U22" s="2">
        <f t="shared" si="10"/>
        <v>0</v>
      </c>
      <c r="V22" s="2">
        <f t="shared" si="10"/>
        <v>0</v>
      </c>
      <c r="W22" s="2">
        <f t="shared" si="10"/>
        <v>0</v>
      </c>
      <c r="X22" s="2">
        <f t="shared" si="10"/>
        <v>0</v>
      </c>
      <c r="Y22" s="2">
        <f t="shared" si="10"/>
        <v>0</v>
      </c>
      <c r="Z22" s="2">
        <f t="shared" si="10"/>
        <v>0</v>
      </c>
      <c r="AA22" s="2">
        <f t="shared" si="10"/>
        <v>0</v>
      </c>
      <c r="AB22" s="2">
        <f t="shared" si="10"/>
        <v>0</v>
      </c>
      <c r="AC22" s="2">
        <f t="shared" si="10"/>
        <v>0</v>
      </c>
      <c r="AD22" s="2">
        <f t="shared" si="10"/>
        <v>0</v>
      </c>
      <c r="AE22" s="2">
        <f t="shared" si="10"/>
        <v>0</v>
      </c>
      <c r="AF22" s="2">
        <f t="shared" si="10"/>
        <v>0</v>
      </c>
      <c r="AG22" s="2">
        <f t="shared" si="10"/>
        <v>0</v>
      </c>
      <c r="AH22" s="2">
        <f t="shared" si="10"/>
        <v>0</v>
      </c>
      <c r="AI22" s="2">
        <f t="shared" si="10"/>
        <v>0</v>
      </c>
      <c r="AJ22" s="2">
        <f t="shared" si="10"/>
        <v>0</v>
      </c>
      <c r="AK22" s="2">
        <f t="shared" si="10"/>
        <v>0</v>
      </c>
      <c r="AL22" s="2">
        <f t="shared" si="10"/>
        <v>0</v>
      </c>
      <c r="AM22" s="2">
        <f t="shared" si="10"/>
        <v>0</v>
      </c>
      <c r="AN22" s="1"/>
      <c r="AO22" s="1"/>
      <c r="AP22" s="1"/>
    </row>
    <row r="23">
      <c r="A23" s="196">
        <v>8.0</v>
      </c>
      <c r="B23" s="75">
        <f>simulationData!W8</f>
        <v>62</v>
      </c>
      <c r="C23" s="75">
        <f>simulationData!X8</f>
        <v>1.463</v>
      </c>
      <c r="D23" s="10">
        <v>23.0</v>
      </c>
      <c r="E23" s="154">
        <v>8.0</v>
      </c>
      <c r="F23" s="154">
        <f>simulationData!W58</f>
        <v>0.31</v>
      </c>
      <c r="G23" s="10">
        <v>27.0</v>
      </c>
      <c r="H23" s="2"/>
      <c r="I23" s="16">
        <v>9.0</v>
      </c>
      <c r="J23" s="2">
        <f>'特殊技能效益'!$AC$7-VLOOKUP(I23,A$16:D$40,4)</f>
        <v>-28</v>
      </c>
      <c r="K23" s="2">
        <f t="shared" si="4"/>
        <v>0</v>
      </c>
      <c r="L23" s="2">
        <f t="shared" si="2"/>
        <v>0</v>
      </c>
      <c r="M23" s="2">
        <f>IF(J23&gt;=0,('特殊技能效益'!AF$4+L23)*H$10*VLOOKUP(K23,E$15:F$40,2)/100+C24,0)</f>
        <v>0</v>
      </c>
      <c r="N23" s="2">
        <f>IF(L23&gt;0,'特殊技能效益'!AF$6*L23+'特殊技能效益'!AF$7*M23+row()*0.000001,-1)</f>
        <v>-1</v>
      </c>
      <c r="O23" s="2">
        <f t="shared" ref="O23:AM23" si="11">IF($J23&gt;=O$15,1,0)</f>
        <v>0</v>
      </c>
      <c r="P23" s="2">
        <f t="shared" si="11"/>
        <v>0</v>
      </c>
      <c r="Q23" s="2">
        <f t="shared" si="11"/>
        <v>0</v>
      </c>
      <c r="R23" s="2">
        <f t="shared" si="11"/>
        <v>0</v>
      </c>
      <c r="S23" s="2">
        <f t="shared" si="11"/>
        <v>0</v>
      </c>
      <c r="T23" s="2">
        <f t="shared" si="11"/>
        <v>0</v>
      </c>
      <c r="U23" s="2">
        <f t="shared" si="11"/>
        <v>0</v>
      </c>
      <c r="V23" s="2">
        <f t="shared" si="11"/>
        <v>0</v>
      </c>
      <c r="W23" s="2">
        <f t="shared" si="11"/>
        <v>0</v>
      </c>
      <c r="X23" s="2">
        <f t="shared" si="11"/>
        <v>0</v>
      </c>
      <c r="Y23" s="2">
        <f t="shared" si="11"/>
        <v>0</v>
      </c>
      <c r="Z23" s="2">
        <f t="shared" si="11"/>
        <v>0</v>
      </c>
      <c r="AA23" s="2">
        <f t="shared" si="11"/>
        <v>0</v>
      </c>
      <c r="AB23" s="2">
        <f t="shared" si="11"/>
        <v>0</v>
      </c>
      <c r="AC23" s="2">
        <f t="shared" si="11"/>
        <v>0</v>
      </c>
      <c r="AD23" s="2">
        <f t="shared" si="11"/>
        <v>0</v>
      </c>
      <c r="AE23" s="2">
        <f t="shared" si="11"/>
        <v>0</v>
      </c>
      <c r="AF23" s="2">
        <f t="shared" si="11"/>
        <v>0</v>
      </c>
      <c r="AG23" s="2">
        <f t="shared" si="11"/>
        <v>0</v>
      </c>
      <c r="AH23" s="2">
        <f t="shared" si="11"/>
        <v>0</v>
      </c>
      <c r="AI23" s="2">
        <f t="shared" si="11"/>
        <v>0</v>
      </c>
      <c r="AJ23" s="2">
        <f t="shared" si="11"/>
        <v>0</v>
      </c>
      <c r="AK23" s="2">
        <f t="shared" si="11"/>
        <v>0</v>
      </c>
      <c r="AL23" s="2">
        <f t="shared" si="11"/>
        <v>0</v>
      </c>
      <c r="AM23" s="2">
        <f t="shared" si="11"/>
        <v>0</v>
      </c>
      <c r="AN23" s="1"/>
      <c r="AO23" s="1"/>
      <c r="AP23" s="1"/>
    </row>
    <row r="24">
      <c r="A24" s="196">
        <v>9.0</v>
      </c>
      <c r="B24" s="75">
        <f>simulationData!W9</f>
        <v>80</v>
      </c>
      <c r="C24" s="75">
        <f>simulationData!X9</f>
        <v>1.779</v>
      </c>
      <c r="D24" s="10">
        <v>28.0</v>
      </c>
      <c r="E24" s="154">
        <v>9.0</v>
      </c>
      <c r="F24" s="154">
        <f>simulationData!W59</f>
        <v>0.38</v>
      </c>
      <c r="G24" s="10">
        <v>33.0</v>
      </c>
      <c r="H24" s="2"/>
      <c r="I24" s="16">
        <v>10.0</v>
      </c>
      <c r="J24" s="2">
        <f>'特殊技能效益'!$AC$7-VLOOKUP(I24,A$16:D$40,4)</f>
        <v>-34</v>
      </c>
      <c r="K24" s="2">
        <f t="shared" si="4"/>
        <v>0</v>
      </c>
      <c r="L24" s="2">
        <f t="shared" si="2"/>
        <v>0</v>
      </c>
      <c r="M24" s="2">
        <f>IF(J24&gt;=0,('特殊技能效益'!AF$4+L24)*H$10*VLOOKUP(K24,E$15:F$40,2)/100+C25,0)</f>
        <v>0</v>
      </c>
      <c r="N24" s="2">
        <f>IF(L24&gt;0,'特殊技能效益'!AF$6*L24+'特殊技能效益'!AF$7*M24+row()*0.000001,-1)</f>
        <v>-1</v>
      </c>
      <c r="O24" s="2">
        <f t="shared" ref="O24:AM24" si="12">IF($J24&gt;=O$15,1,0)</f>
        <v>0</v>
      </c>
      <c r="P24" s="2">
        <f t="shared" si="12"/>
        <v>0</v>
      </c>
      <c r="Q24" s="2">
        <f t="shared" si="12"/>
        <v>0</v>
      </c>
      <c r="R24" s="2">
        <f t="shared" si="12"/>
        <v>0</v>
      </c>
      <c r="S24" s="2">
        <f t="shared" si="12"/>
        <v>0</v>
      </c>
      <c r="T24" s="2">
        <f t="shared" si="12"/>
        <v>0</v>
      </c>
      <c r="U24" s="2">
        <f t="shared" si="12"/>
        <v>0</v>
      </c>
      <c r="V24" s="2">
        <f t="shared" si="12"/>
        <v>0</v>
      </c>
      <c r="W24" s="2">
        <f t="shared" si="12"/>
        <v>0</v>
      </c>
      <c r="X24" s="2">
        <f t="shared" si="12"/>
        <v>0</v>
      </c>
      <c r="Y24" s="2">
        <f t="shared" si="12"/>
        <v>0</v>
      </c>
      <c r="Z24" s="2">
        <f t="shared" si="12"/>
        <v>0</v>
      </c>
      <c r="AA24" s="2">
        <f t="shared" si="12"/>
        <v>0</v>
      </c>
      <c r="AB24" s="2">
        <f t="shared" si="12"/>
        <v>0</v>
      </c>
      <c r="AC24" s="2">
        <f t="shared" si="12"/>
        <v>0</v>
      </c>
      <c r="AD24" s="2">
        <f t="shared" si="12"/>
        <v>0</v>
      </c>
      <c r="AE24" s="2">
        <f t="shared" si="12"/>
        <v>0</v>
      </c>
      <c r="AF24" s="2">
        <f t="shared" si="12"/>
        <v>0</v>
      </c>
      <c r="AG24" s="2">
        <f t="shared" si="12"/>
        <v>0</v>
      </c>
      <c r="AH24" s="2">
        <f t="shared" si="12"/>
        <v>0</v>
      </c>
      <c r="AI24" s="2">
        <f t="shared" si="12"/>
        <v>0</v>
      </c>
      <c r="AJ24" s="2">
        <f t="shared" si="12"/>
        <v>0</v>
      </c>
      <c r="AK24" s="2">
        <f t="shared" si="12"/>
        <v>0</v>
      </c>
      <c r="AL24" s="2">
        <f t="shared" si="12"/>
        <v>0</v>
      </c>
      <c r="AM24" s="2">
        <f t="shared" si="12"/>
        <v>0</v>
      </c>
      <c r="AN24" s="1"/>
      <c r="AO24" s="1"/>
      <c r="AP24" s="1"/>
    </row>
    <row r="25">
      <c r="A25" s="196">
        <v>10.0</v>
      </c>
      <c r="B25" s="75">
        <f>simulationData!W10</f>
        <v>103</v>
      </c>
      <c r="C25" s="75">
        <f>simulationData!X10</f>
        <v>2.139</v>
      </c>
      <c r="D25" s="10">
        <v>34.0</v>
      </c>
      <c r="E25" s="154">
        <v>10.0</v>
      </c>
      <c r="F25" s="154">
        <f>simulationData!W60</f>
        <v>0.47</v>
      </c>
      <c r="G25" s="10">
        <v>40.0</v>
      </c>
      <c r="H25" s="2"/>
      <c r="I25" s="16">
        <v>11.0</v>
      </c>
      <c r="J25" s="2">
        <f>'特殊技能效益'!$AC$7-VLOOKUP(I25,A$16:D$40,4)</f>
        <v>-41</v>
      </c>
      <c r="K25" s="2">
        <f t="shared" si="4"/>
        <v>0</v>
      </c>
      <c r="L25" s="2">
        <f t="shared" si="2"/>
        <v>0</v>
      </c>
      <c r="M25" s="2">
        <f>IF(J25&gt;=0,('特殊技能效益'!AF$4+L25)*H$10*VLOOKUP(K25,E$15:F$40,2)/100+C26,0)</f>
        <v>0</v>
      </c>
      <c r="N25" s="2">
        <f>IF(L25&gt;0,'特殊技能效益'!AF$6*L25+'特殊技能效益'!AF$7*M25+row()*0.000001,-1)</f>
        <v>-1</v>
      </c>
      <c r="O25" s="2">
        <f t="shared" ref="O25:AM25" si="13">IF($J25&gt;=O$15,1,0)</f>
        <v>0</v>
      </c>
      <c r="P25" s="2">
        <f t="shared" si="13"/>
        <v>0</v>
      </c>
      <c r="Q25" s="2">
        <f t="shared" si="13"/>
        <v>0</v>
      </c>
      <c r="R25" s="2">
        <f t="shared" si="13"/>
        <v>0</v>
      </c>
      <c r="S25" s="2">
        <f t="shared" si="13"/>
        <v>0</v>
      </c>
      <c r="T25" s="2">
        <f t="shared" si="13"/>
        <v>0</v>
      </c>
      <c r="U25" s="2">
        <f t="shared" si="13"/>
        <v>0</v>
      </c>
      <c r="V25" s="2">
        <f t="shared" si="13"/>
        <v>0</v>
      </c>
      <c r="W25" s="2">
        <f t="shared" si="13"/>
        <v>0</v>
      </c>
      <c r="X25" s="2">
        <f t="shared" si="13"/>
        <v>0</v>
      </c>
      <c r="Y25" s="2">
        <f t="shared" si="13"/>
        <v>0</v>
      </c>
      <c r="Z25" s="2">
        <f t="shared" si="13"/>
        <v>0</v>
      </c>
      <c r="AA25" s="2">
        <f t="shared" si="13"/>
        <v>0</v>
      </c>
      <c r="AB25" s="2">
        <f t="shared" si="13"/>
        <v>0</v>
      </c>
      <c r="AC25" s="2">
        <f t="shared" si="13"/>
        <v>0</v>
      </c>
      <c r="AD25" s="2">
        <f t="shared" si="13"/>
        <v>0</v>
      </c>
      <c r="AE25" s="2">
        <f t="shared" si="13"/>
        <v>0</v>
      </c>
      <c r="AF25" s="2">
        <f t="shared" si="13"/>
        <v>0</v>
      </c>
      <c r="AG25" s="2">
        <f t="shared" si="13"/>
        <v>0</v>
      </c>
      <c r="AH25" s="2">
        <f t="shared" si="13"/>
        <v>0</v>
      </c>
      <c r="AI25" s="2">
        <f t="shared" si="13"/>
        <v>0</v>
      </c>
      <c r="AJ25" s="2">
        <f t="shared" si="13"/>
        <v>0</v>
      </c>
      <c r="AK25" s="2">
        <f t="shared" si="13"/>
        <v>0</v>
      </c>
      <c r="AL25" s="2">
        <f t="shared" si="13"/>
        <v>0</v>
      </c>
      <c r="AM25" s="2">
        <f t="shared" si="13"/>
        <v>0</v>
      </c>
      <c r="AN25" s="1"/>
      <c r="AO25" s="1"/>
      <c r="AP25" s="1"/>
    </row>
    <row r="26">
      <c r="A26" s="196">
        <v>11.0</v>
      </c>
      <c r="B26" s="75">
        <f>simulationData!W11</f>
        <v>132</v>
      </c>
      <c r="C26" s="75">
        <f>simulationData!X11</f>
        <v>2.549</v>
      </c>
      <c r="D26" s="10">
        <v>41.0</v>
      </c>
      <c r="E26" s="154">
        <v>11.0</v>
      </c>
      <c r="F26" s="154">
        <f>simulationData!W61</f>
        <v>0.56</v>
      </c>
      <c r="G26" s="10">
        <v>48.0</v>
      </c>
      <c r="H26" s="2"/>
      <c r="I26" s="16">
        <v>12.0</v>
      </c>
      <c r="J26" s="2">
        <f>'特殊技能效益'!$AC$7-VLOOKUP(I26,A$16:D$40,4)</f>
        <v>-49</v>
      </c>
      <c r="K26" s="2">
        <f t="shared" si="4"/>
        <v>0</v>
      </c>
      <c r="L26" s="2">
        <f t="shared" si="2"/>
        <v>0</v>
      </c>
      <c r="M26" s="2">
        <f>IF(J26&gt;=0,('特殊技能效益'!AF$4+L26)*H$10*VLOOKUP(K26,E$15:F$40,2)/100+C27,0)</f>
        <v>0</v>
      </c>
      <c r="N26" s="2">
        <f>IF(L26&gt;0,'特殊技能效益'!AF$6*L26+'特殊技能效益'!AF$7*M26+row()*0.000001,-1)</f>
        <v>-1</v>
      </c>
      <c r="O26" s="2">
        <f t="shared" ref="O26:AM26" si="14">IF($J26&gt;=O$15,1,0)</f>
        <v>0</v>
      </c>
      <c r="P26" s="2">
        <f t="shared" si="14"/>
        <v>0</v>
      </c>
      <c r="Q26" s="2">
        <f t="shared" si="14"/>
        <v>0</v>
      </c>
      <c r="R26" s="2">
        <f t="shared" si="14"/>
        <v>0</v>
      </c>
      <c r="S26" s="2">
        <f t="shared" si="14"/>
        <v>0</v>
      </c>
      <c r="T26" s="2">
        <f t="shared" si="14"/>
        <v>0</v>
      </c>
      <c r="U26" s="2">
        <f t="shared" si="14"/>
        <v>0</v>
      </c>
      <c r="V26" s="2">
        <f t="shared" si="14"/>
        <v>0</v>
      </c>
      <c r="W26" s="2">
        <f t="shared" si="14"/>
        <v>0</v>
      </c>
      <c r="X26" s="2">
        <f t="shared" si="14"/>
        <v>0</v>
      </c>
      <c r="Y26" s="2">
        <f t="shared" si="14"/>
        <v>0</v>
      </c>
      <c r="Z26" s="2">
        <f t="shared" si="14"/>
        <v>0</v>
      </c>
      <c r="AA26" s="2">
        <f t="shared" si="14"/>
        <v>0</v>
      </c>
      <c r="AB26" s="2">
        <f t="shared" si="14"/>
        <v>0</v>
      </c>
      <c r="AC26" s="2">
        <f t="shared" si="14"/>
        <v>0</v>
      </c>
      <c r="AD26" s="2">
        <f t="shared" si="14"/>
        <v>0</v>
      </c>
      <c r="AE26" s="2">
        <f t="shared" si="14"/>
        <v>0</v>
      </c>
      <c r="AF26" s="2">
        <f t="shared" si="14"/>
        <v>0</v>
      </c>
      <c r="AG26" s="2">
        <f t="shared" si="14"/>
        <v>0</v>
      </c>
      <c r="AH26" s="2">
        <f t="shared" si="14"/>
        <v>0</v>
      </c>
      <c r="AI26" s="2">
        <f t="shared" si="14"/>
        <v>0</v>
      </c>
      <c r="AJ26" s="2">
        <f t="shared" si="14"/>
        <v>0</v>
      </c>
      <c r="AK26" s="2">
        <f t="shared" si="14"/>
        <v>0</v>
      </c>
      <c r="AL26" s="2">
        <f t="shared" si="14"/>
        <v>0</v>
      </c>
      <c r="AM26" s="2">
        <f t="shared" si="14"/>
        <v>0</v>
      </c>
      <c r="AN26" s="1"/>
      <c r="AO26" s="1"/>
      <c r="AP26" s="1"/>
    </row>
    <row r="27">
      <c r="A27" s="196">
        <v>12.0</v>
      </c>
      <c r="B27" s="75">
        <f>simulationData!W12</f>
        <v>168</v>
      </c>
      <c r="C27" s="75">
        <f>simulationData!X12</f>
        <v>3.015</v>
      </c>
      <c r="D27" s="10">
        <v>49.0</v>
      </c>
      <c r="E27" s="154">
        <v>12.0</v>
      </c>
      <c r="F27" s="154">
        <f>simulationData!W62</f>
        <v>0.68</v>
      </c>
      <c r="G27" s="10">
        <v>57.0</v>
      </c>
      <c r="H27" s="2"/>
      <c r="I27" s="16">
        <v>13.0</v>
      </c>
      <c r="J27" s="2">
        <f>'特殊技能效益'!$AC$7-VLOOKUP(I27,A$16:D$40,4)</f>
        <v>-58</v>
      </c>
      <c r="K27" s="2">
        <f t="shared" si="4"/>
        <v>0</v>
      </c>
      <c r="L27" s="2">
        <f t="shared" si="2"/>
        <v>0</v>
      </c>
      <c r="M27" s="2">
        <f>IF(J27&gt;=0,('特殊技能效益'!AF$4+L27)*H$10*VLOOKUP(K27,E$15:F$40,2)/100+C28,0)</f>
        <v>0</v>
      </c>
      <c r="N27" s="2">
        <f>IF(L27&gt;0,'特殊技能效益'!AF$6*L27+'特殊技能效益'!AF$7*M27+row()*0.000001,-1)</f>
        <v>-1</v>
      </c>
      <c r="O27" s="2">
        <f t="shared" ref="O27:AM27" si="15">IF($J27&gt;=O$15,1,0)</f>
        <v>0</v>
      </c>
      <c r="P27" s="2">
        <f t="shared" si="15"/>
        <v>0</v>
      </c>
      <c r="Q27" s="2">
        <f t="shared" si="15"/>
        <v>0</v>
      </c>
      <c r="R27" s="2">
        <f t="shared" si="15"/>
        <v>0</v>
      </c>
      <c r="S27" s="2">
        <f t="shared" si="15"/>
        <v>0</v>
      </c>
      <c r="T27" s="2">
        <f t="shared" si="15"/>
        <v>0</v>
      </c>
      <c r="U27" s="2">
        <f t="shared" si="15"/>
        <v>0</v>
      </c>
      <c r="V27" s="2">
        <f t="shared" si="15"/>
        <v>0</v>
      </c>
      <c r="W27" s="2">
        <f t="shared" si="15"/>
        <v>0</v>
      </c>
      <c r="X27" s="2">
        <f t="shared" si="15"/>
        <v>0</v>
      </c>
      <c r="Y27" s="2">
        <f t="shared" si="15"/>
        <v>0</v>
      </c>
      <c r="Z27" s="2">
        <f t="shared" si="15"/>
        <v>0</v>
      </c>
      <c r="AA27" s="2">
        <f t="shared" si="15"/>
        <v>0</v>
      </c>
      <c r="AB27" s="2">
        <f t="shared" si="15"/>
        <v>0</v>
      </c>
      <c r="AC27" s="2">
        <f t="shared" si="15"/>
        <v>0</v>
      </c>
      <c r="AD27" s="2">
        <f t="shared" si="15"/>
        <v>0</v>
      </c>
      <c r="AE27" s="2">
        <f t="shared" si="15"/>
        <v>0</v>
      </c>
      <c r="AF27" s="2">
        <f t="shared" si="15"/>
        <v>0</v>
      </c>
      <c r="AG27" s="2">
        <f t="shared" si="15"/>
        <v>0</v>
      </c>
      <c r="AH27" s="2">
        <f t="shared" si="15"/>
        <v>0</v>
      </c>
      <c r="AI27" s="2">
        <f t="shared" si="15"/>
        <v>0</v>
      </c>
      <c r="AJ27" s="2">
        <f t="shared" si="15"/>
        <v>0</v>
      </c>
      <c r="AK27" s="2">
        <f t="shared" si="15"/>
        <v>0</v>
      </c>
      <c r="AL27" s="2">
        <f t="shared" si="15"/>
        <v>0</v>
      </c>
      <c r="AM27" s="2">
        <f t="shared" si="15"/>
        <v>0</v>
      </c>
      <c r="AN27" s="1"/>
      <c r="AO27" s="1"/>
      <c r="AP27" s="1"/>
    </row>
    <row r="28">
      <c r="A28" s="196">
        <v>13.0</v>
      </c>
      <c r="B28" s="75">
        <f>simulationData!W13</f>
        <v>213</v>
      </c>
      <c r="C28" s="75">
        <f>simulationData!X13</f>
        <v>3.546</v>
      </c>
      <c r="D28" s="10">
        <v>58.0</v>
      </c>
      <c r="E28" s="154">
        <v>13.0</v>
      </c>
      <c r="F28" s="154">
        <f>simulationData!W63</f>
        <v>0.81</v>
      </c>
      <c r="G28" s="10">
        <v>68.0</v>
      </c>
      <c r="H28" s="2"/>
      <c r="I28" s="16">
        <v>14.0</v>
      </c>
      <c r="J28" s="2">
        <f>'特殊技能效益'!$AC$7-VLOOKUP(I28,A$16:D$40,4)</f>
        <v>-69</v>
      </c>
      <c r="K28" s="2">
        <f t="shared" si="4"/>
        <v>0</v>
      </c>
      <c r="L28" s="2">
        <f t="shared" si="2"/>
        <v>0</v>
      </c>
      <c r="M28" s="2">
        <f>IF(J28&gt;=0,('特殊技能效益'!AF$4+L28)*H$10*VLOOKUP(K28,E$15:F$40,2)/100+C29,0)</f>
        <v>0</v>
      </c>
      <c r="N28" s="2">
        <f>IF(L28&gt;0,'特殊技能效益'!AF$6*L28+'特殊技能效益'!AF$7*M28+row()*0.000001,-1)</f>
        <v>-1</v>
      </c>
      <c r="O28" s="2">
        <f t="shared" ref="O28:AM28" si="16">IF($J28&gt;=O$15,1,0)</f>
        <v>0</v>
      </c>
      <c r="P28" s="2">
        <f t="shared" si="16"/>
        <v>0</v>
      </c>
      <c r="Q28" s="2">
        <f t="shared" si="16"/>
        <v>0</v>
      </c>
      <c r="R28" s="2">
        <f t="shared" si="16"/>
        <v>0</v>
      </c>
      <c r="S28" s="2">
        <f t="shared" si="16"/>
        <v>0</v>
      </c>
      <c r="T28" s="2">
        <f t="shared" si="16"/>
        <v>0</v>
      </c>
      <c r="U28" s="2">
        <f t="shared" si="16"/>
        <v>0</v>
      </c>
      <c r="V28" s="2">
        <f t="shared" si="16"/>
        <v>0</v>
      </c>
      <c r="W28" s="2">
        <f t="shared" si="16"/>
        <v>0</v>
      </c>
      <c r="X28" s="2">
        <f t="shared" si="16"/>
        <v>0</v>
      </c>
      <c r="Y28" s="2">
        <f t="shared" si="16"/>
        <v>0</v>
      </c>
      <c r="Z28" s="2">
        <f t="shared" si="16"/>
        <v>0</v>
      </c>
      <c r="AA28" s="2">
        <f t="shared" si="16"/>
        <v>0</v>
      </c>
      <c r="AB28" s="2">
        <f t="shared" si="16"/>
        <v>0</v>
      </c>
      <c r="AC28" s="2">
        <f t="shared" si="16"/>
        <v>0</v>
      </c>
      <c r="AD28" s="2">
        <f t="shared" si="16"/>
        <v>0</v>
      </c>
      <c r="AE28" s="2">
        <f t="shared" si="16"/>
        <v>0</v>
      </c>
      <c r="AF28" s="2">
        <f t="shared" si="16"/>
        <v>0</v>
      </c>
      <c r="AG28" s="2">
        <f t="shared" si="16"/>
        <v>0</v>
      </c>
      <c r="AH28" s="2">
        <f t="shared" si="16"/>
        <v>0</v>
      </c>
      <c r="AI28" s="2">
        <f t="shared" si="16"/>
        <v>0</v>
      </c>
      <c r="AJ28" s="2">
        <f t="shared" si="16"/>
        <v>0</v>
      </c>
      <c r="AK28" s="2">
        <f t="shared" si="16"/>
        <v>0</v>
      </c>
      <c r="AL28" s="2">
        <f t="shared" si="16"/>
        <v>0</v>
      </c>
      <c r="AM28" s="2">
        <f t="shared" si="16"/>
        <v>0</v>
      </c>
      <c r="AN28" s="1"/>
      <c r="AO28" s="1"/>
      <c r="AP28" s="1"/>
    </row>
    <row r="29">
      <c r="A29" s="196">
        <v>14.0</v>
      </c>
      <c r="B29" s="75">
        <f>simulationData!W14</f>
        <v>269</v>
      </c>
      <c r="C29" s="75">
        <f>simulationData!X14</f>
        <v>4.151</v>
      </c>
      <c r="D29" s="10">
        <v>69.0</v>
      </c>
      <c r="E29" s="154">
        <v>14.0</v>
      </c>
      <c r="F29" s="154">
        <f>simulationData!W64</f>
        <v>0.97</v>
      </c>
      <c r="G29" s="10">
        <v>80.0</v>
      </c>
      <c r="H29" s="2"/>
      <c r="I29" s="16">
        <v>15.0</v>
      </c>
      <c r="J29" s="2">
        <f>'特殊技能效益'!$AC$7-VLOOKUP(I29,A$16:D$40,4)</f>
        <v>-81</v>
      </c>
      <c r="K29" s="2">
        <f t="shared" si="4"/>
        <v>0</v>
      </c>
      <c r="L29" s="2">
        <f t="shared" si="2"/>
        <v>0</v>
      </c>
      <c r="M29" s="2">
        <f>IF(J29&gt;=0,('特殊技能效益'!AF$4+L29)*H$10*VLOOKUP(K29,E$15:F$40,2)/100+C30,0)</f>
        <v>0</v>
      </c>
      <c r="N29" s="2">
        <f>IF(L29&gt;0,'特殊技能效益'!AF$6*L29+'特殊技能效益'!AF$7*M29+row()*0.000001,-1)</f>
        <v>-1</v>
      </c>
      <c r="O29" s="2">
        <f t="shared" ref="O29:AM29" si="17">IF($J29&gt;=O$15,1,0)</f>
        <v>0</v>
      </c>
      <c r="P29" s="2">
        <f t="shared" si="17"/>
        <v>0</v>
      </c>
      <c r="Q29" s="2">
        <f t="shared" si="17"/>
        <v>0</v>
      </c>
      <c r="R29" s="2">
        <f t="shared" si="17"/>
        <v>0</v>
      </c>
      <c r="S29" s="2">
        <f t="shared" si="17"/>
        <v>0</v>
      </c>
      <c r="T29" s="2">
        <f t="shared" si="17"/>
        <v>0</v>
      </c>
      <c r="U29" s="2">
        <f t="shared" si="17"/>
        <v>0</v>
      </c>
      <c r="V29" s="2">
        <f t="shared" si="17"/>
        <v>0</v>
      </c>
      <c r="W29" s="2">
        <f t="shared" si="17"/>
        <v>0</v>
      </c>
      <c r="X29" s="2">
        <f t="shared" si="17"/>
        <v>0</v>
      </c>
      <c r="Y29" s="2">
        <f t="shared" si="17"/>
        <v>0</v>
      </c>
      <c r="Z29" s="2">
        <f t="shared" si="17"/>
        <v>0</v>
      </c>
      <c r="AA29" s="2">
        <f t="shared" si="17"/>
        <v>0</v>
      </c>
      <c r="AB29" s="2">
        <f t="shared" si="17"/>
        <v>0</v>
      </c>
      <c r="AC29" s="2">
        <f t="shared" si="17"/>
        <v>0</v>
      </c>
      <c r="AD29" s="2">
        <f t="shared" si="17"/>
        <v>0</v>
      </c>
      <c r="AE29" s="2">
        <f t="shared" si="17"/>
        <v>0</v>
      </c>
      <c r="AF29" s="2">
        <f t="shared" si="17"/>
        <v>0</v>
      </c>
      <c r="AG29" s="2">
        <f t="shared" si="17"/>
        <v>0</v>
      </c>
      <c r="AH29" s="2">
        <f t="shared" si="17"/>
        <v>0</v>
      </c>
      <c r="AI29" s="2">
        <f t="shared" si="17"/>
        <v>0</v>
      </c>
      <c r="AJ29" s="2">
        <f t="shared" si="17"/>
        <v>0</v>
      </c>
      <c r="AK29" s="2">
        <f t="shared" si="17"/>
        <v>0</v>
      </c>
      <c r="AL29" s="2">
        <f t="shared" si="17"/>
        <v>0</v>
      </c>
      <c r="AM29" s="2">
        <f t="shared" si="17"/>
        <v>0</v>
      </c>
      <c r="AN29" s="1"/>
      <c r="AO29" s="1"/>
      <c r="AP29" s="1"/>
    </row>
    <row r="30">
      <c r="A30" s="196">
        <v>15.0</v>
      </c>
      <c r="B30" s="75">
        <f>simulationData!W15</f>
        <v>337</v>
      </c>
      <c r="C30" s="75">
        <f>simulationData!X15</f>
        <v>4.839</v>
      </c>
      <c r="D30" s="10">
        <v>81.0</v>
      </c>
      <c r="E30" s="154">
        <v>15.0</v>
      </c>
      <c r="F30" s="154">
        <f>simulationData!W65</f>
        <v>1.15</v>
      </c>
      <c r="G30" s="10">
        <v>94.0</v>
      </c>
      <c r="H30" s="2"/>
      <c r="I30" s="16">
        <v>16.0</v>
      </c>
      <c r="J30" s="2">
        <f>'特殊技能效益'!$AC$7-VLOOKUP(I30,A$16:D$40,4)</f>
        <v>-95</v>
      </c>
      <c r="K30" s="2">
        <f t="shared" si="4"/>
        <v>0</v>
      </c>
      <c r="L30" s="2">
        <f t="shared" si="2"/>
        <v>0</v>
      </c>
      <c r="M30" s="2">
        <f>IF(J30&gt;=0,('特殊技能效益'!AF$4+L30)*H$10*VLOOKUP(K30,E$15:F$40,2)/100+C31,0)</f>
        <v>0</v>
      </c>
      <c r="N30" s="2">
        <f>IF(L30&gt;0,'特殊技能效益'!AF$6*L30+'特殊技能效益'!AF$7*M30+row()*0.000001,-1)</f>
        <v>-1</v>
      </c>
      <c r="O30" s="2">
        <f t="shared" ref="O30:AM30" si="18">IF($J30&gt;=O$15,1,0)</f>
        <v>0</v>
      </c>
      <c r="P30" s="2">
        <f t="shared" si="18"/>
        <v>0</v>
      </c>
      <c r="Q30" s="2">
        <f t="shared" si="18"/>
        <v>0</v>
      </c>
      <c r="R30" s="2">
        <f t="shared" si="18"/>
        <v>0</v>
      </c>
      <c r="S30" s="2">
        <f t="shared" si="18"/>
        <v>0</v>
      </c>
      <c r="T30" s="2">
        <f t="shared" si="18"/>
        <v>0</v>
      </c>
      <c r="U30" s="2">
        <f t="shared" si="18"/>
        <v>0</v>
      </c>
      <c r="V30" s="2">
        <f t="shared" si="18"/>
        <v>0</v>
      </c>
      <c r="W30" s="2">
        <f t="shared" si="18"/>
        <v>0</v>
      </c>
      <c r="X30" s="2">
        <f t="shared" si="18"/>
        <v>0</v>
      </c>
      <c r="Y30" s="2">
        <f t="shared" si="18"/>
        <v>0</v>
      </c>
      <c r="Z30" s="2">
        <f t="shared" si="18"/>
        <v>0</v>
      </c>
      <c r="AA30" s="2">
        <f t="shared" si="18"/>
        <v>0</v>
      </c>
      <c r="AB30" s="2">
        <f t="shared" si="18"/>
        <v>0</v>
      </c>
      <c r="AC30" s="2">
        <f t="shared" si="18"/>
        <v>0</v>
      </c>
      <c r="AD30" s="2">
        <f t="shared" si="18"/>
        <v>0</v>
      </c>
      <c r="AE30" s="2">
        <f t="shared" si="18"/>
        <v>0</v>
      </c>
      <c r="AF30" s="2">
        <f t="shared" si="18"/>
        <v>0</v>
      </c>
      <c r="AG30" s="2">
        <f t="shared" si="18"/>
        <v>0</v>
      </c>
      <c r="AH30" s="2">
        <f t="shared" si="18"/>
        <v>0</v>
      </c>
      <c r="AI30" s="2">
        <f t="shared" si="18"/>
        <v>0</v>
      </c>
      <c r="AJ30" s="2">
        <f t="shared" si="18"/>
        <v>0</v>
      </c>
      <c r="AK30" s="2">
        <f t="shared" si="18"/>
        <v>0</v>
      </c>
      <c r="AL30" s="2">
        <f t="shared" si="18"/>
        <v>0</v>
      </c>
      <c r="AM30" s="2">
        <f t="shared" si="18"/>
        <v>0</v>
      </c>
      <c r="AN30" s="1"/>
      <c r="AO30" s="1"/>
      <c r="AP30" s="1"/>
    </row>
    <row r="31">
      <c r="A31" s="196">
        <v>16.0</v>
      </c>
      <c r="B31" s="75">
        <f>simulationData!W16</f>
        <v>421</v>
      </c>
      <c r="C31" s="75">
        <f>simulationData!X16</f>
        <v>5.622</v>
      </c>
      <c r="D31" s="10">
        <v>95.0</v>
      </c>
      <c r="E31" s="154">
        <v>16.0</v>
      </c>
      <c r="F31" s="154">
        <f>simulationData!W66</f>
        <v>1.37</v>
      </c>
      <c r="G31" s="10">
        <v>110.0</v>
      </c>
      <c r="H31" s="2"/>
      <c r="I31" s="16">
        <v>17.0</v>
      </c>
      <c r="J31" s="2">
        <f>'特殊技能效益'!$AC$7-VLOOKUP(I31,A$16:D$40,4)</f>
        <v>-111</v>
      </c>
      <c r="K31" s="2">
        <f t="shared" si="4"/>
        <v>0</v>
      </c>
      <c r="L31" s="2">
        <f t="shared" si="2"/>
        <v>0</v>
      </c>
      <c r="M31" s="2">
        <f>IF(J31&gt;=0,('特殊技能效益'!AF$4+L31)*H$10*VLOOKUP(K31,E$15:F$40,2)/100+C32,0)</f>
        <v>0</v>
      </c>
      <c r="N31" s="2">
        <f>IF(L31&gt;0,'特殊技能效益'!AF$6*L31+'特殊技能效益'!AF$7*M31+row()*0.000001,-1)</f>
        <v>-1</v>
      </c>
      <c r="O31" s="2">
        <f t="shared" ref="O31:AM31" si="19">IF($J31&gt;=O$15,1,0)</f>
        <v>0</v>
      </c>
      <c r="P31" s="2">
        <f t="shared" si="19"/>
        <v>0</v>
      </c>
      <c r="Q31" s="2">
        <f t="shared" si="19"/>
        <v>0</v>
      </c>
      <c r="R31" s="2">
        <f t="shared" si="19"/>
        <v>0</v>
      </c>
      <c r="S31" s="2">
        <f t="shared" si="19"/>
        <v>0</v>
      </c>
      <c r="T31" s="2">
        <f t="shared" si="19"/>
        <v>0</v>
      </c>
      <c r="U31" s="2">
        <f t="shared" si="19"/>
        <v>0</v>
      </c>
      <c r="V31" s="2">
        <f t="shared" si="19"/>
        <v>0</v>
      </c>
      <c r="W31" s="2">
        <f t="shared" si="19"/>
        <v>0</v>
      </c>
      <c r="X31" s="2">
        <f t="shared" si="19"/>
        <v>0</v>
      </c>
      <c r="Y31" s="2">
        <f t="shared" si="19"/>
        <v>0</v>
      </c>
      <c r="Z31" s="2">
        <f t="shared" si="19"/>
        <v>0</v>
      </c>
      <c r="AA31" s="2">
        <f t="shared" si="19"/>
        <v>0</v>
      </c>
      <c r="AB31" s="2">
        <f t="shared" si="19"/>
        <v>0</v>
      </c>
      <c r="AC31" s="2">
        <f t="shared" si="19"/>
        <v>0</v>
      </c>
      <c r="AD31" s="2">
        <f t="shared" si="19"/>
        <v>0</v>
      </c>
      <c r="AE31" s="2">
        <f t="shared" si="19"/>
        <v>0</v>
      </c>
      <c r="AF31" s="2">
        <f t="shared" si="19"/>
        <v>0</v>
      </c>
      <c r="AG31" s="2">
        <f t="shared" si="19"/>
        <v>0</v>
      </c>
      <c r="AH31" s="2">
        <f t="shared" si="19"/>
        <v>0</v>
      </c>
      <c r="AI31" s="2">
        <f t="shared" si="19"/>
        <v>0</v>
      </c>
      <c r="AJ31" s="2">
        <f t="shared" si="19"/>
        <v>0</v>
      </c>
      <c r="AK31" s="2">
        <f t="shared" si="19"/>
        <v>0</v>
      </c>
      <c r="AL31" s="2">
        <f t="shared" si="19"/>
        <v>0</v>
      </c>
      <c r="AM31" s="2">
        <f t="shared" si="19"/>
        <v>0</v>
      </c>
      <c r="AN31" s="1"/>
      <c r="AO31" s="1"/>
      <c r="AP31" s="1"/>
    </row>
    <row r="32">
      <c r="A32" s="196">
        <v>17.0</v>
      </c>
      <c r="B32" s="75">
        <f>simulationData!W17</f>
        <v>524</v>
      </c>
      <c r="C32" s="75">
        <f>simulationData!X17</f>
        <v>6.514</v>
      </c>
      <c r="D32" s="10">
        <v>111.0</v>
      </c>
      <c r="E32" s="154">
        <v>17.0</v>
      </c>
      <c r="F32" s="154">
        <f>simulationData!W67</f>
        <v>1.62</v>
      </c>
      <c r="G32" s="10">
        <v>129.0</v>
      </c>
      <c r="H32" s="2"/>
      <c r="I32" s="16">
        <v>18.0</v>
      </c>
      <c r="J32" s="2">
        <f>'特殊技能效益'!$AC$7-VLOOKUP(I32,A$16:D$40,4)</f>
        <v>-130</v>
      </c>
      <c r="K32" s="2">
        <f t="shared" si="4"/>
        <v>0</v>
      </c>
      <c r="L32" s="2">
        <f t="shared" si="2"/>
        <v>0</v>
      </c>
      <c r="M32" s="2">
        <f>IF(J32&gt;=0,('特殊技能效益'!AF$4+L32)*H$10*VLOOKUP(K32,E$15:F$40,2)/100+C33,0)</f>
        <v>0</v>
      </c>
      <c r="N32" s="2">
        <f>IF(L32&gt;0,'特殊技能效益'!AF$6*L32+'特殊技能效益'!AF$7*M32+row()*0.000001,-1)</f>
        <v>-1</v>
      </c>
      <c r="O32" s="2">
        <f t="shared" ref="O32:AM32" si="20">IF($J32&gt;=O$15,1,0)</f>
        <v>0</v>
      </c>
      <c r="P32" s="2">
        <f t="shared" si="20"/>
        <v>0</v>
      </c>
      <c r="Q32" s="2">
        <f t="shared" si="20"/>
        <v>0</v>
      </c>
      <c r="R32" s="2">
        <f t="shared" si="20"/>
        <v>0</v>
      </c>
      <c r="S32" s="2">
        <f t="shared" si="20"/>
        <v>0</v>
      </c>
      <c r="T32" s="2">
        <f t="shared" si="20"/>
        <v>0</v>
      </c>
      <c r="U32" s="2">
        <f t="shared" si="20"/>
        <v>0</v>
      </c>
      <c r="V32" s="2">
        <f t="shared" si="20"/>
        <v>0</v>
      </c>
      <c r="W32" s="2">
        <f t="shared" si="20"/>
        <v>0</v>
      </c>
      <c r="X32" s="2">
        <f t="shared" si="20"/>
        <v>0</v>
      </c>
      <c r="Y32" s="2">
        <f t="shared" si="20"/>
        <v>0</v>
      </c>
      <c r="Z32" s="2">
        <f t="shared" si="20"/>
        <v>0</v>
      </c>
      <c r="AA32" s="2">
        <f t="shared" si="20"/>
        <v>0</v>
      </c>
      <c r="AB32" s="2">
        <f t="shared" si="20"/>
        <v>0</v>
      </c>
      <c r="AC32" s="2">
        <f t="shared" si="20"/>
        <v>0</v>
      </c>
      <c r="AD32" s="2">
        <f t="shared" si="20"/>
        <v>0</v>
      </c>
      <c r="AE32" s="2">
        <f t="shared" si="20"/>
        <v>0</v>
      </c>
      <c r="AF32" s="2">
        <f t="shared" si="20"/>
        <v>0</v>
      </c>
      <c r="AG32" s="2">
        <f t="shared" si="20"/>
        <v>0</v>
      </c>
      <c r="AH32" s="2">
        <f t="shared" si="20"/>
        <v>0</v>
      </c>
      <c r="AI32" s="2">
        <f t="shared" si="20"/>
        <v>0</v>
      </c>
      <c r="AJ32" s="2">
        <f t="shared" si="20"/>
        <v>0</v>
      </c>
      <c r="AK32" s="2">
        <f t="shared" si="20"/>
        <v>0</v>
      </c>
      <c r="AL32" s="2">
        <f t="shared" si="20"/>
        <v>0</v>
      </c>
      <c r="AM32" s="2">
        <f t="shared" si="20"/>
        <v>0</v>
      </c>
      <c r="AN32" s="1"/>
      <c r="AO32" s="1"/>
      <c r="AP32" s="1"/>
    </row>
    <row r="33">
      <c r="A33" s="196">
        <v>18.0</v>
      </c>
      <c r="B33" s="75">
        <f>simulationData!W18</f>
        <v>652</v>
      </c>
      <c r="C33" s="75">
        <f>simulationData!X18</f>
        <v>7.529</v>
      </c>
      <c r="D33" s="10">
        <v>130.0</v>
      </c>
      <c r="E33" s="154">
        <v>18.0</v>
      </c>
      <c r="F33" s="154">
        <f>simulationData!W68</f>
        <v>1.92</v>
      </c>
      <c r="G33" s="10">
        <v>151.0</v>
      </c>
      <c r="H33" s="2"/>
      <c r="I33" s="16">
        <v>19.0</v>
      </c>
      <c r="J33" s="2">
        <f>'特殊技能效益'!$AC$7-VLOOKUP(I33,A$16:D$40,4)</f>
        <v>-152</v>
      </c>
      <c r="K33" s="2">
        <f t="shared" si="4"/>
        <v>0</v>
      </c>
      <c r="L33" s="2">
        <f t="shared" si="2"/>
        <v>0</v>
      </c>
      <c r="M33" s="2">
        <f>IF(J33&gt;=0,('特殊技能效益'!AF$4+L33)*H$10*VLOOKUP(K33,E$15:F$40,2)/100+C34,0)</f>
        <v>0</v>
      </c>
      <c r="N33" s="2">
        <f>IF(L33&gt;0,'特殊技能效益'!AF$6*L33+'特殊技能效益'!AF$7*M33+row()*0.000001,-1)</f>
        <v>-1</v>
      </c>
      <c r="O33" s="2">
        <f t="shared" ref="O33:AM33" si="21">IF($J33&gt;=O$15,1,0)</f>
        <v>0</v>
      </c>
      <c r="P33" s="2">
        <f t="shared" si="21"/>
        <v>0</v>
      </c>
      <c r="Q33" s="2">
        <f t="shared" si="21"/>
        <v>0</v>
      </c>
      <c r="R33" s="2">
        <f t="shared" si="21"/>
        <v>0</v>
      </c>
      <c r="S33" s="2">
        <f t="shared" si="21"/>
        <v>0</v>
      </c>
      <c r="T33" s="2">
        <f t="shared" si="21"/>
        <v>0</v>
      </c>
      <c r="U33" s="2">
        <f t="shared" si="21"/>
        <v>0</v>
      </c>
      <c r="V33" s="2">
        <f t="shared" si="21"/>
        <v>0</v>
      </c>
      <c r="W33" s="2">
        <f t="shared" si="21"/>
        <v>0</v>
      </c>
      <c r="X33" s="2">
        <f t="shared" si="21"/>
        <v>0</v>
      </c>
      <c r="Y33" s="2">
        <f t="shared" si="21"/>
        <v>0</v>
      </c>
      <c r="Z33" s="2">
        <f t="shared" si="21"/>
        <v>0</v>
      </c>
      <c r="AA33" s="2">
        <f t="shared" si="21"/>
        <v>0</v>
      </c>
      <c r="AB33" s="2">
        <f t="shared" si="21"/>
        <v>0</v>
      </c>
      <c r="AC33" s="2">
        <f t="shared" si="21"/>
        <v>0</v>
      </c>
      <c r="AD33" s="2">
        <f t="shared" si="21"/>
        <v>0</v>
      </c>
      <c r="AE33" s="2">
        <f t="shared" si="21"/>
        <v>0</v>
      </c>
      <c r="AF33" s="2">
        <f t="shared" si="21"/>
        <v>0</v>
      </c>
      <c r="AG33" s="2">
        <f t="shared" si="21"/>
        <v>0</v>
      </c>
      <c r="AH33" s="2">
        <f t="shared" si="21"/>
        <v>0</v>
      </c>
      <c r="AI33" s="2">
        <f t="shared" si="21"/>
        <v>0</v>
      </c>
      <c r="AJ33" s="2">
        <f t="shared" si="21"/>
        <v>0</v>
      </c>
      <c r="AK33" s="2">
        <f t="shared" si="21"/>
        <v>0</v>
      </c>
      <c r="AL33" s="2">
        <f t="shared" si="21"/>
        <v>0</v>
      </c>
      <c r="AM33" s="2">
        <f t="shared" si="21"/>
        <v>0</v>
      </c>
      <c r="AN33" s="1"/>
      <c r="AO33" s="1"/>
      <c r="AP33" s="1"/>
    </row>
    <row r="34">
      <c r="A34" s="196">
        <v>19.0</v>
      </c>
      <c r="B34" s="75">
        <f>simulationData!W19</f>
        <v>809</v>
      </c>
      <c r="C34" s="75">
        <f>simulationData!X19</f>
        <v>8.684</v>
      </c>
      <c r="D34" s="10">
        <v>152.0</v>
      </c>
      <c r="E34" s="154">
        <v>19.0</v>
      </c>
      <c r="F34" s="154">
        <f>simulationData!W69</f>
        <v>2.26</v>
      </c>
      <c r="G34" s="10">
        <v>176.0</v>
      </c>
      <c r="H34" s="2"/>
      <c r="I34" s="16">
        <v>20.0</v>
      </c>
      <c r="J34" s="2">
        <f>'特殊技能效益'!$AC$7-VLOOKUP(I34,A$16:D$40,4)</f>
        <v>-177</v>
      </c>
      <c r="K34" s="2">
        <f t="shared" si="4"/>
        <v>0</v>
      </c>
      <c r="L34" s="2">
        <f t="shared" si="2"/>
        <v>0</v>
      </c>
      <c r="M34" s="2">
        <f>IF(J34&gt;=0,('特殊技能效益'!AF$4+L34)*H$10*VLOOKUP(K34,E$15:F$40,2)/100+C35,0)</f>
        <v>0</v>
      </c>
      <c r="N34" s="2">
        <f>IF(L34&gt;0,'特殊技能效益'!AF$6*L34+'特殊技能效益'!AF$7*M34+row()*0.000001,-1)</f>
        <v>-1</v>
      </c>
      <c r="O34" s="2">
        <f t="shared" ref="O34:AM34" si="22">IF($J34&gt;=O$15,1,0)</f>
        <v>0</v>
      </c>
      <c r="P34" s="2">
        <f t="shared" si="22"/>
        <v>0</v>
      </c>
      <c r="Q34" s="2">
        <f t="shared" si="22"/>
        <v>0</v>
      </c>
      <c r="R34" s="2">
        <f t="shared" si="22"/>
        <v>0</v>
      </c>
      <c r="S34" s="2">
        <f t="shared" si="22"/>
        <v>0</v>
      </c>
      <c r="T34" s="2">
        <f t="shared" si="22"/>
        <v>0</v>
      </c>
      <c r="U34" s="2">
        <f t="shared" si="22"/>
        <v>0</v>
      </c>
      <c r="V34" s="2">
        <f t="shared" si="22"/>
        <v>0</v>
      </c>
      <c r="W34" s="2">
        <f t="shared" si="22"/>
        <v>0</v>
      </c>
      <c r="X34" s="2">
        <f t="shared" si="22"/>
        <v>0</v>
      </c>
      <c r="Y34" s="2">
        <f t="shared" si="22"/>
        <v>0</v>
      </c>
      <c r="Z34" s="2">
        <f t="shared" si="22"/>
        <v>0</v>
      </c>
      <c r="AA34" s="2">
        <f t="shared" si="22"/>
        <v>0</v>
      </c>
      <c r="AB34" s="2">
        <f t="shared" si="22"/>
        <v>0</v>
      </c>
      <c r="AC34" s="2">
        <f t="shared" si="22"/>
        <v>0</v>
      </c>
      <c r="AD34" s="2">
        <f t="shared" si="22"/>
        <v>0</v>
      </c>
      <c r="AE34" s="2">
        <f t="shared" si="22"/>
        <v>0</v>
      </c>
      <c r="AF34" s="2">
        <f t="shared" si="22"/>
        <v>0</v>
      </c>
      <c r="AG34" s="2">
        <f t="shared" si="22"/>
        <v>0</v>
      </c>
      <c r="AH34" s="2">
        <f t="shared" si="22"/>
        <v>0</v>
      </c>
      <c r="AI34" s="2">
        <f t="shared" si="22"/>
        <v>0</v>
      </c>
      <c r="AJ34" s="2">
        <f t="shared" si="22"/>
        <v>0</v>
      </c>
      <c r="AK34" s="2">
        <f t="shared" si="22"/>
        <v>0</v>
      </c>
      <c r="AL34" s="2">
        <f t="shared" si="22"/>
        <v>0</v>
      </c>
      <c r="AM34" s="2">
        <f t="shared" si="22"/>
        <v>0</v>
      </c>
      <c r="AN34" s="1"/>
      <c r="AO34" s="1"/>
      <c r="AP34" s="1"/>
    </row>
    <row r="35">
      <c r="A35" s="196">
        <v>20.0</v>
      </c>
      <c r="B35" s="75">
        <f>simulationData!W20</f>
        <v>1000</v>
      </c>
      <c r="C35" s="75">
        <f>simulationData!X20</f>
        <v>10</v>
      </c>
      <c r="D35" s="10">
        <v>177.0</v>
      </c>
      <c r="E35" s="154">
        <v>20.0</v>
      </c>
      <c r="F35" s="154">
        <f>simulationData!W70</f>
        <v>2.65</v>
      </c>
      <c r="G35" s="10">
        <v>204.0</v>
      </c>
      <c r="H35" s="2"/>
      <c r="I35" s="16">
        <v>21.0</v>
      </c>
      <c r="J35" s="2">
        <f>'特殊技能效益'!$AC$7-VLOOKUP(I35,A$16:D$40,4)</f>
        <v>-205</v>
      </c>
      <c r="K35" s="2">
        <f t="shared" si="4"/>
        <v>0</v>
      </c>
      <c r="L35" s="2">
        <f t="shared" si="2"/>
        <v>0</v>
      </c>
      <c r="M35" s="2">
        <f>IF(J35&gt;=0,('特殊技能效益'!AF$4+L35)*H$10*VLOOKUP(K35,E$15:F$40,2)/100+C36,0)</f>
        <v>0</v>
      </c>
      <c r="N35" s="2">
        <f>IF(L35&gt;0,'特殊技能效益'!AF$6*L35+'特殊技能效益'!AF$7*M35+row()*0.000001,-1)</f>
        <v>-1</v>
      </c>
      <c r="O35" s="2">
        <f t="shared" ref="O35:AM35" si="23">IF($J35&gt;=O$15,1,0)</f>
        <v>0</v>
      </c>
      <c r="P35" s="2">
        <f t="shared" si="23"/>
        <v>0</v>
      </c>
      <c r="Q35" s="2">
        <f t="shared" si="23"/>
        <v>0</v>
      </c>
      <c r="R35" s="2">
        <f t="shared" si="23"/>
        <v>0</v>
      </c>
      <c r="S35" s="2">
        <f t="shared" si="23"/>
        <v>0</v>
      </c>
      <c r="T35" s="2">
        <f t="shared" si="23"/>
        <v>0</v>
      </c>
      <c r="U35" s="2">
        <f t="shared" si="23"/>
        <v>0</v>
      </c>
      <c r="V35" s="2">
        <f t="shared" si="23"/>
        <v>0</v>
      </c>
      <c r="W35" s="2">
        <f t="shared" si="23"/>
        <v>0</v>
      </c>
      <c r="X35" s="2">
        <f t="shared" si="23"/>
        <v>0</v>
      </c>
      <c r="Y35" s="2">
        <f t="shared" si="23"/>
        <v>0</v>
      </c>
      <c r="Z35" s="2">
        <f t="shared" si="23"/>
        <v>0</v>
      </c>
      <c r="AA35" s="2">
        <f t="shared" si="23"/>
        <v>0</v>
      </c>
      <c r="AB35" s="2">
        <f t="shared" si="23"/>
        <v>0</v>
      </c>
      <c r="AC35" s="2">
        <f t="shared" si="23"/>
        <v>0</v>
      </c>
      <c r="AD35" s="2">
        <f t="shared" si="23"/>
        <v>0</v>
      </c>
      <c r="AE35" s="2">
        <f t="shared" si="23"/>
        <v>0</v>
      </c>
      <c r="AF35" s="2">
        <f t="shared" si="23"/>
        <v>0</v>
      </c>
      <c r="AG35" s="2">
        <f t="shared" si="23"/>
        <v>0</v>
      </c>
      <c r="AH35" s="2">
        <f t="shared" si="23"/>
        <v>0</v>
      </c>
      <c r="AI35" s="2">
        <f t="shared" si="23"/>
        <v>0</v>
      </c>
      <c r="AJ35" s="2">
        <f t="shared" si="23"/>
        <v>0</v>
      </c>
      <c r="AK35" s="2">
        <f t="shared" si="23"/>
        <v>0</v>
      </c>
      <c r="AL35" s="2">
        <f t="shared" si="23"/>
        <v>0</v>
      </c>
      <c r="AM35" s="2">
        <f t="shared" si="23"/>
        <v>0</v>
      </c>
      <c r="AN35" s="1"/>
      <c r="AO35" s="1"/>
      <c r="AP35" s="1"/>
    </row>
    <row r="36">
      <c r="A36" s="196">
        <v>21.0</v>
      </c>
      <c r="B36" s="75">
        <f>simulationData!W21</f>
        <v>1234</v>
      </c>
      <c r="C36" s="75">
        <f>simulationData!X21</f>
        <v>11.497</v>
      </c>
      <c r="D36" s="120">
        <v>205.0</v>
      </c>
      <c r="E36" s="154">
        <v>20.0</v>
      </c>
      <c r="F36" s="154">
        <f>simulationData!W71</f>
        <v>3.12</v>
      </c>
      <c r="G36" s="120">
        <v>237.0</v>
      </c>
      <c r="H36" s="2"/>
      <c r="I36" s="16">
        <v>22.0</v>
      </c>
      <c r="J36" s="2">
        <f>'特殊技能效益'!$AC$7-VLOOKUP(I36,A$16:D$40,4)</f>
        <v>-238</v>
      </c>
      <c r="K36" s="2">
        <f t="shared" si="4"/>
        <v>0</v>
      </c>
      <c r="L36" s="2">
        <f t="shared" si="2"/>
        <v>0</v>
      </c>
      <c r="M36" s="2">
        <f>IF(J36&gt;=0,('特殊技能效益'!AF$4+L36)*H$10*VLOOKUP(K36,E$15:F$40,2)/100+C37,0)</f>
        <v>0</v>
      </c>
      <c r="N36" s="2">
        <f>IF(L36&gt;0,'特殊技能效益'!AF$6*L36+'特殊技能效益'!AF$7*M36+row()*0.000001,-1)</f>
        <v>-1</v>
      </c>
      <c r="O36" s="2">
        <f t="shared" ref="O36:AM36" si="24">IF($J36&gt;=O$15,1,0)</f>
        <v>0</v>
      </c>
      <c r="P36" s="2">
        <f t="shared" si="24"/>
        <v>0</v>
      </c>
      <c r="Q36" s="2">
        <f t="shared" si="24"/>
        <v>0</v>
      </c>
      <c r="R36" s="2">
        <f t="shared" si="24"/>
        <v>0</v>
      </c>
      <c r="S36" s="2">
        <f t="shared" si="24"/>
        <v>0</v>
      </c>
      <c r="T36" s="2">
        <f t="shared" si="24"/>
        <v>0</v>
      </c>
      <c r="U36" s="2">
        <f t="shared" si="24"/>
        <v>0</v>
      </c>
      <c r="V36" s="2">
        <f t="shared" si="24"/>
        <v>0</v>
      </c>
      <c r="W36" s="2">
        <f t="shared" si="24"/>
        <v>0</v>
      </c>
      <c r="X36" s="2">
        <f t="shared" si="24"/>
        <v>0</v>
      </c>
      <c r="Y36" s="2">
        <f t="shared" si="24"/>
        <v>0</v>
      </c>
      <c r="Z36" s="2">
        <f t="shared" si="24"/>
        <v>0</v>
      </c>
      <c r="AA36" s="2">
        <f t="shared" si="24"/>
        <v>0</v>
      </c>
      <c r="AB36" s="2">
        <f t="shared" si="24"/>
        <v>0</v>
      </c>
      <c r="AC36" s="2">
        <f t="shared" si="24"/>
        <v>0</v>
      </c>
      <c r="AD36" s="2">
        <f t="shared" si="24"/>
        <v>0</v>
      </c>
      <c r="AE36" s="2">
        <f t="shared" si="24"/>
        <v>0</v>
      </c>
      <c r="AF36" s="2">
        <f t="shared" si="24"/>
        <v>0</v>
      </c>
      <c r="AG36" s="2">
        <f t="shared" si="24"/>
        <v>0</v>
      </c>
      <c r="AH36" s="2">
        <f t="shared" si="24"/>
        <v>0</v>
      </c>
      <c r="AI36" s="2">
        <f t="shared" si="24"/>
        <v>0</v>
      </c>
      <c r="AJ36" s="2">
        <f t="shared" si="24"/>
        <v>0</v>
      </c>
      <c r="AK36" s="2">
        <f t="shared" si="24"/>
        <v>0</v>
      </c>
      <c r="AL36" s="2">
        <f t="shared" si="24"/>
        <v>0</v>
      </c>
      <c r="AM36" s="2">
        <f t="shared" si="24"/>
        <v>0</v>
      </c>
      <c r="AN36" s="1"/>
      <c r="AO36" s="1"/>
      <c r="AP36" s="1"/>
    </row>
    <row r="37">
      <c r="A37" s="196">
        <v>22.0</v>
      </c>
      <c r="B37" s="75">
        <f>simulationData!W22</f>
        <v>1520</v>
      </c>
      <c r="C37" s="75">
        <f>simulationData!X22</f>
        <v>13.201</v>
      </c>
      <c r="D37" s="120">
        <v>238.0</v>
      </c>
      <c r="E37" s="154">
        <v>20.0</v>
      </c>
      <c r="F37" s="154">
        <f>simulationData!W72</f>
        <v>3.66</v>
      </c>
      <c r="G37" s="120">
        <v>275.0</v>
      </c>
      <c r="H37" s="2"/>
      <c r="I37" s="16">
        <v>23.0</v>
      </c>
      <c r="J37" s="2">
        <f>'特殊技能效益'!$AC$7-VLOOKUP(I37,A$16:D$40,4)</f>
        <v>-276</v>
      </c>
      <c r="K37" s="2">
        <f t="shared" si="4"/>
        <v>0</v>
      </c>
      <c r="L37" s="2">
        <f t="shared" si="2"/>
        <v>0</v>
      </c>
      <c r="M37" s="2">
        <f>IF(J37&gt;=0,('特殊技能效益'!AF$4+L37)*H$10*VLOOKUP(K37,E$15:F$40,2)/100+C38,0)</f>
        <v>0</v>
      </c>
      <c r="N37" s="2">
        <f>IF(L37&gt;0,'特殊技能效益'!AF$6*L37+'特殊技能效益'!AF$7*M37+row()*0.000001,-1)</f>
        <v>-1</v>
      </c>
      <c r="O37" s="2">
        <f t="shared" ref="O37:AM37" si="25">IF($J37&gt;=O$15,1,0)</f>
        <v>0</v>
      </c>
      <c r="P37" s="2">
        <f t="shared" si="25"/>
        <v>0</v>
      </c>
      <c r="Q37" s="2">
        <f t="shared" si="25"/>
        <v>0</v>
      </c>
      <c r="R37" s="2">
        <f t="shared" si="25"/>
        <v>0</v>
      </c>
      <c r="S37" s="2">
        <f t="shared" si="25"/>
        <v>0</v>
      </c>
      <c r="T37" s="2">
        <f t="shared" si="25"/>
        <v>0</v>
      </c>
      <c r="U37" s="2">
        <f t="shared" si="25"/>
        <v>0</v>
      </c>
      <c r="V37" s="2">
        <f t="shared" si="25"/>
        <v>0</v>
      </c>
      <c r="W37" s="2">
        <f t="shared" si="25"/>
        <v>0</v>
      </c>
      <c r="X37" s="2">
        <f t="shared" si="25"/>
        <v>0</v>
      </c>
      <c r="Y37" s="2">
        <f t="shared" si="25"/>
        <v>0</v>
      </c>
      <c r="Z37" s="2">
        <f t="shared" si="25"/>
        <v>0</v>
      </c>
      <c r="AA37" s="2">
        <f t="shared" si="25"/>
        <v>0</v>
      </c>
      <c r="AB37" s="2">
        <f t="shared" si="25"/>
        <v>0</v>
      </c>
      <c r="AC37" s="2">
        <f t="shared" si="25"/>
        <v>0</v>
      </c>
      <c r="AD37" s="2">
        <f t="shared" si="25"/>
        <v>0</v>
      </c>
      <c r="AE37" s="2">
        <f t="shared" si="25"/>
        <v>0</v>
      </c>
      <c r="AF37" s="2">
        <f t="shared" si="25"/>
        <v>0</v>
      </c>
      <c r="AG37" s="2">
        <f t="shared" si="25"/>
        <v>0</v>
      </c>
      <c r="AH37" s="2">
        <f t="shared" si="25"/>
        <v>0</v>
      </c>
      <c r="AI37" s="2">
        <f t="shared" si="25"/>
        <v>0</v>
      </c>
      <c r="AJ37" s="2">
        <f t="shared" si="25"/>
        <v>0</v>
      </c>
      <c r="AK37" s="2">
        <f t="shared" si="25"/>
        <v>0</v>
      </c>
      <c r="AL37" s="2">
        <f t="shared" si="25"/>
        <v>0</v>
      </c>
      <c r="AM37" s="2">
        <f t="shared" si="25"/>
        <v>0</v>
      </c>
      <c r="AN37" s="1"/>
      <c r="AO37" s="1"/>
      <c r="AP37" s="1"/>
    </row>
    <row r="38">
      <c r="A38" s="196">
        <v>23.0</v>
      </c>
      <c r="B38" s="75">
        <f>simulationData!W23</f>
        <v>1870</v>
      </c>
      <c r="C38" s="75">
        <f>simulationData!X23</f>
        <v>15.141</v>
      </c>
      <c r="D38" s="120">
        <v>276.0</v>
      </c>
      <c r="E38" s="154">
        <v>20.0</v>
      </c>
      <c r="F38" s="154">
        <f>simulationData!W73</f>
        <v>4.28</v>
      </c>
      <c r="G38" s="120">
        <v>318.0</v>
      </c>
      <c r="H38" s="2"/>
      <c r="I38" s="16">
        <v>24.0</v>
      </c>
      <c r="J38" s="2">
        <f>'特殊技能效益'!$AC$7-VLOOKUP(I38,A$16:D$40,4)</f>
        <v>-319</v>
      </c>
      <c r="K38" s="2">
        <f t="shared" si="4"/>
        <v>0</v>
      </c>
      <c r="L38" s="2">
        <f t="shared" si="2"/>
        <v>0</v>
      </c>
      <c r="M38" s="2">
        <f>IF(J38&gt;=0,('特殊技能效益'!AF$4+L38)*H$10*VLOOKUP(K38,E$15:F$40,2)/100+C39,0)</f>
        <v>0</v>
      </c>
      <c r="N38" s="2">
        <f>IF(L38&gt;0,'特殊技能效益'!AF$6*L38+'特殊技能效益'!AF$7*M38+row()*0.000001,-1)</f>
        <v>-1</v>
      </c>
      <c r="O38" s="2">
        <f t="shared" ref="O38:AM38" si="26">IF($J38&gt;=O$15,1,0)</f>
        <v>0</v>
      </c>
      <c r="P38" s="2">
        <f t="shared" si="26"/>
        <v>0</v>
      </c>
      <c r="Q38" s="2">
        <f t="shared" si="26"/>
        <v>0</v>
      </c>
      <c r="R38" s="2">
        <f t="shared" si="26"/>
        <v>0</v>
      </c>
      <c r="S38" s="2">
        <f t="shared" si="26"/>
        <v>0</v>
      </c>
      <c r="T38" s="2">
        <f t="shared" si="26"/>
        <v>0</v>
      </c>
      <c r="U38" s="2">
        <f t="shared" si="26"/>
        <v>0</v>
      </c>
      <c r="V38" s="2">
        <f t="shared" si="26"/>
        <v>0</v>
      </c>
      <c r="W38" s="2">
        <f t="shared" si="26"/>
        <v>0</v>
      </c>
      <c r="X38" s="2">
        <f t="shared" si="26"/>
        <v>0</v>
      </c>
      <c r="Y38" s="2">
        <f t="shared" si="26"/>
        <v>0</v>
      </c>
      <c r="Z38" s="2">
        <f t="shared" si="26"/>
        <v>0</v>
      </c>
      <c r="AA38" s="2">
        <f t="shared" si="26"/>
        <v>0</v>
      </c>
      <c r="AB38" s="2">
        <f t="shared" si="26"/>
        <v>0</v>
      </c>
      <c r="AC38" s="2">
        <f t="shared" si="26"/>
        <v>0</v>
      </c>
      <c r="AD38" s="2">
        <f t="shared" si="26"/>
        <v>0</v>
      </c>
      <c r="AE38" s="2">
        <f t="shared" si="26"/>
        <v>0</v>
      </c>
      <c r="AF38" s="2">
        <f t="shared" si="26"/>
        <v>0</v>
      </c>
      <c r="AG38" s="2">
        <f t="shared" si="26"/>
        <v>0</v>
      </c>
      <c r="AH38" s="2">
        <f t="shared" si="26"/>
        <v>0</v>
      </c>
      <c r="AI38" s="2">
        <f t="shared" si="26"/>
        <v>0</v>
      </c>
      <c r="AJ38" s="2">
        <f t="shared" si="26"/>
        <v>0</v>
      </c>
      <c r="AK38" s="2">
        <f t="shared" si="26"/>
        <v>0</v>
      </c>
      <c r="AL38" s="2">
        <f t="shared" si="26"/>
        <v>0</v>
      </c>
      <c r="AM38" s="2">
        <f t="shared" si="26"/>
        <v>0</v>
      </c>
      <c r="AN38" s="1"/>
      <c r="AO38" s="1"/>
      <c r="AP38" s="1"/>
    </row>
    <row r="39">
      <c r="A39" s="196">
        <v>24.0</v>
      </c>
      <c r="B39" s="75">
        <f>simulationData!W24</f>
        <v>2295</v>
      </c>
      <c r="C39" s="75">
        <f>simulationData!X24</f>
        <v>17.35</v>
      </c>
      <c r="D39" s="120">
        <v>319.0</v>
      </c>
      <c r="E39" s="154">
        <v>20.0</v>
      </c>
      <c r="F39" s="154">
        <f>simulationData!W74</f>
        <v>5.01</v>
      </c>
      <c r="G39" s="120">
        <v>368.0</v>
      </c>
      <c r="H39" s="2"/>
      <c r="I39" s="16">
        <v>25.0</v>
      </c>
      <c r="J39" s="2">
        <f>'特殊技能效益'!$AC$7-VLOOKUP(I39,A$16:D$40,4)</f>
        <v>-369</v>
      </c>
      <c r="K39" s="2">
        <f t="shared" si="4"/>
        <v>0</v>
      </c>
      <c r="L39" s="2">
        <f t="shared" si="2"/>
        <v>0</v>
      </c>
      <c r="M39" s="2">
        <f>IF(J39&gt;=0,('特殊技能效益'!AF$4+L39)*H$10*VLOOKUP(K39,E$15:F$40,2)/100+C40,0)</f>
        <v>0</v>
      </c>
      <c r="N39" s="2">
        <f>IF(L39&gt;0,'特殊技能效益'!AF$6*L39+'特殊技能效益'!AF$7*M39+row()*0.000001,-1)</f>
        <v>-1</v>
      </c>
      <c r="O39" s="2">
        <f t="shared" ref="O39:AM39" si="27">IF($J39&gt;=O$15,1,0)</f>
        <v>0</v>
      </c>
      <c r="P39" s="2">
        <f t="shared" si="27"/>
        <v>0</v>
      </c>
      <c r="Q39" s="2">
        <f t="shared" si="27"/>
        <v>0</v>
      </c>
      <c r="R39" s="2">
        <f t="shared" si="27"/>
        <v>0</v>
      </c>
      <c r="S39" s="2">
        <f t="shared" si="27"/>
        <v>0</v>
      </c>
      <c r="T39" s="2">
        <f t="shared" si="27"/>
        <v>0</v>
      </c>
      <c r="U39" s="2">
        <f t="shared" si="27"/>
        <v>0</v>
      </c>
      <c r="V39" s="2">
        <f t="shared" si="27"/>
        <v>0</v>
      </c>
      <c r="W39" s="2">
        <f t="shared" si="27"/>
        <v>0</v>
      </c>
      <c r="X39" s="2">
        <f t="shared" si="27"/>
        <v>0</v>
      </c>
      <c r="Y39" s="2">
        <f t="shared" si="27"/>
        <v>0</v>
      </c>
      <c r="Z39" s="2">
        <f t="shared" si="27"/>
        <v>0</v>
      </c>
      <c r="AA39" s="2">
        <f t="shared" si="27"/>
        <v>0</v>
      </c>
      <c r="AB39" s="2">
        <f t="shared" si="27"/>
        <v>0</v>
      </c>
      <c r="AC39" s="2">
        <f t="shared" si="27"/>
        <v>0</v>
      </c>
      <c r="AD39" s="2">
        <f t="shared" si="27"/>
        <v>0</v>
      </c>
      <c r="AE39" s="2">
        <f t="shared" si="27"/>
        <v>0</v>
      </c>
      <c r="AF39" s="2">
        <f t="shared" si="27"/>
        <v>0</v>
      </c>
      <c r="AG39" s="2">
        <f t="shared" si="27"/>
        <v>0</v>
      </c>
      <c r="AH39" s="2">
        <f t="shared" si="27"/>
        <v>0</v>
      </c>
      <c r="AI39" s="2">
        <f t="shared" si="27"/>
        <v>0</v>
      </c>
      <c r="AJ39" s="2">
        <f t="shared" si="27"/>
        <v>0</v>
      </c>
      <c r="AK39" s="2">
        <f t="shared" si="27"/>
        <v>0</v>
      </c>
      <c r="AL39" s="2">
        <f t="shared" si="27"/>
        <v>0</v>
      </c>
      <c r="AM39" s="2">
        <f t="shared" si="27"/>
        <v>0</v>
      </c>
      <c r="AN39" s="1"/>
      <c r="AO39" s="1"/>
      <c r="AP39" s="1"/>
    </row>
    <row r="40">
      <c r="A40" s="196">
        <v>25.0</v>
      </c>
      <c r="B40" s="75">
        <f>simulationData!W25</f>
        <v>2815</v>
      </c>
      <c r="C40" s="75">
        <f>simulationData!X25</f>
        <v>19.864</v>
      </c>
      <c r="D40" s="120">
        <v>369.0</v>
      </c>
      <c r="E40" s="154">
        <v>20.0</v>
      </c>
      <c r="F40" s="154">
        <f>simulationData!W75</f>
        <v>5.84</v>
      </c>
      <c r="G40" s="120">
        <v>426.0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>
      <c r="A41" s="1"/>
      <c r="B41" s="1"/>
      <c r="C41" s="1"/>
      <c r="D41" s="1"/>
      <c r="E41" s="1"/>
      <c r="F41" s="1"/>
      <c r="G41" s="2"/>
      <c r="H41" s="2"/>
      <c r="I41" s="16">
        <v>1.0</v>
      </c>
      <c r="J41" s="2">
        <f t="shared" ref="J41:J43" si="28">IF(N41&gt;0.01,INDEX($I$15:$K$39,MATCH($N41,$N$15:$N$39,0),1),0)</f>
        <v>0</v>
      </c>
      <c r="K41" s="2">
        <f t="shared" ref="K41:K43" si="29">INDEX($I$15:$K$39,MATCH($N41,$N$15:$N$39,0),3)</f>
        <v>0</v>
      </c>
      <c r="L41" s="2">
        <f t="array" ref="L41">INDEX($I$15:$M$39,MATCH($N41,$N$15:$N$39,0),4)+'特殊技能效益'!AF$4</f>
        <v>0</v>
      </c>
      <c r="M41" s="2">
        <f t="array" ref="M41">INDEX($I$15:$M$39,MATCH($N41,$N$15:$N$39,0),5)+'特殊技能效益'!AF$5</f>
        <v>0</v>
      </c>
      <c r="N41" s="2">
        <f t="shared" ref="N41:N43" si="30">LARGE(N$15:N$39,I41)</f>
        <v>0.02</v>
      </c>
      <c r="O41" s="2"/>
      <c r="P41" s="2"/>
      <c r="Q41" s="2"/>
      <c r="R41" s="2"/>
      <c r="S41" s="2"/>
      <c r="T41" s="2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>
      <c r="A42" s="1"/>
      <c r="B42" s="1"/>
      <c r="C42" s="1"/>
      <c r="D42" s="1"/>
      <c r="E42" s="1"/>
      <c r="F42" s="1"/>
      <c r="G42" s="1"/>
      <c r="H42" s="1"/>
      <c r="I42" s="16">
        <v>2.0</v>
      </c>
      <c r="J42" s="2">
        <f t="shared" si="28"/>
        <v>0</v>
      </c>
      <c r="K42" s="2">
        <f t="shared" si="29"/>
        <v>0</v>
      </c>
      <c r="L42" s="2">
        <f t="array" ref="L42">INDEX($I$15:$M$39,MATCH($N42,$N$15:$N$39,0),4)+'特殊技能效益'!AF$4</f>
        <v>0</v>
      </c>
      <c r="M42" s="2">
        <f t="array" ref="M42">INDEX($I$15:$M$39,MATCH($N42,$N$15:$N$39,0),5)+'特殊技能效益'!AF$5</f>
        <v>0</v>
      </c>
      <c r="N42" s="2">
        <f t="shared" si="30"/>
        <v>-1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>
      <c r="A43" s="1"/>
      <c r="B43" s="1"/>
      <c r="C43" s="1"/>
      <c r="D43" s="1"/>
      <c r="E43" s="1"/>
      <c r="F43" s="1"/>
      <c r="G43" s="1"/>
      <c r="H43" s="1"/>
      <c r="I43" s="16">
        <v>3.0</v>
      </c>
      <c r="J43" s="2">
        <f t="shared" si="28"/>
        <v>0</v>
      </c>
      <c r="K43" s="2">
        <f t="shared" si="29"/>
        <v>0</v>
      </c>
      <c r="L43" s="2">
        <f t="array" ref="L43">INDEX($I$15:$M$39,MATCH($N43,$N$15:$N$39,0),4)+'特殊技能效益'!AF$4</f>
        <v>0</v>
      </c>
      <c r="M43" s="2">
        <f t="array" ref="M43">INDEX($I$15:$M$39,MATCH($N43,$N$15:$N$39,0),5)+'特殊技能效益'!AF$5</f>
        <v>0</v>
      </c>
      <c r="N43" s="2">
        <f t="shared" si="30"/>
        <v>-1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22"/>
    <col customWidth="1" min="2" max="2" width="9.56"/>
    <col customWidth="1" min="3" max="4" width="7.22"/>
    <col customWidth="1" min="5" max="5" width="9.56"/>
    <col customWidth="1" min="6" max="7" width="7.22"/>
    <col customWidth="1" min="8" max="8" width="9.56"/>
    <col customWidth="1" min="9" max="9" width="7.22"/>
    <col customWidth="1" min="10" max="10" width="7.11"/>
    <col customWidth="1" min="11" max="11" width="9.56"/>
    <col customWidth="1" min="12" max="12" width="6.78"/>
    <col customWidth="1" min="13" max="13" width="7.22"/>
    <col customWidth="1" min="14" max="14" width="9.56"/>
    <col customWidth="1" min="15" max="15" width="7.11"/>
    <col customWidth="1" min="16" max="16" width="7.22"/>
    <col customWidth="1" min="17" max="17" width="9.56"/>
    <col customWidth="1" min="18" max="18" width="7.11"/>
    <col customWidth="1" min="19" max="19" width="7.22"/>
    <col customWidth="1" min="20" max="20" width="9.56"/>
    <col customWidth="1" min="21" max="21" width="9.0"/>
    <col customWidth="1" min="22" max="22" width="9.11"/>
    <col customWidth="1" min="23" max="23" width="9.56"/>
    <col customWidth="1" min="24" max="24" width="7.22"/>
    <col customWidth="1" min="25" max="25" width="8.22"/>
    <col customWidth="1" min="26" max="26" width="9.56"/>
    <col customWidth="1" min="27" max="28" width="7.22"/>
    <col customWidth="1" min="29" max="29" width="9.56"/>
    <col customWidth="1" min="30" max="30" width="7.11"/>
    <col customWidth="1" min="31" max="31" width="7.22"/>
    <col customWidth="1" min="32" max="32" width="9.56"/>
    <col customWidth="1" min="33" max="33" width="9.78"/>
    <col customWidth="1" min="34" max="34" width="7.22"/>
    <col customWidth="1" min="35" max="35" width="9.56"/>
    <col customWidth="1" min="36" max="39" width="7.22"/>
    <col customWidth="1" min="40" max="40" width="7.0"/>
    <col customWidth="1" min="41" max="41" width="7.11"/>
    <col customWidth="1" min="42" max="51" width="7.0"/>
  </cols>
  <sheetData>
    <row r="1" ht="16.5" customHeight="1">
      <c r="A1" s="75" t="s">
        <v>265</v>
      </c>
      <c r="B1" s="75"/>
      <c r="C1" s="75"/>
      <c r="D1" s="75">
        <v>1.0</v>
      </c>
      <c r="E1" s="214">
        <v>1.2</v>
      </c>
      <c r="F1" s="75"/>
      <c r="G1" s="75"/>
      <c r="H1" s="75"/>
      <c r="I1" s="75"/>
      <c r="J1" s="75" t="s">
        <v>266</v>
      </c>
      <c r="K1" s="75"/>
      <c r="L1" s="75"/>
      <c r="M1" s="75">
        <v>1.0</v>
      </c>
      <c r="N1" s="214">
        <v>1.2</v>
      </c>
      <c r="O1" s="75"/>
      <c r="P1" s="75"/>
      <c r="Q1" s="75"/>
      <c r="R1" s="75"/>
      <c r="S1" s="75" t="s">
        <v>267</v>
      </c>
      <c r="T1" s="75"/>
      <c r="U1" s="75"/>
      <c r="V1" s="196">
        <v>1.0</v>
      </c>
      <c r="W1" s="75">
        <v>5.0</v>
      </c>
      <c r="X1" s="75">
        <v>0.1</v>
      </c>
      <c r="Y1" s="215"/>
      <c r="Z1" s="75"/>
      <c r="AA1" s="75"/>
      <c r="AB1" s="75" t="s">
        <v>268</v>
      </c>
      <c r="AC1" s="75"/>
      <c r="AD1" s="75"/>
      <c r="AE1" s="75">
        <v>1.0</v>
      </c>
      <c r="AF1" s="214">
        <v>1.6</v>
      </c>
      <c r="AG1" s="214">
        <v>1.2</v>
      </c>
      <c r="AH1" s="75"/>
      <c r="AI1" s="75"/>
      <c r="AJ1" s="75"/>
      <c r="AK1" s="75"/>
      <c r="AL1" s="75"/>
      <c r="AM1" s="75"/>
      <c r="AN1" s="10">
        <v>1.0</v>
      </c>
      <c r="AO1" s="10">
        <v>1.0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ht="16.5" customHeight="1">
      <c r="A2" s="75"/>
      <c r="B2" s="75"/>
      <c r="C2" s="75"/>
      <c r="D2" s="75">
        <v>2.0</v>
      </c>
      <c r="E2" s="214">
        <v>1.71</v>
      </c>
      <c r="F2" s="75"/>
      <c r="G2" s="75"/>
      <c r="H2" s="75"/>
      <c r="I2" s="75"/>
      <c r="J2" s="75"/>
      <c r="K2" s="75"/>
      <c r="L2" s="75"/>
      <c r="M2" s="75">
        <v>2.0</v>
      </c>
      <c r="N2" s="214">
        <v>1.71</v>
      </c>
      <c r="O2" s="75"/>
      <c r="P2" s="75"/>
      <c r="Q2" s="75"/>
      <c r="R2" s="75"/>
      <c r="S2" s="75"/>
      <c r="T2" s="75"/>
      <c r="U2" s="75"/>
      <c r="V2" s="196">
        <v>2.0</v>
      </c>
      <c r="W2" s="75">
        <v>8.0</v>
      </c>
      <c r="X2" s="75">
        <v>0.228</v>
      </c>
      <c r="Y2" s="215"/>
      <c r="Z2" s="75"/>
      <c r="AA2" s="75"/>
      <c r="AB2" s="75"/>
      <c r="AC2" s="75"/>
      <c r="AD2" s="75"/>
      <c r="AE2" s="75">
        <v>2.0</v>
      </c>
      <c r="AF2" s="214">
        <v>2.55</v>
      </c>
      <c r="AG2" s="214">
        <v>1.38</v>
      </c>
      <c r="AH2" s="75"/>
      <c r="AI2" s="75"/>
      <c r="AJ2" s="75"/>
      <c r="AK2" s="75"/>
      <c r="AL2" s="75"/>
      <c r="AM2" s="75"/>
      <c r="AN2" s="10">
        <v>2.0</v>
      </c>
      <c r="AO2" s="10">
        <v>3.0</v>
      </c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ht="16.5" customHeight="1">
      <c r="A3" s="75"/>
      <c r="B3" s="75"/>
      <c r="C3" s="75"/>
      <c r="D3" s="75">
        <v>3.0</v>
      </c>
      <c r="E3" s="214">
        <v>2.43</v>
      </c>
      <c r="F3" s="75"/>
      <c r="G3" s="75"/>
      <c r="H3" s="75"/>
      <c r="I3" s="75"/>
      <c r="J3" s="75"/>
      <c r="K3" s="75"/>
      <c r="L3" s="75"/>
      <c r="M3" s="75">
        <v>3.0</v>
      </c>
      <c r="N3" s="214">
        <v>2.43</v>
      </c>
      <c r="O3" s="75"/>
      <c r="P3" s="75"/>
      <c r="Q3" s="75"/>
      <c r="R3" s="75"/>
      <c r="S3" s="75"/>
      <c r="T3" s="75"/>
      <c r="U3" s="75"/>
      <c r="V3" s="196">
        <v>3.0</v>
      </c>
      <c r="W3" s="75">
        <v>12.0</v>
      </c>
      <c r="X3" s="75">
        <v>0.373</v>
      </c>
      <c r="Y3" s="215"/>
      <c r="Z3" s="75"/>
      <c r="AA3" s="75"/>
      <c r="AB3" s="75"/>
      <c r="AC3" s="75"/>
      <c r="AD3" s="75"/>
      <c r="AE3" s="75">
        <v>3.0</v>
      </c>
      <c r="AF3" s="214">
        <v>4.06</v>
      </c>
      <c r="AG3" s="214">
        <v>1.58</v>
      </c>
      <c r="AH3" s="75"/>
      <c r="AI3" s="75"/>
      <c r="AJ3" s="75"/>
      <c r="AK3" s="75"/>
      <c r="AL3" s="75"/>
      <c r="AM3" s="75"/>
      <c r="AN3" s="10">
        <v>3.0</v>
      </c>
      <c r="AO3" s="10">
        <v>5.0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ht="16.5" customHeight="1">
      <c r="A4" s="75"/>
      <c r="B4" s="75"/>
      <c r="C4" s="75"/>
      <c r="D4" s="75">
        <v>4.0</v>
      </c>
      <c r="E4" s="214">
        <v>3.82</v>
      </c>
      <c r="F4" s="75"/>
      <c r="G4" s="75"/>
      <c r="H4" s="75"/>
      <c r="I4" s="75"/>
      <c r="J4" s="75"/>
      <c r="K4" s="75"/>
      <c r="L4" s="75"/>
      <c r="M4" s="75">
        <v>4.0</v>
      </c>
      <c r="N4" s="214">
        <v>3.82</v>
      </c>
      <c r="O4" s="75"/>
      <c r="P4" s="75"/>
      <c r="Q4" s="75"/>
      <c r="R4" s="75"/>
      <c r="S4" s="75"/>
      <c r="T4" s="75"/>
      <c r="U4" s="75"/>
      <c r="V4" s="196">
        <v>4.0</v>
      </c>
      <c r="W4" s="75">
        <v>19.0</v>
      </c>
      <c r="X4" s="75">
        <v>0.538</v>
      </c>
      <c r="Y4" s="215"/>
      <c r="Z4" s="75"/>
      <c r="AA4" s="75"/>
      <c r="AB4" s="75"/>
      <c r="AC4" s="75"/>
      <c r="AD4" s="75"/>
      <c r="AE4" s="75">
        <v>4.0</v>
      </c>
      <c r="AF4" s="214">
        <v>7.13</v>
      </c>
      <c r="AG4" s="214">
        <v>1.94</v>
      </c>
      <c r="AH4" s="75"/>
      <c r="AI4" s="75"/>
      <c r="AJ4" s="75"/>
      <c r="AK4" s="75"/>
      <c r="AL4" s="75"/>
      <c r="AM4" s="75"/>
      <c r="AN4" s="10">
        <v>4.0</v>
      </c>
      <c r="AO4" s="10">
        <v>8.0</v>
      </c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ht="16.5" customHeight="1">
      <c r="A5" s="75"/>
      <c r="B5" s="75"/>
      <c r="C5" s="75"/>
      <c r="D5" s="75">
        <v>5.0</v>
      </c>
      <c r="E5" s="214">
        <v>6.02</v>
      </c>
      <c r="F5" s="75"/>
      <c r="G5" s="75"/>
      <c r="H5" s="75"/>
      <c r="I5" s="75"/>
      <c r="J5" s="75"/>
      <c r="K5" s="75"/>
      <c r="L5" s="75"/>
      <c r="M5" s="75">
        <v>5.0</v>
      </c>
      <c r="N5" s="214">
        <v>6.02</v>
      </c>
      <c r="O5" s="75"/>
      <c r="P5" s="75"/>
      <c r="Q5" s="75"/>
      <c r="R5" s="75"/>
      <c r="S5" s="75"/>
      <c r="T5" s="75"/>
      <c r="U5" s="75"/>
      <c r="V5" s="196">
        <v>5.0</v>
      </c>
      <c r="W5" s="75">
        <v>26.0</v>
      </c>
      <c r="X5" s="75">
        <v>0.727</v>
      </c>
      <c r="Y5" s="215"/>
      <c r="Z5" s="75"/>
      <c r="AA5" s="75"/>
      <c r="AB5" s="75"/>
      <c r="AC5" s="75"/>
      <c r="AD5" s="75"/>
      <c r="AE5" s="75">
        <v>5.0</v>
      </c>
      <c r="AF5" s="214">
        <v>12.5</v>
      </c>
      <c r="AG5" s="214">
        <v>2.38</v>
      </c>
      <c r="AH5" s="75"/>
      <c r="AI5" s="75"/>
      <c r="AJ5" s="75"/>
      <c r="AK5" s="75"/>
      <c r="AL5" s="75"/>
      <c r="AM5" s="75"/>
      <c r="AN5" s="10">
        <v>5.0</v>
      </c>
      <c r="AO5" s="10">
        <v>11.0</v>
      </c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ht="16.5" customHeight="1">
      <c r="A6" s="75"/>
      <c r="B6" s="75"/>
      <c r="C6" s="75"/>
      <c r="D6" s="75">
        <v>6.0</v>
      </c>
      <c r="E6" s="214">
        <v>9.47</v>
      </c>
      <c r="F6" s="75"/>
      <c r="G6" s="75"/>
      <c r="H6" s="75"/>
      <c r="I6" s="75"/>
      <c r="J6" s="75"/>
      <c r="K6" s="75"/>
      <c r="L6" s="75"/>
      <c r="M6" s="75">
        <v>6.0</v>
      </c>
      <c r="N6" s="214">
        <v>9.47</v>
      </c>
      <c r="O6" s="75"/>
      <c r="P6" s="75"/>
      <c r="Q6" s="75"/>
      <c r="R6" s="75"/>
      <c r="S6" s="75"/>
      <c r="T6" s="75"/>
      <c r="U6" s="75"/>
      <c r="V6" s="196">
        <v>6.0</v>
      </c>
      <c r="W6" s="75">
        <v>35.0</v>
      </c>
      <c r="X6" s="75">
        <v>0.941</v>
      </c>
      <c r="Y6" s="215"/>
      <c r="Z6" s="75"/>
      <c r="AA6" s="75"/>
      <c r="AB6" s="75"/>
      <c r="AC6" s="75"/>
      <c r="AD6" s="75"/>
      <c r="AE6" s="75">
        <v>6.0</v>
      </c>
      <c r="AF6" s="214">
        <v>22.0</v>
      </c>
      <c r="AG6" s="214">
        <v>2.92</v>
      </c>
      <c r="AH6" s="75"/>
      <c r="AI6" s="75"/>
      <c r="AJ6" s="75"/>
      <c r="AK6" s="75"/>
      <c r="AL6" s="75"/>
      <c r="AM6" s="75"/>
      <c r="AN6" s="10">
        <v>6.0</v>
      </c>
      <c r="AO6" s="10">
        <v>14.0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ht="16.5" customHeight="1">
      <c r="A7" s="75"/>
      <c r="B7" s="75"/>
      <c r="C7" s="75"/>
      <c r="D7" s="75">
        <v>7.0</v>
      </c>
      <c r="E7" s="214">
        <v>16.4</v>
      </c>
      <c r="F7" s="75"/>
      <c r="G7" s="75"/>
      <c r="H7" s="75"/>
      <c r="I7" s="75"/>
      <c r="J7" s="75"/>
      <c r="K7" s="75"/>
      <c r="L7" s="75"/>
      <c r="M7" s="75">
        <v>7.0</v>
      </c>
      <c r="N7" s="214">
        <v>16.4</v>
      </c>
      <c r="O7" s="75"/>
      <c r="P7" s="75"/>
      <c r="Q7" s="75"/>
      <c r="R7" s="75"/>
      <c r="S7" s="75"/>
      <c r="T7" s="75"/>
      <c r="U7" s="75"/>
      <c r="V7" s="196">
        <v>7.0</v>
      </c>
      <c r="W7" s="75">
        <v>46.0</v>
      </c>
      <c r="X7" s="75">
        <v>1.185</v>
      </c>
      <c r="Y7" s="215"/>
      <c r="Z7" s="75"/>
      <c r="AA7" s="75"/>
      <c r="AB7" s="75"/>
      <c r="AC7" s="75"/>
      <c r="AD7" s="75"/>
      <c r="AE7" s="75">
        <v>7.0</v>
      </c>
      <c r="AF7" s="214">
        <v>42.5</v>
      </c>
      <c r="AG7" s="214">
        <v>3.81</v>
      </c>
      <c r="AH7" s="75"/>
      <c r="AI7" s="75"/>
      <c r="AJ7" s="75"/>
      <c r="AK7" s="75"/>
      <c r="AL7" s="75"/>
      <c r="AM7" s="75"/>
      <c r="AN7" s="10">
        <v>7.0</v>
      </c>
      <c r="AO7" s="10">
        <v>18.0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ht="16.5" customHeight="1">
      <c r="A8" s="75"/>
      <c r="B8" s="75"/>
      <c r="C8" s="75"/>
      <c r="D8" s="75">
        <v>8.0</v>
      </c>
      <c r="E8" s="214">
        <v>31.4</v>
      </c>
      <c r="F8" s="75"/>
      <c r="G8" s="75"/>
      <c r="H8" s="75"/>
      <c r="I8" s="75"/>
      <c r="J8" s="75"/>
      <c r="K8" s="75"/>
      <c r="L8" s="75"/>
      <c r="M8" s="75">
        <v>8.0</v>
      </c>
      <c r="N8" s="214">
        <v>31.4</v>
      </c>
      <c r="O8" s="75"/>
      <c r="P8" s="75"/>
      <c r="Q8" s="75"/>
      <c r="R8" s="75"/>
      <c r="S8" s="75"/>
      <c r="T8" s="75"/>
      <c r="U8" s="75"/>
      <c r="V8" s="196">
        <v>8.0</v>
      </c>
      <c r="W8" s="75">
        <v>62.0</v>
      </c>
      <c r="X8" s="75">
        <v>1.463</v>
      </c>
      <c r="Y8" s="215"/>
      <c r="Z8" s="75"/>
      <c r="AA8" s="75"/>
      <c r="AB8" s="75"/>
      <c r="AC8" s="75"/>
      <c r="AD8" s="75"/>
      <c r="AE8" s="75">
        <v>8.0</v>
      </c>
      <c r="AF8" s="214">
        <v>90.2</v>
      </c>
      <c r="AG8" s="214">
        <v>5.29</v>
      </c>
      <c r="AH8" s="75"/>
      <c r="AI8" s="75"/>
      <c r="AJ8" s="75"/>
      <c r="AK8" s="75"/>
      <c r="AL8" s="75"/>
      <c r="AM8" s="75"/>
      <c r="AN8" s="10">
        <v>8.0</v>
      </c>
      <c r="AO8" s="10">
        <v>23.0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ht="16.5" customHeight="1">
      <c r="A9" s="75"/>
      <c r="B9" s="75"/>
      <c r="C9" s="75"/>
      <c r="D9" s="75">
        <v>9.0</v>
      </c>
      <c r="E9" s="214">
        <v>60.1</v>
      </c>
      <c r="F9" s="75"/>
      <c r="G9" s="75"/>
      <c r="H9" s="75"/>
      <c r="I9" s="75"/>
      <c r="J9" s="75"/>
      <c r="K9" s="75"/>
      <c r="L9" s="75"/>
      <c r="M9" s="75">
        <v>9.0</v>
      </c>
      <c r="N9" s="214">
        <v>60.1</v>
      </c>
      <c r="O9" s="75"/>
      <c r="P9" s="75"/>
      <c r="Q9" s="75"/>
      <c r="R9" s="75"/>
      <c r="S9" s="75"/>
      <c r="T9" s="75"/>
      <c r="U9" s="75"/>
      <c r="V9" s="196">
        <v>9.0</v>
      </c>
      <c r="W9" s="75">
        <v>80.0</v>
      </c>
      <c r="X9" s="75">
        <v>1.779</v>
      </c>
      <c r="Y9" s="215"/>
      <c r="Z9" s="75"/>
      <c r="AA9" s="75"/>
      <c r="AB9" s="75"/>
      <c r="AC9" s="75"/>
      <c r="AD9" s="75"/>
      <c r="AE9" s="75">
        <v>9.0</v>
      </c>
      <c r="AF9" s="214">
        <v>191.0</v>
      </c>
      <c r="AG9" s="214">
        <v>7.35</v>
      </c>
      <c r="AH9" s="75"/>
      <c r="AI9" s="75"/>
      <c r="AJ9" s="75"/>
      <c r="AK9" s="75"/>
      <c r="AL9" s="75"/>
      <c r="AM9" s="75"/>
      <c r="AN9" s="10">
        <v>9.0</v>
      </c>
      <c r="AO9" s="10">
        <v>28.0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ht="16.5" customHeight="1">
      <c r="A10" s="75"/>
      <c r="B10" s="75"/>
      <c r="C10" s="75"/>
      <c r="D10" s="75">
        <v>10.0</v>
      </c>
      <c r="E10" s="214">
        <v>126.0</v>
      </c>
      <c r="F10" s="75"/>
      <c r="G10" s="75"/>
      <c r="H10" s="75"/>
      <c r="I10" s="75"/>
      <c r="J10" s="75"/>
      <c r="K10" s="75"/>
      <c r="L10" s="75"/>
      <c r="M10" s="75">
        <v>10.0</v>
      </c>
      <c r="N10" s="214">
        <v>126.0</v>
      </c>
      <c r="O10" s="75"/>
      <c r="P10" s="75"/>
      <c r="Q10" s="75"/>
      <c r="R10" s="75"/>
      <c r="S10" s="75"/>
      <c r="T10" s="75"/>
      <c r="U10" s="75"/>
      <c r="V10" s="196">
        <v>10.0</v>
      </c>
      <c r="W10" s="75">
        <v>103.0</v>
      </c>
      <c r="X10" s="75">
        <v>2.139</v>
      </c>
      <c r="Y10" s="215"/>
      <c r="Z10" s="75"/>
      <c r="AA10" s="75"/>
      <c r="AB10" s="75"/>
      <c r="AC10" s="75"/>
      <c r="AD10" s="75"/>
      <c r="AE10" s="75">
        <v>10.0</v>
      </c>
      <c r="AF10" s="214">
        <v>445.0</v>
      </c>
      <c r="AG10" s="214">
        <v>10.8</v>
      </c>
      <c r="AH10" s="75"/>
      <c r="AI10" s="75"/>
      <c r="AJ10" s="75"/>
      <c r="AK10" s="75"/>
      <c r="AL10" s="75"/>
      <c r="AM10" s="75"/>
      <c r="AN10" s="10">
        <v>10.0</v>
      </c>
      <c r="AO10" s="10">
        <v>34.0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ht="16.5" customHeight="1">
      <c r="A11" s="75"/>
      <c r="B11" s="75"/>
      <c r="C11" s="75"/>
      <c r="D11" s="75">
        <v>11.0</v>
      </c>
      <c r="E11" s="214">
        <v>290.0</v>
      </c>
      <c r="F11" s="75"/>
      <c r="G11" s="75"/>
      <c r="H11" s="75"/>
      <c r="I11" s="75"/>
      <c r="J11" s="75"/>
      <c r="K11" s="75"/>
      <c r="L11" s="75"/>
      <c r="M11" s="75">
        <v>11.0</v>
      </c>
      <c r="N11" s="214">
        <v>290.0</v>
      </c>
      <c r="O11" s="75"/>
      <c r="P11" s="75"/>
      <c r="Q11" s="75"/>
      <c r="R11" s="75"/>
      <c r="S11" s="75"/>
      <c r="T11" s="75"/>
      <c r="U11" s="75"/>
      <c r="V11" s="196">
        <v>11.0</v>
      </c>
      <c r="W11" s="75">
        <v>132.0</v>
      </c>
      <c r="X11" s="75">
        <v>2.549</v>
      </c>
      <c r="Y11" s="215"/>
      <c r="Z11" s="75"/>
      <c r="AA11" s="75"/>
      <c r="AB11" s="75"/>
      <c r="AC11" s="75"/>
      <c r="AD11" s="75"/>
      <c r="AE11" s="75">
        <v>11.0</v>
      </c>
      <c r="AF11" s="214">
        <v>1130.0</v>
      </c>
      <c r="AG11" s="214">
        <v>16.9</v>
      </c>
      <c r="AH11" s="75"/>
      <c r="AI11" s="75"/>
      <c r="AJ11" s="75"/>
      <c r="AK11" s="75"/>
      <c r="AL11" s="75"/>
      <c r="AM11" s="75"/>
      <c r="AN11" s="10">
        <v>11.0</v>
      </c>
      <c r="AO11" s="10">
        <v>41.0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ht="16.5" customHeight="1">
      <c r="A12" s="75"/>
      <c r="B12" s="75"/>
      <c r="C12" s="75"/>
      <c r="D12" s="75">
        <v>12.0</v>
      </c>
      <c r="E12" s="214">
        <v>728.0</v>
      </c>
      <c r="F12" s="75"/>
      <c r="G12" s="75"/>
      <c r="H12" s="75"/>
      <c r="I12" s="75"/>
      <c r="J12" s="75"/>
      <c r="K12" s="75"/>
      <c r="L12" s="75"/>
      <c r="M12" s="75">
        <v>12.0</v>
      </c>
      <c r="N12" s="214">
        <v>728.0</v>
      </c>
      <c r="O12" s="75"/>
      <c r="P12" s="75"/>
      <c r="Q12" s="75"/>
      <c r="R12" s="75"/>
      <c r="S12" s="75"/>
      <c r="T12" s="75"/>
      <c r="U12" s="75"/>
      <c r="V12" s="196">
        <v>12.0</v>
      </c>
      <c r="W12" s="75">
        <v>168.0</v>
      </c>
      <c r="X12" s="75">
        <v>3.015</v>
      </c>
      <c r="Y12" s="215"/>
      <c r="Z12" s="75"/>
      <c r="AA12" s="75"/>
      <c r="AB12" s="75"/>
      <c r="AC12" s="75"/>
      <c r="AD12" s="75"/>
      <c r="AE12" s="75">
        <v>12.0</v>
      </c>
      <c r="AF12" s="214">
        <v>3140.0</v>
      </c>
      <c r="AG12" s="214">
        <v>27.8</v>
      </c>
      <c r="AH12" s="75"/>
      <c r="AI12" s="75"/>
      <c r="AJ12" s="75"/>
      <c r="AK12" s="75"/>
      <c r="AL12" s="75"/>
      <c r="AM12" s="75"/>
      <c r="AN12" s="10">
        <v>12.0</v>
      </c>
      <c r="AO12" s="10">
        <v>49.0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ht="16.5" customHeight="1">
      <c r="A13" s="75"/>
      <c r="B13" s="75"/>
      <c r="C13" s="75"/>
      <c r="D13" s="75">
        <v>13.0</v>
      </c>
      <c r="E13" s="214">
        <v>2000.0</v>
      </c>
      <c r="F13" s="75"/>
      <c r="G13" s="75"/>
      <c r="H13" s="75"/>
      <c r="I13" s="75"/>
      <c r="J13" s="75"/>
      <c r="K13" s="75"/>
      <c r="L13" s="75"/>
      <c r="M13" s="75">
        <v>13.0</v>
      </c>
      <c r="N13" s="214">
        <v>2000.0</v>
      </c>
      <c r="O13" s="75"/>
      <c r="P13" s="75"/>
      <c r="Q13" s="75"/>
      <c r="R13" s="75"/>
      <c r="S13" s="75"/>
      <c r="T13" s="75"/>
      <c r="U13" s="75"/>
      <c r="V13" s="196">
        <v>13.0</v>
      </c>
      <c r="W13" s="75">
        <v>213.0</v>
      </c>
      <c r="X13" s="75">
        <v>3.546</v>
      </c>
      <c r="Y13" s="215"/>
      <c r="Z13" s="75"/>
      <c r="AA13" s="75"/>
      <c r="AB13" s="75"/>
      <c r="AC13" s="75"/>
      <c r="AD13" s="75"/>
      <c r="AE13" s="75">
        <v>13.0</v>
      </c>
      <c r="AF13" s="214">
        <v>9490.0</v>
      </c>
      <c r="AG13" s="214">
        <v>48.4</v>
      </c>
      <c r="AH13" s="75"/>
      <c r="AI13" s="75"/>
      <c r="AJ13" s="75"/>
      <c r="AK13" s="75"/>
      <c r="AL13" s="75"/>
      <c r="AM13" s="75"/>
      <c r="AN13" s="10">
        <v>13.0</v>
      </c>
      <c r="AO13" s="10">
        <v>58.0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ht="16.5" customHeight="1">
      <c r="A14" s="75"/>
      <c r="B14" s="75"/>
      <c r="C14" s="75"/>
      <c r="D14" s="75">
        <v>14.0</v>
      </c>
      <c r="E14" s="214">
        <v>6490.0</v>
      </c>
      <c r="F14" s="75"/>
      <c r="G14" s="75"/>
      <c r="H14" s="75"/>
      <c r="I14" s="75"/>
      <c r="J14" s="75"/>
      <c r="K14" s="75"/>
      <c r="L14" s="75"/>
      <c r="M14" s="75">
        <v>14.0</v>
      </c>
      <c r="N14" s="214">
        <v>6490.0</v>
      </c>
      <c r="O14" s="75"/>
      <c r="P14" s="75"/>
      <c r="Q14" s="75"/>
      <c r="R14" s="75"/>
      <c r="S14" s="75"/>
      <c r="T14" s="75"/>
      <c r="U14" s="75"/>
      <c r="V14" s="196">
        <v>14.0</v>
      </c>
      <c r="W14" s="75">
        <v>269.0</v>
      </c>
      <c r="X14" s="75">
        <v>4.151</v>
      </c>
      <c r="Y14" s="215"/>
      <c r="Z14" s="75"/>
      <c r="AA14" s="75"/>
      <c r="AB14" s="75"/>
      <c r="AC14" s="75"/>
      <c r="AD14" s="75"/>
      <c r="AE14" s="75">
        <v>14.0</v>
      </c>
      <c r="AF14" s="214">
        <v>34000.0</v>
      </c>
      <c r="AG14" s="214">
        <v>93.3</v>
      </c>
      <c r="AH14" s="75"/>
      <c r="AI14" s="75"/>
      <c r="AJ14" s="75"/>
      <c r="AK14" s="75"/>
      <c r="AL14" s="75"/>
      <c r="AM14" s="75"/>
      <c r="AN14" s="10">
        <v>14.0</v>
      </c>
      <c r="AO14" s="10">
        <v>69.0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ht="16.5" customHeight="1">
      <c r="A15" s="75"/>
      <c r="B15" s="75"/>
      <c r="C15" s="75"/>
      <c r="D15" s="75">
        <v>15.0</v>
      </c>
      <c r="E15" s="214">
        <v>22900.0</v>
      </c>
      <c r="F15" s="75"/>
      <c r="G15" s="75"/>
      <c r="H15" s="75"/>
      <c r="I15" s="75"/>
      <c r="J15" s="75"/>
      <c r="K15" s="75"/>
      <c r="L15" s="75"/>
      <c r="M15" s="75">
        <v>15.0</v>
      </c>
      <c r="N15" s="214">
        <v>22900.0</v>
      </c>
      <c r="O15" s="75"/>
      <c r="P15" s="75"/>
      <c r="Q15" s="75"/>
      <c r="R15" s="75"/>
      <c r="S15" s="75"/>
      <c r="T15" s="75"/>
      <c r="U15" s="75"/>
      <c r="V15" s="196">
        <v>15.0</v>
      </c>
      <c r="W15" s="75">
        <v>337.0</v>
      </c>
      <c r="X15" s="75">
        <v>4.839</v>
      </c>
      <c r="Y15" s="215"/>
      <c r="Z15" s="75"/>
      <c r="AA15" s="75"/>
      <c r="AB15" s="75"/>
      <c r="AC15" s="75"/>
      <c r="AD15" s="75"/>
      <c r="AE15" s="75">
        <v>15.0</v>
      </c>
      <c r="AF15" s="216">
        <v>132000.0</v>
      </c>
      <c r="AG15" s="214">
        <v>189.0</v>
      </c>
      <c r="AH15" s="75"/>
      <c r="AI15" s="75"/>
      <c r="AJ15" s="75"/>
      <c r="AK15" s="75"/>
      <c r="AL15" s="75"/>
      <c r="AM15" s="75"/>
      <c r="AN15" s="10">
        <v>15.0</v>
      </c>
      <c r="AO15" s="10">
        <v>81.0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ht="16.5" customHeight="1">
      <c r="A16" s="75"/>
      <c r="B16" s="75"/>
      <c r="C16" s="75"/>
      <c r="D16" s="75">
        <v>16.0</v>
      </c>
      <c r="E16" s="214">
        <v>94800.0</v>
      </c>
      <c r="F16" s="75"/>
      <c r="G16" s="75"/>
      <c r="H16" s="75"/>
      <c r="I16" s="75"/>
      <c r="J16" s="75"/>
      <c r="K16" s="75"/>
      <c r="L16" s="75"/>
      <c r="M16" s="75">
        <v>16.0</v>
      </c>
      <c r="N16" s="214">
        <v>94800.0</v>
      </c>
      <c r="O16" s="75"/>
      <c r="P16" s="75"/>
      <c r="Q16" s="75"/>
      <c r="R16" s="75"/>
      <c r="S16" s="75"/>
      <c r="T16" s="75"/>
      <c r="U16" s="75"/>
      <c r="V16" s="196">
        <v>16.0</v>
      </c>
      <c r="W16" s="75">
        <v>421.0</v>
      </c>
      <c r="X16" s="75">
        <v>5.622</v>
      </c>
      <c r="Y16" s="215"/>
      <c r="Z16" s="75"/>
      <c r="AA16" s="75"/>
      <c r="AB16" s="75"/>
      <c r="AC16" s="75"/>
      <c r="AD16" s="75"/>
      <c r="AE16" s="75">
        <v>16.0</v>
      </c>
      <c r="AF16" s="216">
        <v>605000.0</v>
      </c>
      <c r="AG16" s="214">
        <v>421.0</v>
      </c>
      <c r="AH16" s="75"/>
      <c r="AI16" s="75"/>
      <c r="AJ16" s="75"/>
      <c r="AK16" s="75"/>
      <c r="AL16" s="75"/>
      <c r="AM16" s="75"/>
      <c r="AN16" s="10">
        <v>16.0</v>
      </c>
      <c r="AO16" s="10">
        <v>95.0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ht="16.5" customHeight="1">
      <c r="A17" s="75"/>
      <c r="B17" s="75"/>
      <c r="C17" s="75"/>
      <c r="D17" s="75">
        <v>17.0</v>
      </c>
      <c r="E17" s="214">
        <v>459000.0</v>
      </c>
      <c r="F17" s="75"/>
      <c r="G17" s="75"/>
      <c r="H17" s="75"/>
      <c r="I17" s="75"/>
      <c r="J17" s="75"/>
      <c r="K17" s="75"/>
      <c r="L17" s="75"/>
      <c r="M17" s="75">
        <v>17.0</v>
      </c>
      <c r="N17" s="214">
        <v>459000.0</v>
      </c>
      <c r="O17" s="75"/>
      <c r="P17" s="75"/>
      <c r="Q17" s="75"/>
      <c r="R17" s="75"/>
      <c r="S17" s="75"/>
      <c r="T17" s="75"/>
      <c r="U17" s="75"/>
      <c r="V17" s="196">
        <v>17.0</v>
      </c>
      <c r="W17" s="75">
        <v>524.0</v>
      </c>
      <c r="X17" s="75">
        <v>6.514</v>
      </c>
      <c r="Y17" s="215"/>
      <c r="Z17" s="75"/>
      <c r="AA17" s="75"/>
      <c r="AB17" s="75"/>
      <c r="AC17" s="75"/>
      <c r="AD17" s="75"/>
      <c r="AE17" s="75">
        <v>17.0</v>
      </c>
      <c r="AF17" s="216">
        <v>3240000.0</v>
      </c>
      <c r="AG17" s="214">
        <v>1030.0</v>
      </c>
      <c r="AH17" s="75"/>
      <c r="AI17" s="75"/>
      <c r="AJ17" s="75"/>
      <c r="AK17" s="75"/>
      <c r="AL17" s="75"/>
      <c r="AM17" s="75"/>
      <c r="AN17" s="10">
        <v>17.0</v>
      </c>
      <c r="AO17" s="10">
        <v>111.0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ht="16.5" customHeight="1">
      <c r="A18" s="75"/>
      <c r="B18" s="75"/>
      <c r="C18" s="75"/>
      <c r="D18" s="75">
        <v>18.0</v>
      </c>
      <c r="E18" s="216">
        <v>2790000.0</v>
      </c>
      <c r="F18" s="75"/>
      <c r="G18" s="75"/>
      <c r="H18" s="75"/>
      <c r="I18" s="75"/>
      <c r="J18" s="75"/>
      <c r="K18" s="75"/>
      <c r="L18" s="75"/>
      <c r="M18" s="75">
        <v>18.0</v>
      </c>
      <c r="N18" s="216">
        <v>2790000.0</v>
      </c>
      <c r="O18" s="75"/>
      <c r="P18" s="75"/>
      <c r="Q18" s="75"/>
      <c r="R18" s="75"/>
      <c r="S18" s="75"/>
      <c r="T18" s="75"/>
      <c r="U18" s="75"/>
      <c r="V18" s="196">
        <v>18.0</v>
      </c>
      <c r="W18" s="75">
        <v>652.0</v>
      </c>
      <c r="X18" s="75">
        <v>7.529</v>
      </c>
      <c r="Y18" s="215"/>
      <c r="Z18" s="75"/>
      <c r="AA18" s="75"/>
      <c r="AB18" s="75"/>
      <c r="AC18" s="75"/>
      <c r="AD18" s="75"/>
      <c r="AE18" s="75">
        <v>18.0</v>
      </c>
      <c r="AF18" s="216">
        <v>2.19E7</v>
      </c>
      <c r="AG18" s="214">
        <v>2840.0</v>
      </c>
      <c r="AH18" s="75"/>
      <c r="AI18" s="75"/>
      <c r="AJ18" s="75"/>
      <c r="AK18" s="75"/>
      <c r="AL18" s="75"/>
      <c r="AM18" s="75"/>
      <c r="AN18" s="10">
        <v>18.0</v>
      </c>
      <c r="AO18" s="10">
        <v>130.0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ht="16.5" customHeight="1">
      <c r="A19" s="75"/>
      <c r="B19" s="75"/>
      <c r="C19" s="75"/>
      <c r="D19" s="75">
        <v>19.0</v>
      </c>
      <c r="E19" s="216">
        <v>2.11E7</v>
      </c>
      <c r="F19" s="75"/>
      <c r="G19" s="75"/>
      <c r="H19" s="75"/>
      <c r="I19" s="75"/>
      <c r="J19" s="75"/>
      <c r="K19" s="75"/>
      <c r="L19" s="75"/>
      <c r="M19" s="75">
        <v>19.0</v>
      </c>
      <c r="N19" s="216">
        <v>2.11E7</v>
      </c>
      <c r="O19" s="75"/>
      <c r="P19" s="75"/>
      <c r="Q19" s="75"/>
      <c r="R19" s="75"/>
      <c r="S19" s="75"/>
      <c r="T19" s="75"/>
      <c r="U19" s="75"/>
      <c r="V19" s="196">
        <v>19.0</v>
      </c>
      <c r="W19" s="75">
        <v>809.0</v>
      </c>
      <c r="X19" s="75">
        <v>8.684</v>
      </c>
      <c r="Y19" s="215"/>
      <c r="Z19" s="75"/>
      <c r="AA19" s="75"/>
      <c r="AB19" s="75"/>
      <c r="AC19" s="75"/>
      <c r="AD19" s="75"/>
      <c r="AE19" s="75">
        <v>19.0</v>
      </c>
      <c r="AF19" s="216">
        <v>1.85E8</v>
      </c>
      <c r="AG19" s="214">
        <v>8830.0</v>
      </c>
      <c r="AH19" s="75"/>
      <c r="AI19" s="75"/>
      <c r="AJ19" s="75"/>
      <c r="AK19" s="75"/>
      <c r="AL19" s="75"/>
      <c r="AM19" s="75"/>
      <c r="AN19" s="10">
        <v>19.0</v>
      </c>
      <c r="AO19" s="10">
        <v>152.0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ht="16.5" customHeight="1">
      <c r="A20" s="75"/>
      <c r="B20" s="75"/>
      <c r="C20" s="75"/>
      <c r="D20" s="75">
        <v>20.0</v>
      </c>
      <c r="E20" s="216">
        <v>1.97E8</v>
      </c>
      <c r="F20" s="75"/>
      <c r="G20" s="75"/>
      <c r="H20" s="75"/>
      <c r="I20" s="75"/>
      <c r="J20" s="75"/>
      <c r="K20" s="75"/>
      <c r="L20" s="75"/>
      <c r="M20" s="75">
        <v>20.0</v>
      </c>
      <c r="N20" s="216">
        <v>1.97E8</v>
      </c>
      <c r="O20" s="75"/>
      <c r="P20" s="75"/>
      <c r="Q20" s="75"/>
      <c r="R20" s="75"/>
      <c r="S20" s="75"/>
      <c r="T20" s="75"/>
      <c r="U20" s="75"/>
      <c r="V20" s="196">
        <v>20.0</v>
      </c>
      <c r="W20" s="75">
        <v>1000.0</v>
      </c>
      <c r="X20" s="75">
        <v>10.0</v>
      </c>
      <c r="Y20" s="215"/>
      <c r="Z20" s="75"/>
      <c r="AA20" s="75"/>
      <c r="AB20" s="75"/>
      <c r="AC20" s="75"/>
      <c r="AD20" s="75"/>
      <c r="AE20" s="75">
        <v>20.0</v>
      </c>
      <c r="AF20" s="216">
        <v>1.94E9</v>
      </c>
      <c r="AG20" s="216">
        <v>30800.0</v>
      </c>
      <c r="AH20" s="75"/>
      <c r="AI20" s="75"/>
      <c r="AJ20" s="75"/>
      <c r="AK20" s="75"/>
      <c r="AL20" s="75"/>
      <c r="AM20" s="75"/>
      <c r="AN20" s="10">
        <v>20.0</v>
      </c>
      <c r="AO20" s="10">
        <v>177.0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ht="16.5" customHeight="1">
      <c r="A21" s="75"/>
      <c r="B21" s="75"/>
      <c r="C21" s="75"/>
      <c r="D21" s="75">
        <v>21.0</v>
      </c>
      <c r="E21" s="216">
        <v>2.27E9</v>
      </c>
      <c r="F21" s="75"/>
      <c r="G21" s="75"/>
      <c r="H21" s="75"/>
      <c r="I21" s="75"/>
      <c r="J21" s="75"/>
      <c r="K21" s="75"/>
      <c r="L21" s="75"/>
      <c r="M21" s="75">
        <v>21.0</v>
      </c>
      <c r="N21" s="216">
        <v>2.27E9</v>
      </c>
      <c r="O21" s="75"/>
      <c r="P21" s="75"/>
      <c r="Q21" s="75"/>
      <c r="R21" s="75"/>
      <c r="S21" s="75"/>
      <c r="T21" s="75"/>
      <c r="U21" s="75"/>
      <c r="V21" s="196">
        <v>21.0</v>
      </c>
      <c r="W21" s="112">
        <v>1234.0</v>
      </c>
      <c r="X21" s="112">
        <v>11.497</v>
      </c>
      <c r="Y21" s="215"/>
      <c r="Z21" s="75"/>
      <c r="AA21" s="75"/>
      <c r="AB21" s="75"/>
      <c r="AC21" s="75"/>
      <c r="AD21" s="75"/>
      <c r="AE21" s="75">
        <v>21.0</v>
      </c>
      <c r="AF21" s="216">
        <v>2.54E10</v>
      </c>
      <c r="AG21" s="216">
        <v>119000.0</v>
      </c>
      <c r="AH21" s="75"/>
      <c r="AI21" s="75"/>
      <c r="AJ21" s="75"/>
      <c r="AK21" s="75"/>
      <c r="AL21" s="75"/>
      <c r="AM21" s="75"/>
      <c r="AN21" s="10">
        <v>21.0</v>
      </c>
      <c r="AO21" s="120">
        <v>205.0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ht="16.5" customHeight="1">
      <c r="A22" s="75"/>
      <c r="B22" s="75"/>
      <c r="C22" s="75"/>
      <c r="D22" s="75">
        <v>22.0</v>
      </c>
      <c r="E22" s="216">
        <v>3.65E10</v>
      </c>
      <c r="F22" s="75"/>
      <c r="G22" s="75"/>
      <c r="H22" s="75"/>
      <c r="I22" s="75"/>
      <c r="J22" s="75"/>
      <c r="K22" s="75"/>
      <c r="L22" s="75"/>
      <c r="M22" s="75">
        <v>22.0</v>
      </c>
      <c r="N22" s="216">
        <v>3.65E10</v>
      </c>
      <c r="O22" s="75"/>
      <c r="P22" s="75"/>
      <c r="Q22" s="75"/>
      <c r="R22" s="75"/>
      <c r="S22" s="75"/>
      <c r="T22" s="75"/>
      <c r="U22" s="75"/>
      <c r="V22" s="196">
        <v>22.0</v>
      </c>
      <c r="W22" s="112">
        <v>1520.0</v>
      </c>
      <c r="X22" s="112">
        <v>13.201</v>
      </c>
      <c r="Y22" s="215"/>
      <c r="Z22" s="75"/>
      <c r="AA22" s="75"/>
      <c r="AB22" s="75"/>
      <c r="AC22" s="75"/>
      <c r="AD22" s="75"/>
      <c r="AE22" s="75">
        <v>22.0</v>
      </c>
      <c r="AF22" s="216">
        <v>4.7E11</v>
      </c>
      <c r="AG22" s="216">
        <v>541000.0</v>
      </c>
      <c r="AH22" s="75"/>
      <c r="AI22" s="75"/>
      <c r="AJ22" s="75"/>
      <c r="AK22" s="75"/>
      <c r="AL22" s="75"/>
      <c r="AM22" s="75"/>
      <c r="AN22" s="10">
        <v>22.0</v>
      </c>
      <c r="AO22" s="120">
        <v>238.0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ht="16.5" customHeight="1">
      <c r="A23" s="75"/>
      <c r="B23" s="75"/>
      <c r="C23" s="75"/>
      <c r="D23" s="75">
        <v>23.0</v>
      </c>
      <c r="E23" s="216">
        <v>8.15E11</v>
      </c>
      <c r="F23" s="75"/>
      <c r="G23" s="75"/>
      <c r="H23" s="75"/>
      <c r="I23" s="75"/>
      <c r="J23" s="75"/>
      <c r="K23" s="75"/>
      <c r="L23" s="75"/>
      <c r="M23" s="75">
        <v>23.0</v>
      </c>
      <c r="N23" s="216">
        <v>8.15E11</v>
      </c>
      <c r="O23" s="75"/>
      <c r="P23" s="75"/>
      <c r="Q23" s="75"/>
      <c r="R23" s="75"/>
      <c r="S23" s="75"/>
      <c r="T23" s="75"/>
      <c r="U23" s="75"/>
      <c r="V23" s="196">
        <v>23.0</v>
      </c>
      <c r="W23" s="112">
        <v>1870.0</v>
      </c>
      <c r="X23" s="112">
        <v>15.141</v>
      </c>
      <c r="Y23" s="215"/>
      <c r="Z23" s="75"/>
      <c r="AA23" s="75"/>
      <c r="AB23" s="75"/>
      <c r="AC23" s="75"/>
      <c r="AD23" s="75"/>
      <c r="AE23" s="75">
        <v>23.0</v>
      </c>
      <c r="AF23" s="216">
        <v>1.23E13</v>
      </c>
      <c r="AG23" s="216">
        <v>2860000.0</v>
      </c>
      <c r="AH23" s="75"/>
      <c r="AI23" s="75"/>
      <c r="AJ23" s="75"/>
      <c r="AK23" s="75"/>
      <c r="AL23" s="75"/>
      <c r="AM23" s="75"/>
      <c r="AN23" s="10">
        <v>23.0</v>
      </c>
      <c r="AO23" s="120">
        <v>276.0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ht="16.5" customHeight="1">
      <c r="A24" s="75"/>
      <c r="B24" s="75"/>
      <c r="C24" s="75"/>
      <c r="D24" s="75">
        <v>24.0</v>
      </c>
      <c r="E24" s="216">
        <v>2.5E13</v>
      </c>
      <c r="F24" s="75"/>
      <c r="G24" s="75"/>
      <c r="H24" s="75"/>
      <c r="I24" s="75"/>
      <c r="J24" s="75"/>
      <c r="K24" s="75"/>
      <c r="L24" s="75"/>
      <c r="M24" s="75">
        <v>24.0</v>
      </c>
      <c r="N24" s="216">
        <v>2.5E13</v>
      </c>
      <c r="O24" s="75"/>
      <c r="P24" s="75"/>
      <c r="Q24" s="75"/>
      <c r="R24" s="75"/>
      <c r="S24" s="75"/>
      <c r="T24" s="75"/>
      <c r="U24" s="75"/>
      <c r="V24" s="196">
        <v>24.0</v>
      </c>
      <c r="W24" s="112">
        <v>2295.0</v>
      </c>
      <c r="X24" s="112">
        <v>17.35</v>
      </c>
      <c r="Y24" s="215"/>
      <c r="Z24" s="75"/>
      <c r="AA24" s="75"/>
      <c r="AB24" s="75"/>
      <c r="AC24" s="75"/>
      <c r="AD24" s="75"/>
      <c r="AE24" s="75">
        <v>24.0</v>
      </c>
      <c r="AF24" s="216">
        <v>4.5E14</v>
      </c>
      <c r="AG24" s="216">
        <v>1.73E7</v>
      </c>
      <c r="AH24" s="75"/>
      <c r="AI24" s="75"/>
      <c r="AJ24" s="75"/>
      <c r="AK24" s="75"/>
      <c r="AL24" s="75"/>
      <c r="AM24" s="75"/>
      <c r="AN24" s="10">
        <v>24.0</v>
      </c>
      <c r="AO24" s="120">
        <v>319.0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ht="16.5" customHeight="1">
      <c r="A25" s="75"/>
      <c r="B25" s="75"/>
      <c r="C25" s="75"/>
      <c r="D25" s="75">
        <v>25.0</v>
      </c>
      <c r="E25" s="216">
        <v>1.19E15</v>
      </c>
      <c r="F25" s="75"/>
      <c r="G25" s="75"/>
      <c r="H25" s="75"/>
      <c r="I25" s="75"/>
      <c r="J25" s="75"/>
      <c r="K25" s="75"/>
      <c r="L25" s="75"/>
      <c r="M25" s="75">
        <v>25.0</v>
      </c>
      <c r="N25" s="216">
        <v>1.19E15</v>
      </c>
      <c r="O25" s="75"/>
      <c r="P25" s="75"/>
      <c r="Q25" s="75"/>
      <c r="R25" s="75"/>
      <c r="S25" s="75"/>
      <c r="T25" s="75"/>
      <c r="U25" s="75"/>
      <c r="V25" s="196">
        <v>25.0</v>
      </c>
      <c r="W25" s="112">
        <v>2815.0</v>
      </c>
      <c r="X25" s="112">
        <v>19.864</v>
      </c>
      <c r="Y25" s="215"/>
      <c r="Z25" s="75"/>
      <c r="AA25" s="75"/>
      <c r="AB25" s="75"/>
      <c r="AC25" s="75"/>
      <c r="AD25" s="75"/>
      <c r="AE25" s="75">
        <v>25.0</v>
      </c>
      <c r="AF25" s="216">
        <v>2.63E16</v>
      </c>
      <c r="AG25" s="216">
        <v>1.25E8</v>
      </c>
      <c r="AH25" s="75"/>
      <c r="AI25" s="75"/>
      <c r="AJ25" s="75"/>
      <c r="AK25" s="75"/>
      <c r="AL25" s="75"/>
      <c r="AM25" s="75"/>
      <c r="AN25" s="10">
        <v>25.0</v>
      </c>
      <c r="AO25" s="120">
        <v>369.0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ht="16.5" customHeight="1">
      <c r="A26" s="77">
        <v>1.0</v>
      </c>
      <c r="B26" s="217">
        <v>0.04</v>
      </c>
      <c r="C26" s="77"/>
      <c r="D26" s="77">
        <v>1.0</v>
      </c>
      <c r="E26" s="217">
        <v>1.5</v>
      </c>
      <c r="F26" s="77">
        <v>0.0</v>
      </c>
      <c r="G26" s="77">
        <v>1.0</v>
      </c>
      <c r="H26" s="217">
        <v>1.8</v>
      </c>
      <c r="I26" s="77">
        <v>0.0</v>
      </c>
      <c r="J26" s="77">
        <v>1.0</v>
      </c>
      <c r="K26" s="217">
        <v>1.8</v>
      </c>
      <c r="L26" s="77">
        <v>1.0</v>
      </c>
      <c r="M26" s="77">
        <v>1.0</v>
      </c>
      <c r="N26" s="217">
        <v>1.5</v>
      </c>
      <c r="O26" s="77">
        <v>1.0</v>
      </c>
      <c r="P26" s="77">
        <v>1.0</v>
      </c>
      <c r="Q26" s="217">
        <v>1.5</v>
      </c>
      <c r="R26" s="77">
        <v>1.0</v>
      </c>
      <c r="S26" s="77">
        <v>1.0</v>
      </c>
      <c r="T26" s="217">
        <v>1.8</v>
      </c>
      <c r="U26" s="217">
        <v>1.2</v>
      </c>
      <c r="V26" s="218">
        <v>1.0</v>
      </c>
      <c r="W26" s="217">
        <v>2.0</v>
      </c>
      <c r="X26" s="77">
        <v>0.0</v>
      </c>
      <c r="Y26" s="219">
        <v>1.0</v>
      </c>
      <c r="Z26" s="217">
        <v>1.5</v>
      </c>
      <c r="AA26" s="77">
        <v>0.1</v>
      </c>
      <c r="AB26" s="77">
        <v>1.0</v>
      </c>
      <c r="AC26" s="217">
        <v>1.6</v>
      </c>
      <c r="AD26" s="217">
        <v>2.0</v>
      </c>
      <c r="AE26" s="77">
        <v>1.0</v>
      </c>
      <c r="AF26" s="217">
        <v>1.0</v>
      </c>
      <c r="AG26" s="77">
        <v>0.0</v>
      </c>
      <c r="AH26" s="77">
        <v>1.0</v>
      </c>
      <c r="AI26" s="77">
        <v>1.0</v>
      </c>
      <c r="AJ26" s="109">
        <v>1.0</v>
      </c>
      <c r="AK26" s="77"/>
      <c r="AL26" s="77"/>
      <c r="AM26" s="77"/>
      <c r="AN26" s="10">
        <v>1.0</v>
      </c>
      <c r="AO26" s="10">
        <v>1.0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ht="16.5" customHeight="1">
      <c r="A27" s="77">
        <v>2.0</v>
      </c>
      <c r="B27" s="217">
        <v>0.06</v>
      </c>
      <c r="C27" s="77"/>
      <c r="D27" s="77">
        <v>2.0</v>
      </c>
      <c r="E27" s="109">
        <v>2.21</v>
      </c>
      <c r="F27" s="77">
        <v>1.0</v>
      </c>
      <c r="G27" s="77">
        <v>2.0</v>
      </c>
      <c r="H27" s="217">
        <v>2.98</v>
      </c>
      <c r="I27" s="77">
        <v>1.0</v>
      </c>
      <c r="J27" s="77">
        <v>2.0</v>
      </c>
      <c r="K27" s="217">
        <v>2.98</v>
      </c>
      <c r="L27" s="77">
        <v>2.0</v>
      </c>
      <c r="M27" s="77">
        <v>2.0</v>
      </c>
      <c r="N27" s="217">
        <v>2.13</v>
      </c>
      <c r="O27" s="77">
        <v>2.0</v>
      </c>
      <c r="P27" s="77">
        <v>2.0</v>
      </c>
      <c r="Q27" s="217">
        <v>2.11</v>
      </c>
      <c r="R27" s="77">
        <v>2.0</v>
      </c>
      <c r="S27" s="77">
        <v>2.0</v>
      </c>
      <c r="T27" s="217">
        <v>2.92</v>
      </c>
      <c r="U27" s="109">
        <v>1.45</v>
      </c>
      <c r="V27" s="77">
        <v>2.0</v>
      </c>
      <c r="W27" s="220">
        <v>3.0</v>
      </c>
      <c r="X27" s="221">
        <v>1.0</v>
      </c>
      <c r="Y27" s="77">
        <v>2.0</v>
      </c>
      <c r="Z27" s="217">
        <v>2.06</v>
      </c>
      <c r="AA27" s="77">
        <v>0.21</v>
      </c>
      <c r="AB27" s="77">
        <v>2.0</v>
      </c>
      <c r="AC27" s="217">
        <v>2.52</v>
      </c>
      <c r="AD27" s="217">
        <v>4.5</v>
      </c>
      <c r="AE27" s="77">
        <v>2.0</v>
      </c>
      <c r="AF27" s="217">
        <v>2.25</v>
      </c>
      <c r="AG27" s="77">
        <v>5.0</v>
      </c>
      <c r="AH27" s="77">
        <v>2.0</v>
      </c>
      <c r="AI27" s="109">
        <v>1.6</v>
      </c>
      <c r="AJ27" s="109">
        <v>2.0</v>
      </c>
      <c r="AK27" s="109"/>
      <c r="AL27" s="77"/>
      <c r="AM27" s="77"/>
      <c r="AN27" s="10">
        <v>2.0</v>
      </c>
      <c r="AO27" s="10">
        <v>3.0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ht="16.5" customHeight="1">
      <c r="A28" s="77">
        <v>3.0</v>
      </c>
      <c r="B28" s="217">
        <v>0.1</v>
      </c>
      <c r="C28" s="77"/>
      <c r="D28" s="77">
        <v>3.0</v>
      </c>
      <c r="E28" s="109">
        <v>3.24</v>
      </c>
      <c r="F28" s="77">
        <v>1.0</v>
      </c>
      <c r="G28" s="77">
        <v>3.0</v>
      </c>
      <c r="H28" s="217">
        <v>4.93</v>
      </c>
      <c r="I28" s="77">
        <v>2.0</v>
      </c>
      <c r="J28" s="77">
        <v>3.0</v>
      </c>
      <c r="K28" s="217">
        <v>4.93</v>
      </c>
      <c r="L28" s="77">
        <v>3.0</v>
      </c>
      <c r="M28" s="77">
        <v>3.0</v>
      </c>
      <c r="N28" s="217">
        <v>3.04</v>
      </c>
      <c r="O28" s="77">
        <v>3.0</v>
      </c>
      <c r="P28" s="77">
        <v>3.0</v>
      </c>
      <c r="Q28" s="217">
        <v>2.98</v>
      </c>
      <c r="R28" s="77">
        <v>3.0</v>
      </c>
      <c r="S28" s="77">
        <v>3.0</v>
      </c>
      <c r="T28" s="109">
        <v>4.79</v>
      </c>
      <c r="U28" s="109">
        <v>1.75</v>
      </c>
      <c r="V28" s="77">
        <v>3.0</v>
      </c>
      <c r="W28" s="217">
        <v>4.5</v>
      </c>
      <c r="X28" s="77">
        <v>1.0</v>
      </c>
      <c r="Y28" s="77">
        <v>3.0</v>
      </c>
      <c r="Z28" s="217">
        <v>2.84</v>
      </c>
      <c r="AA28" s="77">
        <v>0.33</v>
      </c>
      <c r="AB28" s="77">
        <v>3.0</v>
      </c>
      <c r="AC28" s="217">
        <v>3.97</v>
      </c>
      <c r="AD28" s="217">
        <v>8.9</v>
      </c>
      <c r="AE28" s="77">
        <v>3.0</v>
      </c>
      <c r="AF28" s="217">
        <v>4.43</v>
      </c>
      <c r="AG28" s="77">
        <v>10.0</v>
      </c>
      <c r="AH28" s="77">
        <v>3.0</v>
      </c>
      <c r="AI28" s="109">
        <v>2.4</v>
      </c>
      <c r="AJ28" s="109">
        <v>4.0</v>
      </c>
      <c r="AK28" s="109"/>
      <c r="AL28" s="77"/>
      <c r="AM28" s="77"/>
      <c r="AN28" s="10">
        <v>3.0</v>
      </c>
      <c r="AO28" s="10">
        <v>5.0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ht="16.5" customHeight="1">
      <c r="A29" s="77">
        <v>4.0</v>
      </c>
      <c r="B29" s="217">
        <v>0.17</v>
      </c>
      <c r="C29" s="77"/>
      <c r="D29" s="77">
        <v>4.0</v>
      </c>
      <c r="E29" s="109">
        <v>5.26</v>
      </c>
      <c r="F29" s="77">
        <v>2.0</v>
      </c>
      <c r="G29" s="77">
        <v>4.0</v>
      </c>
      <c r="H29" s="217">
        <v>9.16</v>
      </c>
      <c r="I29" s="77">
        <v>3.0</v>
      </c>
      <c r="J29" s="77">
        <v>4.0</v>
      </c>
      <c r="K29" s="217">
        <v>9.16</v>
      </c>
      <c r="L29" s="77">
        <v>4.0</v>
      </c>
      <c r="M29" s="77">
        <v>4.0</v>
      </c>
      <c r="N29" s="217">
        <v>4.79</v>
      </c>
      <c r="O29" s="77">
        <v>4.0</v>
      </c>
      <c r="P29" s="77">
        <v>4.0</v>
      </c>
      <c r="Q29" s="217">
        <v>4.63</v>
      </c>
      <c r="R29" s="77">
        <v>4.0</v>
      </c>
      <c r="S29" s="77">
        <v>4.0</v>
      </c>
      <c r="T29" s="109">
        <v>8.78</v>
      </c>
      <c r="U29" s="109">
        <v>2.22</v>
      </c>
      <c r="V29" s="77">
        <v>4.0</v>
      </c>
      <c r="W29" s="109">
        <v>7.5</v>
      </c>
      <c r="X29" s="77">
        <v>2.0</v>
      </c>
      <c r="Y29" s="77">
        <v>4.0</v>
      </c>
      <c r="Z29" s="217">
        <v>4.34</v>
      </c>
      <c r="AA29" s="77">
        <v>0.46</v>
      </c>
      <c r="AB29" s="77">
        <v>4.0</v>
      </c>
      <c r="AC29" s="217">
        <v>7.11</v>
      </c>
      <c r="AD29" s="217">
        <v>13.3</v>
      </c>
      <c r="AE29" s="77">
        <v>4.0</v>
      </c>
      <c r="AF29" s="217">
        <v>9.98</v>
      </c>
      <c r="AG29" s="77">
        <v>20.0</v>
      </c>
      <c r="AH29" s="77">
        <v>4.0</v>
      </c>
      <c r="AI29" s="109">
        <v>3.6</v>
      </c>
      <c r="AJ29" s="109">
        <v>6.0</v>
      </c>
      <c r="AK29" s="109"/>
      <c r="AL29" s="77"/>
      <c r="AM29" s="77"/>
      <c r="AN29" s="10">
        <v>4.0</v>
      </c>
      <c r="AO29" s="10">
        <v>8.0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ht="16.5" customHeight="1">
      <c r="A30" s="77">
        <v>5.0</v>
      </c>
      <c r="B30" s="217">
        <v>0.28</v>
      </c>
      <c r="C30" s="77"/>
      <c r="D30" s="77">
        <v>5.0</v>
      </c>
      <c r="E30" s="109">
        <v>8.52</v>
      </c>
      <c r="F30" s="77">
        <v>2.0</v>
      </c>
      <c r="G30" s="77">
        <v>5.0</v>
      </c>
      <c r="H30" s="217">
        <v>17.0</v>
      </c>
      <c r="I30" s="77">
        <v>4.0</v>
      </c>
      <c r="J30" s="77">
        <v>5.0</v>
      </c>
      <c r="K30" s="217">
        <v>17.0</v>
      </c>
      <c r="L30" s="77">
        <v>5.0</v>
      </c>
      <c r="M30" s="77">
        <v>5.0</v>
      </c>
      <c r="N30" s="217">
        <v>7.55</v>
      </c>
      <c r="O30" s="77">
        <v>5.0</v>
      </c>
      <c r="P30" s="77">
        <v>5.0</v>
      </c>
      <c r="Q30" s="217">
        <v>7.19</v>
      </c>
      <c r="R30" s="77">
        <v>5.0</v>
      </c>
      <c r="S30" s="77">
        <v>5.0</v>
      </c>
      <c r="T30" s="109">
        <v>16.1</v>
      </c>
      <c r="U30" s="109">
        <v>2.8</v>
      </c>
      <c r="V30" s="77">
        <v>5.0</v>
      </c>
      <c r="W30" s="109">
        <v>12.5</v>
      </c>
      <c r="X30" s="109">
        <v>3.0</v>
      </c>
      <c r="Y30" s="77">
        <v>5.0</v>
      </c>
      <c r="Z30" s="217">
        <v>6.64</v>
      </c>
      <c r="AA30" s="77">
        <v>0.59</v>
      </c>
      <c r="AB30" s="77">
        <v>5.0</v>
      </c>
      <c r="AC30" s="217">
        <v>12.8</v>
      </c>
      <c r="AD30" s="217">
        <v>17.7</v>
      </c>
      <c r="AE30" s="77">
        <v>5.0</v>
      </c>
      <c r="AF30" s="217">
        <v>21.9</v>
      </c>
      <c r="AG30" s="77">
        <v>30.0</v>
      </c>
      <c r="AH30" s="77">
        <v>5.0</v>
      </c>
      <c r="AI30" s="109">
        <v>5.2</v>
      </c>
      <c r="AJ30" s="109">
        <v>8.0</v>
      </c>
      <c r="AK30" s="109"/>
      <c r="AL30" s="77"/>
      <c r="AM30" s="77"/>
      <c r="AN30" s="10">
        <v>5.0</v>
      </c>
      <c r="AO30" s="10">
        <v>11.0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ht="16.5" customHeight="1">
      <c r="A31" s="77">
        <v>6.0</v>
      </c>
      <c r="B31" s="217">
        <v>0.46</v>
      </c>
      <c r="C31" s="77"/>
      <c r="D31" s="77">
        <v>6.0</v>
      </c>
      <c r="E31" s="109">
        <v>13.8</v>
      </c>
      <c r="F31" s="77">
        <v>3.0</v>
      </c>
      <c r="G31" s="77">
        <v>6.0</v>
      </c>
      <c r="H31" s="217">
        <v>31.6</v>
      </c>
      <c r="I31" s="77">
        <v>5.0</v>
      </c>
      <c r="J31" s="77">
        <v>6.0</v>
      </c>
      <c r="K31" s="217">
        <v>31.6</v>
      </c>
      <c r="L31" s="77">
        <v>6.0</v>
      </c>
      <c r="M31" s="77">
        <v>6.0</v>
      </c>
      <c r="N31" s="217">
        <v>11.9</v>
      </c>
      <c r="O31" s="77">
        <v>6.0</v>
      </c>
      <c r="P31" s="77">
        <v>6.0</v>
      </c>
      <c r="Q31" s="217">
        <v>11.2</v>
      </c>
      <c r="R31" s="77">
        <v>6.0</v>
      </c>
      <c r="S31" s="77">
        <v>6.0</v>
      </c>
      <c r="T31" s="109">
        <v>29.5</v>
      </c>
      <c r="U31" s="109">
        <v>3.54</v>
      </c>
      <c r="V31" s="77">
        <v>6.0</v>
      </c>
      <c r="W31" s="109">
        <v>20.8</v>
      </c>
      <c r="X31" s="109">
        <v>4.0</v>
      </c>
      <c r="Y31" s="77">
        <v>6.0</v>
      </c>
      <c r="Z31" s="217">
        <v>10.2</v>
      </c>
      <c r="AA31" s="77">
        <v>0.74</v>
      </c>
      <c r="AB31" s="77">
        <v>6.0</v>
      </c>
      <c r="AC31" s="217">
        <v>22.9</v>
      </c>
      <c r="AD31" s="217">
        <v>24.1</v>
      </c>
      <c r="AE31" s="77">
        <v>6.0</v>
      </c>
      <c r="AF31" s="217">
        <v>47.3</v>
      </c>
      <c r="AG31" s="77">
        <v>42.0</v>
      </c>
      <c r="AH31" s="77">
        <v>6.0</v>
      </c>
      <c r="AI31" s="109">
        <v>7.5</v>
      </c>
      <c r="AJ31" s="109">
        <v>10.0</v>
      </c>
      <c r="AK31" s="77"/>
      <c r="AL31" s="77"/>
      <c r="AM31" s="77"/>
      <c r="AN31" s="10">
        <v>6.0</v>
      </c>
      <c r="AO31" s="10">
        <v>14.0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ht="16.5" customHeight="1">
      <c r="A32" s="77">
        <v>7.0</v>
      </c>
      <c r="B32" s="217">
        <v>0.82</v>
      </c>
      <c r="C32" s="77"/>
      <c r="D32" s="77">
        <v>7.0</v>
      </c>
      <c r="E32" s="109">
        <v>24.6</v>
      </c>
      <c r="F32" s="77">
        <v>3.0</v>
      </c>
      <c r="G32" s="77">
        <v>7.0</v>
      </c>
      <c r="H32" s="217">
        <v>65.7</v>
      </c>
      <c r="I32" s="77">
        <v>6.0</v>
      </c>
      <c r="J32" s="77">
        <v>7.0</v>
      </c>
      <c r="K32" s="217">
        <v>65.7</v>
      </c>
      <c r="L32" s="77">
        <v>7.0</v>
      </c>
      <c r="M32" s="77">
        <v>7.0</v>
      </c>
      <c r="N32" s="217">
        <v>20.7</v>
      </c>
      <c r="O32" s="77">
        <v>7.0</v>
      </c>
      <c r="P32" s="77">
        <v>7.0</v>
      </c>
      <c r="Q32" s="217">
        <v>19.1</v>
      </c>
      <c r="R32" s="77">
        <v>7.0</v>
      </c>
      <c r="S32" s="77">
        <v>7.0</v>
      </c>
      <c r="T32" s="109">
        <v>60.2</v>
      </c>
      <c r="U32" s="109">
        <v>4.69</v>
      </c>
      <c r="V32" s="77">
        <v>7.0</v>
      </c>
      <c r="W32" s="109">
        <v>38.6</v>
      </c>
      <c r="X32" s="109">
        <v>5.0</v>
      </c>
      <c r="Y32" s="77">
        <v>7.0</v>
      </c>
      <c r="Z32" s="217">
        <v>17.2</v>
      </c>
      <c r="AA32" s="77">
        <v>0.89</v>
      </c>
      <c r="AB32" s="77">
        <v>7.0</v>
      </c>
      <c r="AC32" s="217">
        <v>46.6</v>
      </c>
      <c r="AD32" s="217">
        <v>32.8</v>
      </c>
      <c r="AE32" s="77">
        <v>7.0</v>
      </c>
      <c r="AF32" s="217">
        <v>123.0</v>
      </c>
      <c r="AG32" s="77">
        <v>54.0</v>
      </c>
      <c r="AH32" s="77">
        <v>7.0</v>
      </c>
      <c r="AI32" s="109">
        <v>10.7</v>
      </c>
      <c r="AJ32" s="109">
        <v>12.0</v>
      </c>
      <c r="AK32" s="77"/>
      <c r="AL32" s="77"/>
      <c r="AM32" s="77"/>
      <c r="AN32" s="10">
        <v>7.0</v>
      </c>
      <c r="AO32" s="10">
        <v>18.0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ht="16.5" customHeight="1">
      <c r="A33" s="77">
        <v>8.0</v>
      </c>
      <c r="B33" s="217">
        <v>1.54</v>
      </c>
      <c r="C33" s="77"/>
      <c r="D33" s="77">
        <v>8.0</v>
      </c>
      <c r="E33" s="109">
        <v>48.3</v>
      </c>
      <c r="F33" s="77">
        <v>4.0</v>
      </c>
      <c r="G33" s="77">
        <v>8.0</v>
      </c>
      <c r="H33" s="217">
        <v>152.0</v>
      </c>
      <c r="I33" s="77">
        <v>7.0</v>
      </c>
      <c r="J33" s="77">
        <v>8.0</v>
      </c>
      <c r="K33" s="217">
        <v>152.0</v>
      </c>
      <c r="L33" s="77">
        <v>8.0</v>
      </c>
      <c r="M33" s="77">
        <v>8.0</v>
      </c>
      <c r="N33" s="217">
        <v>39.7</v>
      </c>
      <c r="O33" s="77">
        <v>8.0</v>
      </c>
      <c r="P33" s="77">
        <v>8.0</v>
      </c>
      <c r="Q33" s="217">
        <v>35.8</v>
      </c>
      <c r="R33" s="77">
        <v>8.0</v>
      </c>
      <c r="S33" s="77">
        <v>8.0</v>
      </c>
      <c r="T33" s="109">
        <v>136.0</v>
      </c>
      <c r="U33" s="109">
        <v>6.5</v>
      </c>
      <c r="V33" s="77">
        <v>8.0</v>
      </c>
      <c r="W33" s="109">
        <v>78.9</v>
      </c>
      <c r="X33" s="109">
        <v>6.0</v>
      </c>
      <c r="Y33" s="77">
        <v>8.0</v>
      </c>
      <c r="Z33" s="217">
        <v>32.4</v>
      </c>
      <c r="AA33" s="77">
        <v>1.05</v>
      </c>
      <c r="AB33" s="77">
        <v>8.0</v>
      </c>
      <c r="AC33" s="217">
        <v>107.0</v>
      </c>
      <c r="AD33" s="217">
        <v>41.5</v>
      </c>
      <c r="AE33" s="77">
        <v>8.0</v>
      </c>
      <c r="AF33" s="217">
        <v>381.0</v>
      </c>
      <c r="AG33" s="77">
        <v>66.0</v>
      </c>
      <c r="AH33" s="77">
        <v>8.0</v>
      </c>
      <c r="AI33" s="109">
        <v>15.1</v>
      </c>
      <c r="AJ33" s="109">
        <v>14.0</v>
      </c>
      <c r="AK33" s="77"/>
      <c r="AL33" s="77"/>
      <c r="AM33" s="77"/>
      <c r="AN33" s="10">
        <v>8.0</v>
      </c>
      <c r="AO33" s="10">
        <v>23.0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ht="16.5" customHeight="1">
      <c r="A34" s="77">
        <v>9.0</v>
      </c>
      <c r="B34" s="217">
        <v>2.91</v>
      </c>
      <c r="C34" s="77"/>
      <c r="D34" s="77">
        <v>9.0</v>
      </c>
      <c r="E34" s="109">
        <v>94.6</v>
      </c>
      <c r="F34" s="77">
        <v>4.0</v>
      </c>
      <c r="G34" s="77">
        <v>9.0</v>
      </c>
      <c r="H34" s="217">
        <v>353.0</v>
      </c>
      <c r="I34" s="77">
        <v>8.0</v>
      </c>
      <c r="J34" s="77">
        <v>9.0</v>
      </c>
      <c r="K34" s="217">
        <v>353.0</v>
      </c>
      <c r="L34" s="77">
        <v>9.0</v>
      </c>
      <c r="M34" s="77">
        <v>9.0</v>
      </c>
      <c r="N34" s="217">
        <v>76.1</v>
      </c>
      <c r="O34" s="77">
        <v>9.0</v>
      </c>
      <c r="P34" s="77">
        <v>9.0</v>
      </c>
      <c r="Q34" s="217">
        <v>67.3</v>
      </c>
      <c r="R34" s="77">
        <v>9.0</v>
      </c>
      <c r="S34" s="77">
        <v>9.0</v>
      </c>
      <c r="T34" s="109">
        <v>309.0</v>
      </c>
      <c r="U34" s="109">
        <v>8.99</v>
      </c>
      <c r="V34" s="77">
        <v>9.0</v>
      </c>
      <c r="W34" s="109">
        <v>161.0</v>
      </c>
      <c r="X34" s="109">
        <v>7.0</v>
      </c>
      <c r="Y34" s="77">
        <v>9.0</v>
      </c>
      <c r="Z34" s="217">
        <v>60.9</v>
      </c>
      <c r="AA34" s="77">
        <v>1.22</v>
      </c>
      <c r="AB34" s="77">
        <v>9.0</v>
      </c>
      <c r="AC34" s="217">
        <v>248.0</v>
      </c>
      <c r="AD34" s="217">
        <v>52.6</v>
      </c>
      <c r="AE34" s="77">
        <v>9.0</v>
      </c>
      <c r="AF34" s="217">
        <v>1180.0</v>
      </c>
      <c r="AG34" s="77">
        <v>78.0</v>
      </c>
      <c r="AH34" s="77">
        <v>9.0</v>
      </c>
      <c r="AI34" s="109">
        <v>21.3</v>
      </c>
      <c r="AJ34" s="109">
        <v>16.0</v>
      </c>
      <c r="AK34" s="77"/>
      <c r="AL34" s="77"/>
      <c r="AM34" s="77"/>
      <c r="AN34" s="10">
        <v>9.0</v>
      </c>
      <c r="AO34" s="10">
        <v>28.0</v>
      </c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ht="16.5" customHeight="1">
      <c r="A35" s="77">
        <v>10.0</v>
      </c>
      <c r="B35" s="217">
        <v>5.82</v>
      </c>
      <c r="C35" s="77"/>
      <c r="D35" s="77">
        <v>10.0</v>
      </c>
      <c r="E35" s="109">
        <v>203.0</v>
      </c>
      <c r="F35" s="77">
        <v>5.0</v>
      </c>
      <c r="G35" s="77">
        <v>10.0</v>
      </c>
      <c r="H35" s="217">
        <v>910.0</v>
      </c>
      <c r="I35" s="77">
        <v>9.0</v>
      </c>
      <c r="J35" s="77">
        <v>10.0</v>
      </c>
      <c r="K35" s="217">
        <v>910.0</v>
      </c>
      <c r="L35" s="77">
        <v>10.0</v>
      </c>
      <c r="M35" s="77">
        <v>10.0</v>
      </c>
      <c r="N35" s="217">
        <v>160.0</v>
      </c>
      <c r="O35" s="77">
        <v>10.0</v>
      </c>
      <c r="P35" s="77">
        <v>10.0</v>
      </c>
      <c r="Q35" s="217">
        <v>138.0</v>
      </c>
      <c r="R35" s="77">
        <v>10.0</v>
      </c>
      <c r="S35" s="77">
        <v>10.0</v>
      </c>
      <c r="T35" s="109">
        <v>776.0</v>
      </c>
      <c r="U35" s="109">
        <v>13.0</v>
      </c>
      <c r="V35" s="77">
        <v>10.0</v>
      </c>
      <c r="W35" s="109">
        <v>364.0</v>
      </c>
      <c r="X35" s="109">
        <v>8.0</v>
      </c>
      <c r="Y35" s="77">
        <v>10.0</v>
      </c>
      <c r="Z35" s="217">
        <v>126.0</v>
      </c>
      <c r="AA35" s="77">
        <v>1.41</v>
      </c>
      <c r="AB35" s="77">
        <v>10.0</v>
      </c>
      <c r="AC35" s="217">
        <v>644.0</v>
      </c>
      <c r="AD35" s="217">
        <v>66.2</v>
      </c>
      <c r="AE35" s="77">
        <v>10.0</v>
      </c>
      <c r="AF35" s="217">
        <v>4360.0</v>
      </c>
      <c r="AG35" s="77">
        <v>90.0</v>
      </c>
      <c r="AH35" s="77">
        <v>10.0</v>
      </c>
      <c r="AI35" s="109">
        <v>30.0</v>
      </c>
      <c r="AJ35" s="109">
        <v>20.0</v>
      </c>
      <c r="AK35" s="77"/>
      <c r="AL35" s="77"/>
      <c r="AM35" s="77"/>
      <c r="AN35" s="10">
        <v>10.0</v>
      </c>
      <c r="AO35" s="10">
        <v>34.0</v>
      </c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ht="16.5" customHeight="1">
      <c r="A36" s="77">
        <v>11.0</v>
      </c>
      <c r="B36" s="217">
        <v>12.37</v>
      </c>
      <c r="C36" s="77"/>
      <c r="D36" s="77">
        <v>11.0</v>
      </c>
      <c r="E36" s="109">
        <v>478.0</v>
      </c>
      <c r="F36" s="77">
        <v>5.0</v>
      </c>
      <c r="G36" s="77">
        <v>11.0</v>
      </c>
      <c r="H36" s="217">
        <v>2600.0</v>
      </c>
      <c r="I36" s="77">
        <v>10.0</v>
      </c>
      <c r="J36" s="77">
        <v>11.0</v>
      </c>
      <c r="K36" s="217">
        <v>2600.0</v>
      </c>
      <c r="L36" s="77">
        <v>11.0</v>
      </c>
      <c r="M36" s="77">
        <v>11.0</v>
      </c>
      <c r="N36" s="217">
        <v>371.0</v>
      </c>
      <c r="O36" s="77">
        <v>11.0</v>
      </c>
      <c r="P36" s="77">
        <v>11.0</v>
      </c>
      <c r="Q36" s="217">
        <v>311.0</v>
      </c>
      <c r="R36" s="77">
        <v>11.0</v>
      </c>
      <c r="S36" s="77">
        <v>11.0</v>
      </c>
      <c r="T36" s="109">
        <v>2150.0</v>
      </c>
      <c r="U36" s="109">
        <v>19.7</v>
      </c>
      <c r="V36" s="77">
        <v>11.0</v>
      </c>
      <c r="W36" s="109">
        <v>906.0</v>
      </c>
      <c r="X36" s="109">
        <v>10.0</v>
      </c>
      <c r="Y36" s="77">
        <v>11.0</v>
      </c>
      <c r="Z36" s="217">
        <v>289.0</v>
      </c>
      <c r="AA36" s="77">
        <v>1.6</v>
      </c>
      <c r="AB36" s="77">
        <v>11.0</v>
      </c>
      <c r="AC36" s="217">
        <v>1890.0</v>
      </c>
      <c r="AD36" s="217">
        <v>82.5</v>
      </c>
      <c r="AE36" s="77"/>
      <c r="AF36" s="77"/>
      <c r="AG36" s="77"/>
      <c r="AH36" s="77"/>
      <c r="AI36" s="77"/>
      <c r="AJ36" s="77"/>
      <c r="AK36" s="77"/>
      <c r="AL36" s="77"/>
      <c r="AM36" s="77"/>
      <c r="AN36" s="10">
        <v>11.0</v>
      </c>
      <c r="AO36" s="10">
        <v>41.0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ht="16.5" customHeight="1">
      <c r="A37" s="77">
        <v>12.0</v>
      </c>
      <c r="B37" s="217">
        <v>27.97</v>
      </c>
      <c r="C37" s="77"/>
      <c r="D37" s="77">
        <v>12.0</v>
      </c>
      <c r="E37" s="109">
        <v>1230.0</v>
      </c>
      <c r="F37" s="77">
        <v>6.0</v>
      </c>
      <c r="G37" s="77">
        <v>12.0</v>
      </c>
      <c r="H37" s="217">
        <v>8240.0</v>
      </c>
      <c r="I37" s="77">
        <v>11.0</v>
      </c>
      <c r="J37" s="77">
        <v>12.0</v>
      </c>
      <c r="K37" s="217">
        <v>8240.0</v>
      </c>
      <c r="L37" s="77">
        <v>12.0</v>
      </c>
      <c r="M37" s="77">
        <v>12.0</v>
      </c>
      <c r="N37" s="217">
        <v>939.0</v>
      </c>
      <c r="O37" s="77">
        <v>12.0</v>
      </c>
      <c r="P37" s="77">
        <v>12.0</v>
      </c>
      <c r="Q37" s="217">
        <v>763.0</v>
      </c>
      <c r="R37" s="77">
        <v>12.0</v>
      </c>
      <c r="S37" s="77">
        <v>12.0</v>
      </c>
      <c r="T37" s="109">
        <v>6590.0</v>
      </c>
      <c r="U37" s="109">
        <v>31.1</v>
      </c>
      <c r="V37" s="77">
        <v>12.0</v>
      </c>
      <c r="W37" s="109">
        <v>2480.0</v>
      </c>
      <c r="X37" s="109">
        <v>12.0</v>
      </c>
      <c r="Y37" s="77">
        <v>12.0</v>
      </c>
      <c r="Z37" s="217">
        <v>727.0</v>
      </c>
      <c r="AA37" s="77">
        <v>1.81</v>
      </c>
      <c r="AB37" s="77">
        <v>12.0</v>
      </c>
      <c r="AC37" s="217">
        <v>6210.0</v>
      </c>
      <c r="AD37" s="217">
        <v>101.7</v>
      </c>
      <c r="AE37" s="77"/>
      <c r="AF37" s="77"/>
      <c r="AG37" s="77"/>
      <c r="AH37" s="77"/>
      <c r="AI37" s="77"/>
      <c r="AJ37" s="77"/>
      <c r="AK37" s="77"/>
      <c r="AL37" s="77"/>
      <c r="AM37" s="77"/>
      <c r="AN37" s="10">
        <v>12.0</v>
      </c>
      <c r="AO37" s="10">
        <v>49.0</v>
      </c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ht="16.5" customHeight="1">
      <c r="A38" s="77">
        <v>13.0</v>
      </c>
      <c r="B38" s="217">
        <v>67.28</v>
      </c>
      <c r="C38" s="77"/>
      <c r="D38" s="77">
        <v>13.0</v>
      </c>
      <c r="E38" s="109">
        <v>3440.0</v>
      </c>
      <c r="F38" s="77">
        <v>6.0</v>
      </c>
      <c r="G38" s="77">
        <v>13.0</v>
      </c>
      <c r="H38" s="217">
        <v>28800.0</v>
      </c>
      <c r="I38" s="77">
        <v>12.0</v>
      </c>
      <c r="J38" s="77">
        <v>13.0</v>
      </c>
      <c r="K38" s="217">
        <v>28800.0</v>
      </c>
      <c r="L38" s="77">
        <v>13.0</v>
      </c>
      <c r="M38" s="77">
        <v>13.0</v>
      </c>
      <c r="N38" s="217">
        <v>2600.0</v>
      </c>
      <c r="O38" s="77">
        <v>13.0</v>
      </c>
      <c r="P38" s="77">
        <v>13.0</v>
      </c>
      <c r="Q38" s="217">
        <v>2040.0</v>
      </c>
      <c r="R38" s="77">
        <v>13.0</v>
      </c>
      <c r="S38" s="77">
        <v>13.0</v>
      </c>
      <c r="T38" s="109">
        <v>22200.0</v>
      </c>
      <c r="U38" s="109">
        <v>51.4</v>
      </c>
      <c r="V38" s="77">
        <v>13.0</v>
      </c>
      <c r="W38" s="109">
        <v>7420.0</v>
      </c>
      <c r="X38" s="109">
        <v>14.0</v>
      </c>
      <c r="Y38" s="77">
        <v>13.0</v>
      </c>
      <c r="Z38" s="217">
        <v>2010.0</v>
      </c>
      <c r="AA38" s="77">
        <v>2.03</v>
      </c>
      <c r="AB38" s="77">
        <v>13.0</v>
      </c>
      <c r="AC38" s="217">
        <v>22900.0</v>
      </c>
      <c r="AD38" s="217">
        <v>126.7</v>
      </c>
      <c r="AE38" s="77"/>
      <c r="AF38" s="77"/>
      <c r="AG38" s="77"/>
      <c r="AH38" s="77"/>
      <c r="AI38" s="77"/>
      <c r="AJ38" s="77"/>
      <c r="AK38" s="77"/>
      <c r="AL38" s="77"/>
      <c r="AM38" s="77"/>
      <c r="AN38" s="10">
        <v>13.0</v>
      </c>
      <c r="AO38" s="10">
        <v>58.0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ht="16.5" customHeight="1">
      <c r="A39" s="77">
        <v>14.0</v>
      </c>
      <c r="B39" s="217">
        <v>183.43</v>
      </c>
      <c r="C39" s="77"/>
      <c r="D39" s="77">
        <v>14.0</v>
      </c>
      <c r="E39" s="109">
        <v>11400.0</v>
      </c>
      <c r="F39" s="77">
        <v>7.0</v>
      </c>
      <c r="G39" s="77">
        <v>14.0</v>
      </c>
      <c r="H39" s="222">
        <v>122000.0</v>
      </c>
      <c r="I39" s="77">
        <v>13.0</v>
      </c>
      <c r="J39" s="77">
        <v>14.0</v>
      </c>
      <c r="K39" s="222">
        <v>122000.0</v>
      </c>
      <c r="L39" s="77">
        <v>14.0</v>
      </c>
      <c r="M39" s="77">
        <v>14.0</v>
      </c>
      <c r="N39" s="217">
        <v>8550.0</v>
      </c>
      <c r="O39" s="77">
        <v>14.0</v>
      </c>
      <c r="P39" s="77">
        <v>14.0</v>
      </c>
      <c r="Q39" s="217">
        <v>6480.0</v>
      </c>
      <c r="R39" s="77">
        <v>14.0</v>
      </c>
      <c r="S39" s="77">
        <v>14.0</v>
      </c>
      <c r="T39" s="109">
        <v>90200.0</v>
      </c>
      <c r="U39" s="109">
        <v>92.5</v>
      </c>
      <c r="V39" s="77">
        <v>14.0</v>
      </c>
      <c r="W39" s="109">
        <v>26600.0</v>
      </c>
      <c r="X39" s="109">
        <v>16.0</v>
      </c>
      <c r="Y39" s="77">
        <v>14.0</v>
      </c>
      <c r="Z39" s="217">
        <v>6670.0</v>
      </c>
      <c r="AA39" s="77">
        <v>2.26</v>
      </c>
      <c r="AB39" s="77">
        <v>14.0</v>
      </c>
      <c r="AC39" s="217">
        <v>106000.0</v>
      </c>
      <c r="AD39" s="217">
        <v>154.9</v>
      </c>
      <c r="AE39" s="77"/>
      <c r="AF39" s="77"/>
      <c r="AG39" s="77"/>
      <c r="AH39" s="77"/>
      <c r="AI39" s="77"/>
      <c r="AJ39" s="77"/>
      <c r="AK39" s="77"/>
      <c r="AL39" s="77"/>
      <c r="AM39" s="77"/>
      <c r="AN39" s="10">
        <v>14.0</v>
      </c>
      <c r="AO39" s="10">
        <v>69.0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ht="16.5" customHeight="1">
      <c r="A40" s="77">
        <v>15.0</v>
      </c>
      <c r="B40" s="217">
        <v>533.0</v>
      </c>
      <c r="C40" s="77"/>
      <c r="D40" s="77">
        <v>15.0</v>
      </c>
      <c r="E40" s="222">
        <v>41300.0</v>
      </c>
      <c r="F40" s="77">
        <v>7.0</v>
      </c>
      <c r="G40" s="77">
        <v>15.0</v>
      </c>
      <c r="H40" s="222">
        <v>571000.0</v>
      </c>
      <c r="I40" s="77">
        <v>14.0</v>
      </c>
      <c r="J40" s="77">
        <v>15.0</v>
      </c>
      <c r="K40" s="222">
        <v>571000.0</v>
      </c>
      <c r="L40" s="77">
        <v>15.0</v>
      </c>
      <c r="M40" s="77">
        <v>15.0</v>
      </c>
      <c r="N40" s="217">
        <v>30700.0</v>
      </c>
      <c r="O40" s="77">
        <v>15.0</v>
      </c>
      <c r="P40" s="77">
        <v>15.0</v>
      </c>
      <c r="Q40" s="217">
        <v>22300.0</v>
      </c>
      <c r="R40" s="77">
        <v>15.0</v>
      </c>
      <c r="S40" s="77">
        <v>15.0</v>
      </c>
      <c r="T40" s="222">
        <v>401990.0</v>
      </c>
      <c r="U40" s="109">
        <v>174.0</v>
      </c>
      <c r="V40" s="77">
        <v>15.0</v>
      </c>
      <c r="W40" s="222">
        <v>104000.0</v>
      </c>
      <c r="X40" s="109">
        <v>18.0</v>
      </c>
      <c r="Y40" s="77">
        <v>15.0</v>
      </c>
      <c r="Z40" s="217">
        <v>24200.0</v>
      </c>
      <c r="AA40" s="77">
        <v>2.51</v>
      </c>
      <c r="AB40" s="77">
        <v>15.0</v>
      </c>
      <c r="AC40" s="217">
        <v>546000.0</v>
      </c>
      <c r="AD40" s="217">
        <v>189.5</v>
      </c>
      <c r="AE40" s="77"/>
      <c r="AF40" s="77"/>
      <c r="AG40" s="77"/>
      <c r="AH40" s="77"/>
      <c r="AI40" s="77"/>
      <c r="AJ40" s="77"/>
      <c r="AK40" s="77"/>
      <c r="AL40" s="77"/>
      <c r="AM40" s="77"/>
      <c r="AN40" s="10">
        <v>15.0</v>
      </c>
      <c r="AO40" s="10">
        <v>81.0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ht="16.5" customHeight="1">
      <c r="A41" s="77">
        <v>16.0</v>
      </c>
      <c r="B41" s="217">
        <v>1760.0</v>
      </c>
      <c r="C41" s="77"/>
      <c r="D41" s="77">
        <v>16.0</v>
      </c>
      <c r="E41" s="222">
        <v>176000.0</v>
      </c>
      <c r="F41" s="77">
        <v>8.0</v>
      </c>
      <c r="G41" s="77">
        <v>16.0</v>
      </c>
      <c r="H41" s="222">
        <v>3200000.0</v>
      </c>
      <c r="I41" s="77">
        <v>15.0</v>
      </c>
      <c r="J41" s="77">
        <v>16.0</v>
      </c>
      <c r="K41" s="222">
        <v>3200000.0</v>
      </c>
      <c r="L41" s="77">
        <v>16.0</v>
      </c>
      <c r="M41" s="77">
        <v>16.0</v>
      </c>
      <c r="N41" s="217">
        <v>130000.0</v>
      </c>
      <c r="O41" s="77">
        <v>16.0</v>
      </c>
      <c r="P41" s="77">
        <v>16.0</v>
      </c>
      <c r="Q41" s="217">
        <v>90200.0</v>
      </c>
      <c r="R41" s="77">
        <v>16.0</v>
      </c>
      <c r="S41" s="77">
        <v>16.0</v>
      </c>
      <c r="T41" s="222">
        <v>2140000.0</v>
      </c>
      <c r="U41" s="109">
        <v>356.0</v>
      </c>
      <c r="V41" s="77">
        <v>16.0</v>
      </c>
      <c r="W41" s="222">
        <v>486000.0</v>
      </c>
      <c r="X41" s="109">
        <v>20.0</v>
      </c>
      <c r="Y41" s="77">
        <v>16.0</v>
      </c>
      <c r="Z41" s="217">
        <v>105000.0</v>
      </c>
      <c r="AA41" s="77">
        <v>2.77</v>
      </c>
      <c r="AB41" s="77">
        <v>16.0</v>
      </c>
      <c r="AC41" s="217">
        <v>3480000.0</v>
      </c>
      <c r="AD41" s="217">
        <v>231.0</v>
      </c>
      <c r="AE41" s="77"/>
      <c r="AF41" s="77"/>
      <c r="AG41" s="77"/>
      <c r="AH41" s="77"/>
      <c r="AI41" s="77"/>
      <c r="AJ41" s="77"/>
      <c r="AK41" s="77"/>
      <c r="AL41" s="77"/>
      <c r="AM41" s="77"/>
      <c r="AN41" s="10">
        <v>16.0</v>
      </c>
      <c r="AO41" s="10">
        <v>95.0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ht="16.5" customHeight="1">
      <c r="A42" s="77">
        <v>17.0</v>
      </c>
      <c r="B42" s="217">
        <v>6610.0</v>
      </c>
      <c r="C42" s="77"/>
      <c r="D42" s="77">
        <v>17.0</v>
      </c>
      <c r="E42" s="222">
        <v>877000.0</v>
      </c>
      <c r="F42" s="77">
        <v>8.0</v>
      </c>
      <c r="G42" s="77">
        <v>17.0</v>
      </c>
      <c r="H42" s="222">
        <v>2.15E7</v>
      </c>
      <c r="I42" s="77">
        <v>16.0</v>
      </c>
      <c r="J42" s="77">
        <v>17.0</v>
      </c>
      <c r="K42" s="222">
        <v>2.15E7</v>
      </c>
      <c r="L42" s="77">
        <v>17.0</v>
      </c>
      <c r="M42" s="77">
        <v>17.0</v>
      </c>
      <c r="N42" s="222">
        <v>645000.0</v>
      </c>
      <c r="O42" s="77">
        <v>17.0</v>
      </c>
      <c r="P42" s="77">
        <v>17.0</v>
      </c>
      <c r="Q42" s="217">
        <v>427000.0</v>
      </c>
      <c r="R42" s="77">
        <v>18.0</v>
      </c>
      <c r="S42" s="77">
        <v>17.0</v>
      </c>
      <c r="T42" s="222">
        <v>1.35E7</v>
      </c>
      <c r="U42" s="109">
        <v>793.0</v>
      </c>
      <c r="V42" s="77">
        <v>17.0</v>
      </c>
      <c r="W42" s="222">
        <v>2670000.0</v>
      </c>
      <c r="X42" s="109">
        <v>24.0</v>
      </c>
      <c r="Y42" s="77">
        <v>17.0</v>
      </c>
      <c r="Z42" s="217">
        <v>537000.0</v>
      </c>
      <c r="AA42" s="77">
        <v>3.05</v>
      </c>
      <c r="AB42" s="77">
        <v>17.0</v>
      </c>
      <c r="AC42" s="222">
        <v>2.74E7</v>
      </c>
      <c r="AD42" s="217">
        <v>283.1</v>
      </c>
      <c r="AE42" s="77"/>
      <c r="AF42" s="77"/>
      <c r="AG42" s="77"/>
      <c r="AH42" s="77"/>
      <c r="AI42" s="77"/>
      <c r="AJ42" s="77"/>
      <c r="AK42" s="77"/>
      <c r="AL42" s="77"/>
      <c r="AM42" s="77"/>
      <c r="AN42" s="10">
        <v>17.0</v>
      </c>
      <c r="AO42" s="10">
        <v>111.0</v>
      </c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ht="16.5" customHeight="1">
      <c r="A43" s="77">
        <v>18.0</v>
      </c>
      <c r="B43" s="217">
        <v>30300.0</v>
      </c>
      <c r="C43" s="77"/>
      <c r="D43" s="77">
        <v>18.0</v>
      </c>
      <c r="E43" s="222">
        <v>5530000.0</v>
      </c>
      <c r="F43" s="77">
        <v>9.0</v>
      </c>
      <c r="G43" s="77">
        <v>18.0</v>
      </c>
      <c r="H43" s="222">
        <v>1.86E8</v>
      </c>
      <c r="I43" s="77">
        <v>17.0</v>
      </c>
      <c r="J43" s="77">
        <v>18.0</v>
      </c>
      <c r="K43" s="222">
        <v>1.86E8</v>
      </c>
      <c r="L43" s="77">
        <v>18.0</v>
      </c>
      <c r="M43" s="77">
        <v>18.0</v>
      </c>
      <c r="N43" s="222">
        <v>4060000.0</v>
      </c>
      <c r="O43" s="77">
        <v>18.0</v>
      </c>
      <c r="P43" s="77">
        <v>18.0</v>
      </c>
      <c r="Q43" s="222">
        <v>2550000.0</v>
      </c>
      <c r="R43" s="77">
        <v>20.0</v>
      </c>
      <c r="S43" s="77">
        <v>18.0</v>
      </c>
      <c r="T43" s="222">
        <v>1.1E8</v>
      </c>
      <c r="U43" s="109">
        <v>2000.0</v>
      </c>
      <c r="V43" s="77">
        <v>18.0</v>
      </c>
      <c r="W43" s="222">
        <v>1.88E7</v>
      </c>
      <c r="X43" s="109">
        <v>29.0</v>
      </c>
      <c r="Y43" s="77">
        <v>18.0</v>
      </c>
      <c r="Z43" s="222">
        <v>3540000.0</v>
      </c>
      <c r="AA43" s="77">
        <v>3.35</v>
      </c>
      <c r="AB43" s="77">
        <v>18.0</v>
      </c>
      <c r="AC43" s="222">
        <v>2.93E8</v>
      </c>
      <c r="AD43" s="217">
        <v>346.7</v>
      </c>
      <c r="AE43" s="77"/>
      <c r="AF43" s="77"/>
      <c r="AG43" s="77"/>
      <c r="AH43" s="77"/>
      <c r="AI43" s="77"/>
      <c r="AJ43" s="77"/>
      <c r="AK43" s="77"/>
      <c r="AL43" s="77"/>
      <c r="AM43" s="77"/>
      <c r="AN43" s="10">
        <v>18.0</v>
      </c>
      <c r="AO43" s="10">
        <v>130.0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ht="16.5" customHeight="1">
      <c r="A44" s="77">
        <v>19.0</v>
      </c>
      <c r="B44" s="217">
        <v>170000.0</v>
      </c>
      <c r="C44" s="77"/>
      <c r="D44" s="77">
        <v>19.0</v>
      </c>
      <c r="E44" s="222">
        <v>4.38E7</v>
      </c>
      <c r="F44" s="77">
        <v>9.0</v>
      </c>
      <c r="G44" s="77">
        <v>19.0</v>
      </c>
      <c r="H44" s="222">
        <v>2.08E9</v>
      </c>
      <c r="I44" s="77">
        <v>18.0</v>
      </c>
      <c r="J44" s="77">
        <v>19.0</v>
      </c>
      <c r="K44" s="222">
        <v>2.08E9</v>
      </c>
      <c r="L44" s="77">
        <v>19.0</v>
      </c>
      <c r="M44" s="77">
        <v>19.0</v>
      </c>
      <c r="N44" s="222">
        <v>3.21E7</v>
      </c>
      <c r="O44" s="77">
        <v>19.0</v>
      </c>
      <c r="P44" s="77">
        <v>19.0</v>
      </c>
      <c r="Q44" s="222">
        <v>1.91E7</v>
      </c>
      <c r="R44" s="77">
        <v>22.0</v>
      </c>
      <c r="S44" s="77">
        <v>19.0</v>
      </c>
      <c r="T44" s="222">
        <v>1.13E9</v>
      </c>
      <c r="U44" s="109">
        <v>5760.0</v>
      </c>
      <c r="V44" s="77">
        <v>19.0</v>
      </c>
      <c r="W44" s="222">
        <v>1.67E8</v>
      </c>
      <c r="X44" s="109">
        <v>34.0</v>
      </c>
      <c r="Y44" s="77">
        <v>19.0</v>
      </c>
      <c r="Z44" s="222">
        <v>2.97E7</v>
      </c>
      <c r="AA44" s="77">
        <v>3.66</v>
      </c>
      <c r="AB44" s="77">
        <v>19.0</v>
      </c>
      <c r="AC44" s="222">
        <v>4.23E9</v>
      </c>
      <c r="AD44" s="217">
        <v>422.2</v>
      </c>
      <c r="AE44" s="77"/>
      <c r="AF44" s="77"/>
      <c r="AG44" s="77"/>
      <c r="AH44" s="77"/>
      <c r="AI44" s="77"/>
      <c r="AJ44" s="77"/>
      <c r="AK44" s="77"/>
      <c r="AL44" s="77"/>
      <c r="AM44" s="77"/>
      <c r="AN44" s="10">
        <v>19.0</v>
      </c>
      <c r="AO44" s="10">
        <v>152.0</v>
      </c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ht="16.5" customHeight="1">
      <c r="A45" s="77">
        <v>20.0</v>
      </c>
      <c r="B45" s="217">
        <v>1170000.0</v>
      </c>
      <c r="C45" s="77"/>
      <c r="D45" s="77">
        <v>20.0</v>
      </c>
      <c r="E45" s="222">
        <v>4.33E8</v>
      </c>
      <c r="F45" s="77">
        <v>10.0</v>
      </c>
      <c r="G45" s="77">
        <v>20.0</v>
      </c>
      <c r="H45" s="222">
        <v>2.98E10</v>
      </c>
      <c r="I45" s="77">
        <v>20.0</v>
      </c>
      <c r="J45" s="77">
        <v>20.0</v>
      </c>
      <c r="K45" s="222">
        <v>2.98E10</v>
      </c>
      <c r="L45" s="77">
        <v>20.0</v>
      </c>
      <c r="M45" s="77">
        <v>20.0</v>
      </c>
      <c r="N45" s="222">
        <v>3.18E8</v>
      </c>
      <c r="O45" s="77">
        <v>20.0</v>
      </c>
      <c r="P45" s="77">
        <v>20.0</v>
      </c>
      <c r="Q45" s="222">
        <v>1.77E8</v>
      </c>
      <c r="R45" s="77">
        <v>24.0</v>
      </c>
      <c r="S45" s="77">
        <v>20.0</v>
      </c>
      <c r="T45" s="222">
        <v>1.5E10</v>
      </c>
      <c r="U45" s="109">
        <v>18700.0</v>
      </c>
      <c r="V45" s="77">
        <v>20.0</v>
      </c>
      <c r="W45" s="222">
        <v>1.87E9</v>
      </c>
      <c r="X45" s="109">
        <v>40.0</v>
      </c>
      <c r="Y45" s="77">
        <v>20.0</v>
      </c>
      <c r="Z45" s="222">
        <v>3.17E8</v>
      </c>
      <c r="AA45" s="77">
        <v>4.0</v>
      </c>
      <c r="AB45" s="77">
        <v>20.0</v>
      </c>
      <c r="AC45" s="222">
        <v>8.15E10</v>
      </c>
      <c r="AD45" s="217">
        <v>510.0</v>
      </c>
      <c r="AE45" s="77"/>
      <c r="AF45" s="77"/>
      <c r="AG45" s="77"/>
      <c r="AH45" s="77"/>
      <c r="AI45" s="77"/>
      <c r="AJ45" s="77"/>
      <c r="AK45" s="77"/>
      <c r="AL45" s="77"/>
      <c r="AM45" s="77"/>
      <c r="AN45" s="10">
        <v>20.0</v>
      </c>
      <c r="AO45" s="10">
        <v>177.0</v>
      </c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ht="16.5" customHeight="1">
      <c r="A46" s="77">
        <v>21.0</v>
      </c>
      <c r="B46" s="109">
        <v>9960000.0</v>
      </c>
      <c r="C46" s="77"/>
      <c r="D46" s="77">
        <v>21.0</v>
      </c>
      <c r="E46" s="222">
        <v>5.32E9</v>
      </c>
      <c r="F46" s="109">
        <v>11.0</v>
      </c>
      <c r="G46" s="77">
        <v>21.0</v>
      </c>
      <c r="H46" s="222">
        <v>5.39E11</v>
      </c>
      <c r="I46" s="109">
        <v>22.0</v>
      </c>
      <c r="J46" s="77">
        <v>21.0</v>
      </c>
      <c r="K46" s="222">
        <v>5.39E11</v>
      </c>
      <c r="L46" s="77">
        <v>21.0</v>
      </c>
      <c r="M46" s="77">
        <v>21.0</v>
      </c>
      <c r="N46" s="222">
        <v>3.92E9</v>
      </c>
      <c r="O46" s="109">
        <v>22.0</v>
      </c>
      <c r="P46" s="77">
        <v>21.0</v>
      </c>
      <c r="Q46" s="222">
        <v>2.05E9</v>
      </c>
      <c r="R46" s="109">
        <v>26.0</v>
      </c>
      <c r="S46" s="77">
        <v>21.0</v>
      </c>
      <c r="T46" s="222">
        <v>2.49E11</v>
      </c>
      <c r="U46" s="109">
        <v>69300.0</v>
      </c>
      <c r="V46" s="77">
        <v>21.0</v>
      </c>
      <c r="W46" s="222">
        <v>2.63E10</v>
      </c>
      <c r="X46" s="109">
        <v>46.0</v>
      </c>
      <c r="Y46" s="77">
        <v>21.0</v>
      </c>
      <c r="Z46" s="222">
        <v>4.26E9</v>
      </c>
      <c r="AA46" s="109">
        <v>4.36</v>
      </c>
      <c r="AB46" s="77">
        <v>21.0</v>
      </c>
      <c r="AC46" s="222">
        <v>2.1E12</v>
      </c>
      <c r="AD46" s="109">
        <v>619.6</v>
      </c>
      <c r="AE46" s="77"/>
      <c r="AF46" s="77"/>
      <c r="AG46" s="77"/>
      <c r="AH46" s="77"/>
      <c r="AI46" s="77"/>
      <c r="AJ46" s="77"/>
      <c r="AK46" s="77"/>
      <c r="AL46" s="77"/>
      <c r="AM46" s="77"/>
      <c r="AN46" s="10">
        <v>21.0</v>
      </c>
      <c r="AO46" s="120">
        <v>205.0</v>
      </c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ht="16.5" customHeight="1">
      <c r="A47" s="77">
        <v>22.0</v>
      </c>
      <c r="B47" s="222">
        <v>1.21E8</v>
      </c>
      <c r="C47" s="77"/>
      <c r="D47" s="77">
        <v>22.0</v>
      </c>
      <c r="E47" s="222">
        <v>9.33E10</v>
      </c>
      <c r="F47" s="109">
        <v>12.0</v>
      </c>
      <c r="G47" s="77">
        <v>22.0</v>
      </c>
      <c r="H47" s="222">
        <v>1.44E13</v>
      </c>
      <c r="I47" s="109">
        <v>24.0</v>
      </c>
      <c r="J47" s="77">
        <v>22.0</v>
      </c>
      <c r="K47" s="222">
        <v>1.44E13</v>
      </c>
      <c r="L47" s="77">
        <v>22.0</v>
      </c>
      <c r="M47" s="77">
        <v>22.0</v>
      </c>
      <c r="N47" s="222">
        <v>6.9E10</v>
      </c>
      <c r="O47" s="109">
        <v>24.0</v>
      </c>
      <c r="P47" s="77">
        <v>22.0</v>
      </c>
      <c r="Q47" s="222">
        <v>3.36E10</v>
      </c>
      <c r="R47" s="109">
        <v>28.0</v>
      </c>
      <c r="S47" s="77">
        <v>22.0</v>
      </c>
      <c r="T47" s="222">
        <v>6.02E12</v>
      </c>
      <c r="U47" s="109">
        <v>317000.0</v>
      </c>
      <c r="V47" s="77">
        <v>22.0</v>
      </c>
      <c r="W47" s="222">
        <v>5.32E11</v>
      </c>
      <c r="X47" s="109">
        <v>52.0</v>
      </c>
      <c r="Y47" s="77">
        <v>22.0</v>
      </c>
      <c r="Z47" s="222">
        <v>8.39E10</v>
      </c>
      <c r="AA47" s="109">
        <v>4.74</v>
      </c>
      <c r="AB47" s="77">
        <v>22.0</v>
      </c>
      <c r="AC47" s="222">
        <v>8.6E13</v>
      </c>
      <c r="AD47" s="109">
        <v>752.0</v>
      </c>
      <c r="AE47" s="77"/>
      <c r="AF47" s="77"/>
      <c r="AG47" s="77"/>
      <c r="AH47" s="77"/>
      <c r="AI47" s="77"/>
      <c r="AJ47" s="77"/>
      <c r="AK47" s="77"/>
      <c r="AL47" s="77"/>
      <c r="AM47" s="77"/>
      <c r="AN47" s="10">
        <v>22.0</v>
      </c>
      <c r="AO47" s="120">
        <v>238.0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ht="16.5" customHeight="1">
      <c r="A48" s="77">
        <v>23.0</v>
      </c>
      <c r="B48" s="222">
        <v>2.13E9</v>
      </c>
      <c r="C48" s="77"/>
      <c r="D48" s="77">
        <v>23.0</v>
      </c>
      <c r="E48" s="222">
        <v>2.31E12</v>
      </c>
      <c r="F48" s="109">
        <v>13.0</v>
      </c>
      <c r="G48" s="77">
        <v>23.0</v>
      </c>
      <c r="H48" s="222">
        <v>5.58E14</v>
      </c>
      <c r="I48" s="109">
        <v>26.0</v>
      </c>
      <c r="J48" s="77">
        <v>23.0</v>
      </c>
      <c r="K48" s="222">
        <v>5.58E14</v>
      </c>
      <c r="L48" s="77">
        <v>23.0</v>
      </c>
      <c r="M48" s="77">
        <v>23.0</v>
      </c>
      <c r="N48" s="222">
        <v>1.72E12</v>
      </c>
      <c r="O48" s="109">
        <v>26.0</v>
      </c>
      <c r="P48" s="77">
        <v>23.0</v>
      </c>
      <c r="Q48" s="222">
        <v>7.76E11</v>
      </c>
      <c r="R48" s="109">
        <v>30.0</v>
      </c>
      <c r="S48" s="77">
        <v>23.0</v>
      </c>
      <c r="T48" s="222">
        <v>2.1E14</v>
      </c>
      <c r="U48" s="222">
        <v>1790000.0</v>
      </c>
      <c r="V48" s="77">
        <v>23.0</v>
      </c>
      <c r="W48" s="222">
        <v>1.54E13</v>
      </c>
      <c r="X48" s="109">
        <v>58.0</v>
      </c>
      <c r="Y48" s="77">
        <v>23.0</v>
      </c>
      <c r="Z48" s="222">
        <v>2.4E12</v>
      </c>
      <c r="AA48" s="109">
        <v>5.14</v>
      </c>
      <c r="AB48" s="77">
        <v>23.0</v>
      </c>
      <c r="AC48" s="222">
        <v>5.6E15</v>
      </c>
      <c r="AD48" s="109">
        <v>908.4</v>
      </c>
      <c r="AE48" s="77"/>
      <c r="AF48" s="77"/>
      <c r="AG48" s="77"/>
      <c r="AH48" s="77"/>
      <c r="AI48" s="77"/>
      <c r="AJ48" s="77"/>
      <c r="AK48" s="77"/>
      <c r="AL48" s="77"/>
      <c r="AM48" s="77"/>
      <c r="AN48" s="10">
        <v>23.0</v>
      </c>
      <c r="AO48" s="120">
        <v>276.0</v>
      </c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ht="16.5" customHeight="1">
      <c r="A49" s="77">
        <v>24.0</v>
      </c>
      <c r="B49" s="222">
        <v>5.47E10</v>
      </c>
      <c r="C49" s="77"/>
      <c r="D49" s="77">
        <v>24.0</v>
      </c>
      <c r="E49" s="222">
        <v>8.07E13</v>
      </c>
      <c r="F49" s="109">
        <v>14.0</v>
      </c>
      <c r="G49" s="77">
        <v>24.0</v>
      </c>
      <c r="H49" s="222">
        <v>3.14E16</v>
      </c>
      <c r="I49" s="109">
        <v>28.0</v>
      </c>
      <c r="J49" s="77">
        <v>24.0</v>
      </c>
      <c r="K49" s="222">
        <v>3.14E16</v>
      </c>
      <c r="L49" s="77">
        <v>24.0</v>
      </c>
      <c r="M49" s="77">
        <v>24.0</v>
      </c>
      <c r="N49" s="222">
        <v>6.07E13</v>
      </c>
      <c r="O49" s="109">
        <v>28.0</v>
      </c>
      <c r="P49" s="77">
        <v>24.0</v>
      </c>
      <c r="Q49" s="222">
        <v>2.52E13</v>
      </c>
      <c r="R49" s="109">
        <v>32.0</v>
      </c>
      <c r="S49" s="77">
        <v>24.0</v>
      </c>
      <c r="T49" s="222">
        <v>1.05E16</v>
      </c>
      <c r="U49" s="222">
        <v>1.25E7</v>
      </c>
      <c r="V49" s="77">
        <v>24.0</v>
      </c>
      <c r="W49" s="222">
        <v>6.35E14</v>
      </c>
      <c r="X49" s="109">
        <v>64.0</v>
      </c>
      <c r="Y49" s="77">
        <v>24.0</v>
      </c>
      <c r="Z49" s="222">
        <v>9.91E13</v>
      </c>
      <c r="AA49" s="109">
        <v>5.57</v>
      </c>
      <c r="AB49" s="77">
        <v>24.0</v>
      </c>
      <c r="AC49" s="222">
        <v>5.73E17</v>
      </c>
      <c r="AD49" s="109">
        <v>1099.8</v>
      </c>
      <c r="AE49" s="77"/>
      <c r="AF49" s="77"/>
      <c r="AG49" s="77"/>
      <c r="AH49" s="77"/>
      <c r="AI49" s="77"/>
      <c r="AJ49" s="77"/>
      <c r="AK49" s="77"/>
      <c r="AL49" s="77"/>
      <c r="AM49" s="77"/>
      <c r="AN49" s="10">
        <v>24.0</v>
      </c>
      <c r="AO49" s="120">
        <v>319.0</v>
      </c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 ht="16.5" customHeight="1">
      <c r="A50" s="77">
        <v>25.0</v>
      </c>
      <c r="B50" s="222">
        <v>2.42E12</v>
      </c>
      <c r="C50" s="77"/>
      <c r="D50" s="77">
        <v>25.0</v>
      </c>
      <c r="E50" s="222">
        <v>4.5E15</v>
      </c>
      <c r="F50" s="109">
        <v>15.0</v>
      </c>
      <c r="G50" s="77">
        <v>25.0</v>
      </c>
      <c r="H50" s="222">
        <v>2.92E18</v>
      </c>
      <c r="I50" s="109">
        <v>30.0</v>
      </c>
      <c r="J50" s="77">
        <v>25.0</v>
      </c>
      <c r="K50" s="222">
        <v>2.92E18</v>
      </c>
      <c r="L50" s="77">
        <v>25.0</v>
      </c>
      <c r="M50" s="77">
        <v>25.0</v>
      </c>
      <c r="N50" s="222">
        <v>3.43E15</v>
      </c>
      <c r="O50" s="109">
        <v>30.0</v>
      </c>
      <c r="P50" s="77">
        <v>25.0</v>
      </c>
      <c r="Q50" s="222">
        <v>1.3E15</v>
      </c>
      <c r="R50" s="109">
        <v>35.0</v>
      </c>
      <c r="S50" s="77">
        <v>25.0</v>
      </c>
      <c r="T50" s="222">
        <v>8.64E17</v>
      </c>
      <c r="U50" s="222">
        <v>1.19E8</v>
      </c>
      <c r="V50" s="77">
        <v>25.0</v>
      </c>
      <c r="W50" s="222">
        <v>4.25E16</v>
      </c>
      <c r="X50" s="109">
        <v>70.0</v>
      </c>
      <c r="Y50" s="77">
        <v>25.0</v>
      </c>
      <c r="Z50" s="222">
        <v>6.81E15</v>
      </c>
      <c r="AA50" s="109">
        <v>6.02</v>
      </c>
      <c r="AB50" s="77">
        <v>25.0</v>
      </c>
      <c r="AC50" s="222">
        <v>1.1E20</v>
      </c>
      <c r="AD50" s="109">
        <v>1328.1</v>
      </c>
      <c r="AE50" s="77"/>
      <c r="AF50" s="77"/>
      <c r="AG50" s="77"/>
      <c r="AH50" s="77"/>
      <c r="AI50" s="77"/>
      <c r="AJ50" s="77"/>
      <c r="AK50" s="77"/>
      <c r="AL50" s="77"/>
      <c r="AM50" s="77"/>
      <c r="AN50" s="10">
        <v>25.0</v>
      </c>
      <c r="AO50" s="120">
        <v>369.0</v>
      </c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 ht="16.5" customHeight="1">
      <c r="A51" s="154">
        <v>1.0</v>
      </c>
      <c r="B51" s="223">
        <v>1.6</v>
      </c>
      <c r="C51" s="164">
        <v>-1.0</v>
      </c>
      <c r="D51" s="154">
        <v>1.0</v>
      </c>
      <c r="E51" s="223">
        <v>1.6</v>
      </c>
      <c r="F51" s="164">
        <v>1.0</v>
      </c>
      <c r="G51" s="154">
        <v>1.0</v>
      </c>
      <c r="H51" s="164">
        <v>1.5</v>
      </c>
      <c r="I51" s="154">
        <v>2.0</v>
      </c>
      <c r="J51" s="154">
        <v>1.0</v>
      </c>
      <c r="K51" s="164">
        <v>0.25</v>
      </c>
      <c r="L51" s="154">
        <v>2.0</v>
      </c>
      <c r="M51" s="164">
        <v>1.0</v>
      </c>
      <c r="N51" s="164">
        <v>0.75</v>
      </c>
      <c r="O51" s="164">
        <v>1.0</v>
      </c>
      <c r="P51" s="154">
        <v>1.0</v>
      </c>
      <c r="Q51" s="223">
        <v>1.8</v>
      </c>
      <c r="R51" s="154">
        <v>0.0</v>
      </c>
      <c r="S51" s="154">
        <v>1.0</v>
      </c>
      <c r="T51" s="154">
        <v>4.0</v>
      </c>
      <c r="U51" s="154">
        <v>4.0</v>
      </c>
      <c r="V51" s="154">
        <v>1.0</v>
      </c>
      <c r="W51" s="223">
        <v>0.05</v>
      </c>
      <c r="X51" s="154"/>
      <c r="Y51" s="154">
        <v>1.0</v>
      </c>
      <c r="Z51" s="154">
        <v>2.0</v>
      </c>
      <c r="AA51" s="154">
        <v>0.0</v>
      </c>
      <c r="AB51" s="154">
        <v>1.0</v>
      </c>
      <c r="AC51" s="154">
        <v>1.0</v>
      </c>
      <c r="AD51" s="154">
        <v>1.0</v>
      </c>
      <c r="AE51" s="154">
        <v>1.0</v>
      </c>
      <c r="AF51" s="154">
        <v>1.0</v>
      </c>
      <c r="AG51" s="154">
        <v>1.0</v>
      </c>
      <c r="AH51" s="154">
        <v>1.0</v>
      </c>
      <c r="AI51" s="154">
        <v>1.0</v>
      </c>
      <c r="AJ51" s="154">
        <v>1.0</v>
      </c>
      <c r="AK51" s="154"/>
      <c r="AL51" s="154"/>
      <c r="AM51" s="154"/>
      <c r="AN51" s="10">
        <v>1.0</v>
      </c>
      <c r="AO51" s="10">
        <v>2.0</v>
      </c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ht="16.5" customHeight="1">
      <c r="A52" s="154">
        <v>2.0</v>
      </c>
      <c r="B52" s="164">
        <v>2.38</v>
      </c>
      <c r="C52" s="164">
        <v>-2.0</v>
      </c>
      <c r="D52" s="154">
        <v>2.0</v>
      </c>
      <c r="E52" s="223">
        <v>2.37</v>
      </c>
      <c r="F52" s="164">
        <v>2.0</v>
      </c>
      <c r="G52" s="154">
        <v>2.0</v>
      </c>
      <c r="H52" s="164">
        <v>2.14</v>
      </c>
      <c r="I52" s="154">
        <v>4.0</v>
      </c>
      <c r="J52" s="154">
        <v>2.0</v>
      </c>
      <c r="K52" s="164">
        <v>0.47</v>
      </c>
      <c r="L52" s="164">
        <v>3.5</v>
      </c>
      <c r="M52" s="164">
        <v>2.0</v>
      </c>
      <c r="N52" s="164">
        <v>0.951</v>
      </c>
      <c r="O52" s="164">
        <v>2.0</v>
      </c>
      <c r="P52" s="154">
        <v>2.0</v>
      </c>
      <c r="Q52" s="223">
        <v>2.59</v>
      </c>
      <c r="R52" s="164">
        <v>1.0</v>
      </c>
      <c r="S52" s="154">
        <v>2.0</v>
      </c>
      <c r="T52" s="154">
        <v>16.0</v>
      </c>
      <c r="U52" s="154">
        <v>8.6</v>
      </c>
      <c r="V52" s="154">
        <v>2.0</v>
      </c>
      <c r="W52" s="223">
        <v>0.07</v>
      </c>
      <c r="X52" s="154"/>
      <c r="Y52" s="154">
        <v>2.0</v>
      </c>
      <c r="Z52" s="154">
        <v>4.5</v>
      </c>
      <c r="AA52" s="154">
        <v>1.0</v>
      </c>
      <c r="AB52" s="154">
        <v>2.0</v>
      </c>
      <c r="AC52" s="164">
        <v>3.0</v>
      </c>
      <c r="AD52" s="164">
        <v>1.3</v>
      </c>
      <c r="AE52" s="154">
        <v>2.0</v>
      </c>
      <c r="AF52" s="164">
        <v>3.0</v>
      </c>
      <c r="AG52" s="164">
        <v>1.3</v>
      </c>
      <c r="AH52" s="154">
        <v>2.0</v>
      </c>
      <c r="AI52" s="164">
        <v>3.0</v>
      </c>
      <c r="AJ52" s="164">
        <v>1.3</v>
      </c>
      <c r="AK52" s="154"/>
      <c r="AL52" s="154"/>
      <c r="AM52" s="154"/>
      <c r="AN52" s="10">
        <v>2.0</v>
      </c>
      <c r="AO52" s="10">
        <v>4.0</v>
      </c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ht="16.5" customHeight="1">
      <c r="A53" s="154">
        <v>3.0</v>
      </c>
      <c r="B53" s="164">
        <v>3.93</v>
      </c>
      <c r="C53" s="164">
        <v>-3.0</v>
      </c>
      <c r="D53" s="154">
        <v>3.0</v>
      </c>
      <c r="E53" s="223">
        <v>3.89</v>
      </c>
      <c r="F53" s="164">
        <v>4.0</v>
      </c>
      <c r="G53" s="154">
        <v>3.0</v>
      </c>
      <c r="H53" s="164">
        <v>3.39</v>
      </c>
      <c r="I53" s="154">
        <v>6.0</v>
      </c>
      <c r="J53" s="154">
        <v>3.0</v>
      </c>
      <c r="K53" s="164">
        <v>0.76</v>
      </c>
      <c r="L53" s="164">
        <v>5.0</v>
      </c>
      <c r="M53" s="164">
        <v>3.0</v>
      </c>
      <c r="N53" s="164">
        <v>1.35</v>
      </c>
      <c r="O53" s="164">
        <v>4.0</v>
      </c>
      <c r="P53" s="154">
        <v>3.0</v>
      </c>
      <c r="Q53" s="223">
        <v>4.14</v>
      </c>
      <c r="R53" s="164">
        <v>2.0</v>
      </c>
      <c r="S53" s="154">
        <v>3.0</v>
      </c>
      <c r="T53" s="154">
        <v>35.0</v>
      </c>
      <c r="U53" s="154">
        <v>13.5</v>
      </c>
      <c r="V53" s="154">
        <v>3.0</v>
      </c>
      <c r="W53" s="223">
        <v>0.1</v>
      </c>
      <c r="X53" s="154"/>
      <c r="Y53" s="154">
        <v>3.0</v>
      </c>
      <c r="Z53" s="154">
        <v>8.9</v>
      </c>
      <c r="AA53" s="164">
        <v>2.0</v>
      </c>
      <c r="AB53" s="154">
        <v>3.0</v>
      </c>
      <c r="AC53" s="164">
        <v>12.8</v>
      </c>
      <c r="AD53" s="164">
        <v>1.9</v>
      </c>
      <c r="AE53" s="154">
        <v>3.0</v>
      </c>
      <c r="AF53" s="164">
        <v>12.8</v>
      </c>
      <c r="AG53" s="164">
        <v>1.9</v>
      </c>
      <c r="AH53" s="154">
        <v>3.0</v>
      </c>
      <c r="AI53" s="164">
        <v>12.8</v>
      </c>
      <c r="AJ53" s="164">
        <v>1.9</v>
      </c>
      <c r="AK53" s="154"/>
      <c r="AL53" s="154"/>
      <c r="AM53" s="154"/>
      <c r="AN53" s="10">
        <v>3.0</v>
      </c>
      <c r="AO53" s="10">
        <v>7.0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 ht="16.5" customHeight="1">
      <c r="A54" s="154">
        <v>4.0</v>
      </c>
      <c r="B54" s="164">
        <v>6.48</v>
      </c>
      <c r="C54" s="164">
        <v>-4.0</v>
      </c>
      <c r="D54" s="154">
        <v>4.0</v>
      </c>
      <c r="E54" s="223">
        <v>6.38</v>
      </c>
      <c r="F54" s="164">
        <v>7.0</v>
      </c>
      <c r="G54" s="154">
        <v>4.0</v>
      </c>
      <c r="H54" s="164">
        <v>5.36</v>
      </c>
      <c r="I54" s="154">
        <v>8.0</v>
      </c>
      <c r="J54" s="154">
        <v>4.0</v>
      </c>
      <c r="K54" s="164">
        <v>1.05</v>
      </c>
      <c r="L54" s="164">
        <v>6.5</v>
      </c>
      <c r="M54" s="164">
        <v>4.0</v>
      </c>
      <c r="N54" s="164">
        <v>1.92</v>
      </c>
      <c r="O54" s="164">
        <v>7.0</v>
      </c>
      <c r="P54" s="154">
        <v>4.0</v>
      </c>
      <c r="Q54" s="223">
        <v>6.62</v>
      </c>
      <c r="R54" s="164">
        <v>3.0</v>
      </c>
      <c r="S54" s="154">
        <v>4.0</v>
      </c>
      <c r="T54" s="154">
        <v>54.0</v>
      </c>
      <c r="U54" s="154">
        <v>18.8</v>
      </c>
      <c r="V54" s="154">
        <v>4.0</v>
      </c>
      <c r="W54" s="223">
        <v>0.13</v>
      </c>
      <c r="X54" s="154"/>
      <c r="Y54" s="154">
        <v>4.0</v>
      </c>
      <c r="Z54" s="154">
        <v>13.3</v>
      </c>
      <c r="AA54" s="164">
        <v>3.0</v>
      </c>
      <c r="AB54" s="154">
        <v>4.0</v>
      </c>
      <c r="AC54" s="164">
        <v>54.1</v>
      </c>
      <c r="AD54" s="164">
        <v>2.7</v>
      </c>
      <c r="AE54" s="154">
        <v>4.0</v>
      </c>
      <c r="AF54" s="164">
        <v>54.1</v>
      </c>
      <c r="AG54" s="164">
        <v>2.7</v>
      </c>
      <c r="AH54" s="154">
        <v>4.0</v>
      </c>
      <c r="AI54" s="164">
        <v>54.1</v>
      </c>
      <c r="AJ54" s="164">
        <v>2.7</v>
      </c>
      <c r="AK54" s="154"/>
      <c r="AL54" s="154"/>
      <c r="AM54" s="154"/>
      <c r="AN54" s="10">
        <v>4.0</v>
      </c>
      <c r="AO54" s="10">
        <v>10.0</v>
      </c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ht="16.5" customHeight="1">
      <c r="A55" s="154">
        <v>5.0</v>
      </c>
      <c r="B55" s="164">
        <v>10.7</v>
      </c>
      <c r="C55" s="164">
        <v>-5.0</v>
      </c>
      <c r="D55" s="154">
        <v>5.0</v>
      </c>
      <c r="E55" s="223">
        <v>10.5</v>
      </c>
      <c r="F55" s="164">
        <v>9.0</v>
      </c>
      <c r="G55" s="154">
        <v>5.0</v>
      </c>
      <c r="H55" s="164">
        <v>8.48</v>
      </c>
      <c r="I55" s="154">
        <v>10.0</v>
      </c>
      <c r="J55" s="154">
        <v>5.0</v>
      </c>
      <c r="K55" s="164">
        <v>1.34</v>
      </c>
      <c r="L55" s="164">
        <v>8.0</v>
      </c>
      <c r="M55" s="164">
        <v>5.0</v>
      </c>
      <c r="N55" s="164">
        <v>2.72</v>
      </c>
      <c r="O55" s="164">
        <v>9.0</v>
      </c>
      <c r="P55" s="154">
        <v>5.0</v>
      </c>
      <c r="Q55" s="223">
        <v>10.6</v>
      </c>
      <c r="R55" s="164">
        <v>4.0</v>
      </c>
      <c r="S55" s="154">
        <v>5.0</v>
      </c>
      <c r="T55" s="154">
        <v>75.0</v>
      </c>
      <c r="U55" s="154">
        <v>24.5</v>
      </c>
      <c r="V55" s="154">
        <v>5.0</v>
      </c>
      <c r="W55" s="223">
        <v>0.16</v>
      </c>
      <c r="X55" s="154"/>
      <c r="Y55" s="154">
        <v>5.0</v>
      </c>
      <c r="Z55" s="154">
        <v>17.7</v>
      </c>
      <c r="AA55" s="164">
        <v>4.0</v>
      </c>
      <c r="AB55" s="154">
        <v>5.0</v>
      </c>
      <c r="AC55" s="164">
        <v>229.0</v>
      </c>
      <c r="AD55" s="164">
        <v>3.8</v>
      </c>
      <c r="AE55" s="154">
        <v>5.0</v>
      </c>
      <c r="AF55" s="164">
        <v>229.0</v>
      </c>
      <c r="AG55" s="164">
        <v>3.8</v>
      </c>
      <c r="AH55" s="154">
        <v>5.0</v>
      </c>
      <c r="AI55" s="164">
        <v>229.0</v>
      </c>
      <c r="AJ55" s="164">
        <v>3.8</v>
      </c>
      <c r="AK55" s="154"/>
      <c r="AL55" s="154"/>
      <c r="AM55" s="154"/>
      <c r="AN55" s="10">
        <v>5.0</v>
      </c>
      <c r="AO55" s="10">
        <v>13.0</v>
      </c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ht="16.5" customHeight="1">
      <c r="A56" s="154">
        <v>6.0</v>
      </c>
      <c r="B56" s="164">
        <v>19.5</v>
      </c>
      <c r="C56" s="164">
        <v>-6.0</v>
      </c>
      <c r="D56" s="154">
        <v>6.0</v>
      </c>
      <c r="E56" s="223">
        <v>19.0</v>
      </c>
      <c r="F56" s="164">
        <v>12.0</v>
      </c>
      <c r="G56" s="154">
        <v>6.0</v>
      </c>
      <c r="H56" s="164">
        <v>14.8</v>
      </c>
      <c r="I56" s="154">
        <v>12.0</v>
      </c>
      <c r="J56" s="154">
        <v>6.0</v>
      </c>
      <c r="K56" s="164">
        <v>1.7</v>
      </c>
      <c r="L56" s="164">
        <v>9.5</v>
      </c>
      <c r="M56" s="164">
        <v>6.0</v>
      </c>
      <c r="N56" s="164">
        <v>4.32</v>
      </c>
      <c r="O56" s="164">
        <v>12.0</v>
      </c>
      <c r="P56" s="154">
        <v>6.0</v>
      </c>
      <c r="Q56" s="223">
        <v>18.8</v>
      </c>
      <c r="R56" s="164">
        <v>5.0</v>
      </c>
      <c r="S56" s="154">
        <v>6.0</v>
      </c>
      <c r="T56" s="154">
        <v>103.0</v>
      </c>
      <c r="U56" s="154">
        <v>30.6</v>
      </c>
      <c r="V56" s="154">
        <v>6.0</v>
      </c>
      <c r="W56" s="223">
        <v>0.2</v>
      </c>
      <c r="X56" s="154"/>
      <c r="Y56" s="154">
        <v>6.0</v>
      </c>
      <c r="Z56" s="154">
        <v>24.1</v>
      </c>
      <c r="AA56" s="164">
        <v>6.0</v>
      </c>
      <c r="AB56" s="154">
        <v>6.0</v>
      </c>
      <c r="AC56" s="164">
        <v>1300.0</v>
      </c>
      <c r="AD56" s="164">
        <v>5.8</v>
      </c>
      <c r="AE56" s="154">
        <v>6.0</v>
      </c>
      <c r="AF56" s="164">
        <v>1300.0</v>
      </c>
      <c r="AG56" s="164">
        <v>5.8</v>
      </c>
      <c r="AH56" s="154">
        <v>6.0</v>
      </c>
      <c r="AI56" s="164">
        <v>1300.0</v>
      </c>
      <c r="AJ56" s="164">
        <v>5.8</v>
      </c>
      <c r="AK56" s="154"/>
      <c r="AL56" s="154"/>
      <c r="AM56" s="154"/>
      <c r="AN56" s="10">
        <v>6.0</v>
      </c>
      <c r="AO56" s="10">
        <v>17.0</v>
      </c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ht="16.5" customHeight="1">
      <c r="A57" s="154">
        <v>7.0</v>
      </c>
      <c r="B57" s="164">
        <v>39.4</v>
      </c>
      <c r="C57" s="164">
        <v>-7.0</v>
      </c>
      <c r="D57" s="154">
        <v>7.0</v>
      </c>
      <c r="E57" s="223">
        <v>37.9</v>
      </c>
      <c r="F57" s="164">
        <v>16.0</v>
      </c>
      <c r="G57" s="154">
        <v>7.0</v>
      </c>
      <c r="H57" s="164">
        <v>28.7</v>
      </c>
      <c r="I57" s="154">
        <v>14.0</v>
      </c>
      <c r="J57" s="154">
        <v>7.0</v>
      </c>
      <c r="K57" s="164">
        <v>2.12</v>
      </c>
      <c r="L57" s="164">
        <v>11.0</v>
      </c>
      <c r="M57" s="164">
        <v>7.0</v>
      </c>
      <c r="N57" s="164">
        <v>7.63</v>
      </c>
      <c r="O57" s="164">
        <v>16.0</v>
      </c>
      <c r="P57" s="154">
        <v>7.0</v>
      </c>
      <c r="Q57" s="223">
        <v>36.9</v>
      </c>
      <c r="R57" s="164">
        <v>6.0</v>
      </c>
      <c r="S57" s="154">
        <v>7.0</v>
      </c>
      <c r="T57" s="154">
        <v>138.0</v>
      </c>
      <c r="U57" s="154">
        <v>37.2</v>
      </c>
      <c r="V57" s="154">
        <v>7.0</v>
      </c>
      <c r="W57" s="223">
        <v>0.25</v>
      </c>
      <c r="X57" s="154"/>
      <c r="Y57" s="154">
        <v>7.0</v>
      </c>
      <c r="Z57" s="154">
        <v>32.8</v>
      </c>
      <c r="AA57" s="164">
        <v>8.0</v>
      </c>
      <c r="AB57" s="154">
        <v>7.0</v>
      </c>
      <c r="AC57" s="164">
        <v>9600.0</v>
      </c>
      <c r="AD57" s="164">
        <v>9.5</v>
      </c>
      <c r="AE57" s="154">
        <v>7.0</v>
      </c>
      <c r="AF57" s="164">
        <v>9600.0</v>
      </c>
      <c r="AG57" s="164">
        <v>9.5</v>
      </c>
      <c r="AH57" s="154">
        <v>7.0</v>
      </c>
      <c r="AI57" s="164">
        <v>9600.0</v>
      </c>
      <c r="AJ57" s="164">
        <v>9.5</v>
      </c>
      <c r="AK57" s="154"/>
      <c r="AL57" s="154"/>
      <c r="AM57" s="154"/>
      <c r="AN57" s="10">
        <v>7.0</v>
      </c>
      <c r="AO57" s="10">
        <v>22.0</v>
      </c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ht="16.5" customHeight="1">
      <c r="A58" s="154">
        <v>8.0</v>
      </c>
      <c r="B58" s="164">
        <v>79.4</v>
      </c>
      <c r="C58" s="164">
        <v>-8.0</v>
      </c>
      <c r="D58" s="154">
        <v>8.0</v>
      </c>
      <c r="E58" s="223">
        <v>75.6</v>
      </c>
      <c r="F58" s="164">
        <v>21.0</v>
      </c>
      <c r="G58" s="154">
        <v>8.0</v>
      </c>
      <c r="H58" s="164">
        <v>55.6</v>
      </c>
      <c r="I58" s="154">
        <v>16.0</v>
      </c>
      <c r="J58" s="154">
        <v>8.0</v>
      </c>
      <c r="K58" s="164">
        <v>2.54</v>
      </c>
      <c r="L58" s="164">
        <v>12.5</v>
      </c>
      <c r="M58" s="164">
        <v>8.0</v>
      </c>
      <c r="N58" s="164">
        <v>13.5</v>
      </c>
      <c r="O58" s="164">
        <v>21.0</v>
      </c>
      <c r="P58" s="154">
        <v>8.0</v>
      </c>
      <c r="Q58" s="223">
        <v>72.5</v>
      </c>
      <c r="R58" s="164">
        <v>7.0</v>
      </c>
      <c r="S58" s="154">
        <v>8.0</v>
      </c>
      <c r="T58" s="154">
        <v>176.0</v>
      </c>
      <c r="U58" s="154">
        <v>44.2</v>
      </c>
      <c r="V58" s="154">
        <v>8.0</v>
      </c>
      <c r="W58" s="223">
        <v>0.31</v>
      </c>
      <c r="X58" s="154"/>
      <c r="Y58" s="154">
        <v>8.0</v>
      </c>
      <c r="Z58" s="154">
        <v>41.5</v>
      </c>
      <c r="AA58" s="164">
        <v>10.0</v>
      </c>
      <c r="AB58" s="154">
        <v>8.0</v>
      </c>
      <c r="AC58" s="164">
        <v>70600.0</v>
      </c>
      <c r="AD58" s="164">
        <v>15.5</v>
      </c>
      <c r="AE58" s="154">
        <v>8.0</v>
      </c>
      <c r="AF58" s="164">
        <v>70600.0</v>
      </c>
      <c r="AG58" s="164">
        <v>15.5</v>
      </c>
      <c r="AH58" s="154">
        <v>8.0</v>
      </c>
      <c r="AI58" s="164">
        <v>70600.0</v>
      </c>
      <c r="AJ58" s="164">
        <v>15.5</v>
      </c>
      <c r="AK58" s="154"/>
      <c r="AL58" s="154"/>
      <c r="AM58" s="154"/>
      <c r="AN58" s="10">
        <v>8.0</v>
      </c>
      <c r="AO58" s="10">
        <v>27.0</v>
      </c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ht="16.5" customHeight="1">
      <c r="A59" s="154">
        <v>9.0</v>
      </c>
      <c r="B59" s="164">
        <v>176.0</v>
      </c>
      <c r="C59" s="164">
        <v>-9.0</v>
      </c>
      <c r="D59" s="154">
        <v>9.0</v>
      </c>
      <c r="E59" s="223">
        <v>166.0</v>
      </c>
      <c r="F59" s="164">
        <v>26.0</v>
      </c>
      <c r="G59" s="154">
        <v>9.0</v>
      </c>
      <c r="H59" s="164">
        <v>119.0</v>
      </c>
      <c r="I59" s="154">
        <v>18.0</v>
      </c>
      <c r="J59" s="154">
        <v>9.0</v>
      </c>
      <c r="K59" s="164">
        <v>3.02</v>
      </c>
      <c r="L59" s="164">
        <v>14.0</v>
      </c>
      <c r="M59" s="164">
        <v>9.0</v>
      </c>
      <c r="N59" s="164">
        <v>26.5</v>
      </c>
      <c r="O59" s="164">
        <v>26.0</v>
      </c>
      <c r="P59" s="154">
        <v>9.0</v>
      </c>
      <c r="Q59" s="223">
        <v>157.0</v>
      </c>
      <c r="R59" s="164">
        <v>8.0</v>
      </c>
      <c r="S59" s="154">
        <v>9.0</v>
      </c>
      <c r="T59" s="154">
        <v>221.0</v>
      </c>
      <c r="U59" s="154">
        <v>51.8</v>
      </c>
      <c r="V59" s="154">
        <v>9.0</v>
      </c>
      <c r="W59" s="223">
        <v>0.38</v>
      </c>
      <c r="X59" s="154"/>
      <c r="Y59" s="154">
        <v>9.0</v>
      </c>
      <c r="Z59" s="154">
        <v>52.6</v>
      </c>
      <c r="AA59" s="164">
        <v>12.0</v>
      </c>
      <c r="AB59" s="154">
        <v>9.0</v>
      </c>
      <c r="AC59" s="164">
        <v>655100.0</v>
      </c>
      <c r="AD59" s="164">
        <v>26.9</v>
      </c>
      <c r="AE59" s="154">
        <v>9.0</v>
      </c>
      <c r="AF59" s="164">
        <v>655100.0</v>
      </c>
      <c r="AG59" s="164">
        <v>26.9</v>
      </c>
      <c r="AH59" s="154">
        <v>9.0</v>
      </c>
      <c r="AI59" s="164">
        <v>655100.0</v>
      </c>
      <c r="AJ59" s="164">
        <v>26.9</v>
      </c>
      <c r="AK59" s="154"/>
      <c r="AL59" s="154"/>
      <c r="AM59" s="154"/>
      <c r="AN59" s="10">
        <v>9.0</v>
      </c>
      <c r="AO59" s="10">
        <v>33.0</v>
      </c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ht="16.5" customHeight="1">
      <c r="A60" s="154">
        <v>10.0</v>
      </c>
      <c r="B60" s="164">
        <v>431.0</v>
      </c>
      <c r="C60" s="164">
        <v>-10.0</v>
      </c>
      <c r="D60" s="154">
        <v>10.0</v>
      </c>
      <c r="E60" s="223">
        <v>401.0</v>
      </c>
      <c r="F60" s="164">
        <v>33.0</v>
      </c>
      <c r="G60" s="154">
        <v>10.0</v>
      </c>
      <c r="H60" s="164">
        <v>279.0</v>
      </c>
      <c r="I60" s="154">
        <v>20.0</v>
      </c>
      <c r="J60" s="154">
        <v>10.0</v>
      </c>
      <c r="K60" s="164">
        <v>3.58</v>
      </c>
      <c r="L60" s="164">
        <v>15.5</v>
      </c>
      <c r="M60" s="164">
        <v>10.0</v>
      </c>
      <c r="N60" s="164">
        <v>57.6</v>
      </c>
      <c r="O60" s="164">
        <v>33.0</v>
      </c>
      <c r="P60" s="154">
        <v>10.0</v>
      </c>
      <c r="Q60" s="223">
        <v>376.0</v>
      </c>
      <c r="R60" s="164">
        <v>9.0</v>
      </c>
      <c r="S60" s="154">
        <v>10.0</v>
      </c>
      <c r="T60" s="154">
        <v>275.0</v>
      </c>
      <c r="U60" s="154">
        <v>60.0</v>
      </c>
      <c r="V60" s="154">
        <v>10.0</v>
      </c>
      <c r="W60" s="223">
        <v>0.47</v>
      </c>
      <c r="X60" s="154"/>
      <c r="Y60" s="154">
        <v>10.0</v>
      </c>
      <c r="Z60" s="154">
        <v>66.2</v>
      </c>
      <c r="AA60" s="164">
        <v>14.0</v>
      </c>
      <c r="AB60" s="154">
        <v>10.0</v>
      </c>
      <c r="AC60" s="164">
        <v>7500000.0</v>
      </c>
      <c r="AD60" s="164">
        <v>50.0</v>
      </c>
      <c r="AE60" s="154">
        <v>10.0</v>
      </c>
      <c r="AF60" s="164">
        <v>7500000.0</v>
      </c>
      <c r="AG60" s="164">
        <v>50.0</v>
      </c>
      <c r="AH60" s="154">
        <v>10.0</v>
      </c>
      <c r="AI60" s="164">
        <v>7500000.0</v>
      </c>
      <c r="AJ60" s="164">
        <v>50.0</v>
      </c>
      <c r="AK60" s="154"/>
      <c r="AL60" s="154"/>
      <c r="AM60" s="154"/>
      <c r="AN60" s="10">
        <v>10.0</v>
      </c>
      <c r="AO60" s="10">
        <v>40.0</v>
      </c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ht="16.5" customHeight="1">
      <c r="A61" s="154">
        <v>11.0</v>
      </c>
      <c r="B61" s="164">
        <v>1150.0</v>
      </c>
      <c r="C61" s="164">
        <v>-11.0</v>
      </c>
      <c r="D61" s="154">
        <v>11.0</v>
      </c>
      <c r="E61" s="223">
        <v>1060.0</v>
      </c>
      <c r="F61" s="164">
        <v>41.0</v>
      </c>
      <c r="G61" s="154">
        <v>11.0</v>
      </c>
      <c r="H61" s="164">
        <v>719.0</v>
      </c>
      <c r="I61" s="154">
        <v>22.0</v>
      </c>
      <c r="J61" s="154">
        <v>11.0</v>
      </c>
      <c r="K61" s="164">
        <v>4.2</v>
      </c>
      <c r="L61" s="164">
        <v>17.0</v>
      </c>
      <c r="M61" s="164">
        <v>11.0</v>
      </c>
      <c r="N61" s="164">
        <v>139.0</v>
      </c>
      <c r="O61" s="164">
        <v>41.0</v>
      </c>
      <c r="P61" s="154">
        <v>11.0</v>
      </c>
      <c r="Q61" s="223">
        <v>990.0</v>
      </c>
      <c r="R61" s="164">
        <v>10.0</v>
      </c>
      <c r="S61" s="154"/>
      <c r="T61" s="154"/>
      <c r="U61" s="154"/>
      <c r="V61" s="154">
        <v>11.0</v>
      </c>
      <c r="W61" s="223">
        <v>0.56</v>
      </c>
      <c r="X61" s="154"/>
      <c r="Y61" s="154">
        <v>11.0</v>
      </c>
      <c r="Z61" s="154">
        <v>82.5</v>
      </c>
      <c r="AA61" s="164">
        <v>16.0</v>
      </c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0">
        <v>11.0</v>
      </c>
      <c r="AO61" s="10">
        <v>48.0</v>
      </c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ht="16.5" customHeight="1">
      <c r="A62" s="154">
        <v>12.0</v>
      </c>
      <c r="B62" s="164">
        <v>3390.0</v>
      </c>
      <c r="C62" s="164">
        <v>-12.0</v>
      </c>
      <c r="D62" s="154">
        <v>12.0</v>
      </c>
      <c r="E62" s="223">
        <v>3060.0</v>
      </c>
      <c r="F62" s="164">
        <v>51.0</v>
      </c>
      <c r="G62" s="154">
        <v>12.0</v>
      </c>
      <c r="H62" s="164">
        <v>2040.0</v>
      </c>
      <c r="I62" s="154">
        <v>24.0</v>
      </c>
      <c r="J62" s="154">
        <v>12.0</v>
      </c>
      <c r="K62" s="164">
        <v>4.88</v>
      </c>
      <c r="L62" s="164">
        <v>18.5</v>
      </c>
      <c r="M62" s="164">
        <v>12.0</v>
      </c>
      <c r="N62" s="164">
        <v>368.0</v>
      </c>
      <c r="O62" s="164">
        <v>51.0</v>
      </c>
      <c r="P62" s="154">
        <v>12.0</v>
      </c>
      <c r="Q62" s="223">
        <v>2860.0</v>
      </c>
      <c r="R62" s="164">
        <v>11.0</v>
      </c>
      <c r="S62" s="154"/>
      <c r="T62" s="154"/>
      <c r="U62" s="154"/>
      <c r="V62" s="154">
        <v>12.0</v>
      </c>
      <c r="W62" s="223">
        <v>0.68</v>
      </c>
      <c r="X62" s="154"/>
      <c r="Y62" s="154">
        <v>12.0</v>
      </c>
      <c r="Z62" s="154">
        <v>101.7</v>
      </c>
      <c r="AA62" s="164">
        <v>18.0</v>
      </c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0">
        <v>12.0</v>
      </c>
      <c r="AO62" s="10">
        <v>57.0</v>
      </c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ht="16.5" customHeight="1">
      <c r="A63" s="154">
        <v>13.0</v>
      </c>
      <c r="B63" s="164">
        <v>11900.0</v>
      </c>
      <c r="C63" s="164">
        <v>-13.0</v>
      </c>
      <c r="D63" s="154">
        <v>13.0</v>
      </c>
      <c r="E63" s="223">
        <v>10600.0</v>
      </c>
      <c r="F63" s="164">
        <v>63.0</v>
      </c>
      <c r="G63" s="154">
        <v>13.0</v>
      </c>
      <c r="H63" s="164">
        <v>6920.0</v>
      </c>
      <c r="I63" s="154">
        <v>26.0</v>
      </c>
      <c r="J63" s="154">
        <v>13.0</v>
      </c>
      <c r="K63" s="164">
        <v>5.68</v>
      </c>
      <c r="L63" s="164">
        <v>20.0</v>
      </c>
      <c r="M63" s="164">
        <v>13.0</v>
      </c>
      <c r="N63" s="164">
        <v>1190.0</v>
      </c>
      <c r="O63" s="164">
        <v>63.0</v>
      </c>
      <c r="P63" s="154">
        <v>13.0</v>
      </c>
      <c r="Q63" s="223">
        <v>9930.0</v>
      </c>
      <c r="R63" s="164">
        <v>12.0</v>
      </c>
      <c r="S63" s="154"/>
      <c r="T63" s="154"/>
      <c r="U63" s="154"/>
      <c r="V63" s="154">
        <v>13.0</v>
      </c>
      <c r="W63" s="223">
        <v>0.81</v>
      </c>
      <c r="X63" s="154"/>
      <c r="Y63" s="154">
        <v>13.0</v>
      </c>
      <c r="Z63" s="154">
        <v>126.7</v>
      </c>
      <c r="AA63" s="164">
        <v>20.0</v>
      </c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0">
        <v>13.0</v>
      </c>
      <c r="AO63" s="10">
        <v>68.0</v>
      </c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ht="16.5" customHeight="1">
      <c r="A64" s="154">
        <v>14.0</v>
      </c>
      <c r="B64" s="164">
        <v>45800.0</v>
      </c>
      <c r="C64" s="164">
        <v>-14.0</v>
      </c>
      <c r="D64" s="154">
        <v>14.0</v>
      </c>
      <c r="E64" s="223">
        <v>39800.0</v>
      </c>
      <c r="F64" s="164">
        <v>77.0</v>
      </c>
      <c r="G64" s="154">
        <v>14.0</v>
      </c>
      <c r="H64" s="164">
        <v>25700.0</v>
      </c>
      <c r="I64" s="154">
        <v>28.0</v>
      </c>
      <c r="J64" s="154">
        <v>14.0</v>
      </c>
      <c r="K64" s="164">
        <v>6.55</v>
      </c>
      <c r="L64" s="164">
        <v>21.5</v>
      </c>
      <c r="M64" s="164">
        <v>14.0</v>
      </c>
      <c r="N64" s="164">
        <v>4200.0</v>
      </c>
      <c r="O64" s="164">
        <v>77.0</v>
      </c>
      <c r="P64" s="154">
        <v>14.0</v>
      </c>
      <c r="Q64" s="223">
        <v>37700.0</v>
      </c>
      <c r="R64" s="164">
        <v>13.0</v>
      </c>
      <c r="S64" s="154"/>
      <c r="T64" s="154"/>
      <c r="U64" s="154"/>
      <c r="V64" s="154">
        <v>14.0</v>
      </c>
      <c r="W64" s="223">
        <v>0.97</v>
      </c>
      <c r="X64" s="154"/>
      <c r="Y64" s="154">
        <v>14.0</v>
      </c>
      <c r="Z64" s="154">
        <v>154.9</v>
      </c>
      <c r="AA64" s="164">
        <v>23.0</v>
      </c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0">
        <v>14.0</v>
      </c>
      <c r="AO64" s="10">
        <v>80.0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ht="16.5" customHeight="1">
      <c r="A65" s="154">
        <v>15.0</v>
      </c>
      <c r="B65" s="224">
        <v>209000.0</v>
      </c>
      <c r="C65" s="164">
        <v>-15.0</v>
      </c>
      <c r="D65" s="154">
        <v>15.0</v>
      </c>
      <c r="E65" s="223">
        <v>177000.0</v>
      </c>
      <c r="F65" s="164">
        <v>95.0</v>
      </c>
      <c r="G65" s="154">
        <v>15.0</v>
      </c>
      <c r="H65" s="164">
        <v>113000.0</v>
      </c>
      <c r="I65" s="154">
        <v>30.0</v>
      </c>
      <c r="J65" s="154">
        <v>15.0</v>
      </c>
      <c r="K65" s="164">
        <v>7.54</v>
      </c>
      <c r="L65" s="164">
        <v>23.0</v>
      </c>
      <c r="M65" s="164">
        <v>15.0</v>
      </c>
      <c r="N65" s="164">
        <v>17900.0</v>
      </c>
      <c r="O65" s="164">
        <v>95.0</v>
      </c>
      <c r="P65" s="154">
        <v>15.0</v>
      </c>
      <c r="Q65" s="223">
        <v>170000.0</v>
      </c>
      <c r="R65" s="164">
        <v>14.0</v>
      </c>
      <c r="S65" s="154"/>
      <c r="T65" s="154"/>
      <c r="U65" s="154"/>
      <c r="V65" s="154">
        <v>15.0</v>
      </c>
      <c r="W65" s="223">
        <v>1.15</v>
      </c>
      <c r="X65" s="154"/>
      <c r="Y65" s="154">
        <v>15.0</v>
      </c>
      <c r="Z65" s="154">
        <v>189.5</v>
      </c>
      <c r="AA65" s="164">
        <v>26.0</v>
      </c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0">
        <v>15.0</v>
      </c>
      <c r="AO65" s="10">
        <v>94.0</v>
      </c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ht="16.5" customHeight="1">
      <c r="A66" s="154">
        <v>16.0</v>
      </c>
      <c r="B66" s="224">
        <v>1130000.0</v>
      </c>
      <c r="C66" s="164">
        <v>-16.0</v>
      </c>
      <c r="D66" s="154">
        <v>16.0</v>
      </c>
      <c r="E66" s="224">
        <v>931000.0</v>
      </c>
      <c r="F66" s="164">
        <v>115.0</v>
      </c>
      <c r="G66" s="154">
        <v>16.0</v>
      </c>
      <c r="H66" s="164">
        <v>595000.0</v>
      </c>
      <c r="I66" s="164">
        <v>33.0</v>
      </c>
      <c r="J66" s="154">
        <v>16.0</v>
      </c>
      <c r="K66" s="164">
        <v>8.66</v>
      </c>
      <c r="L66" s="164">
        <v>24.5</v>
      </c>
      <c r="M66" s="164">
        <v>16.0</v>
      </c>
      <c r="N66" s="164">
        <v>91100.0</v>
      </c>
      <c r="O66" s="164">
        <v>115.0</v>
      </c>
      <c r="P66" s="154">
        <v>16.0</v>
      </c>
      <c r="Q66" s="224">
        <v>914000.0</v>
      </c>
      <c r="R66" s="164">
        <v>15.0</v>
      </c>
      <c r="S66" s="154"/>
      <c r="T66" s="154"/>
      <c r="U66" s="154"/>
      <c r="V66" s="154">
        <v>16.0</v>
      </c>
      <c r="W66" s="223">
        <v>1.37</v>
      </c>
      <c r="X66" s="154"/>
      <c r="Y66" s="154">
        <v>16.0</v>
      </c>
      <c r="Z66" s="154">
        <v>231.0</v>
      </c>
      <c r="AA66" s="164">
        <v>29.0</v>
      </c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0">
        <v>16.0</v>
      </c>
      <c r="AO66" s="10">
        <v>110.0</v>
      </c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ht="16.5" customHeight="1">
      <c r="A67" s="154">
        <v>17.0</v>
      </c>
      <c r="B67" s="224">
        <v>7750000.0</v>
      </c>
      <c r="C67" s="164">
        <v>-17.0</v>
      </c>
      <c r="D67" s="154">
        <v>17.0</v>
      </c>
      <c r="E67" s="224">
        <v>6230000.0</v>
      </c>
      <c r="F67" s="164">
        <v>142.0</v>
      </c>
      <c r="G67" s="154">
        <v>17.0</v>
      </c>
      <c r="H67" s="224">
        <v>4010000.0</v>
      </c>
      <c r="I67" s="164">
        <v>36.0</v>
      </c>
      <c r="J67" s="154">
        <v>17.0</v>
      </c>
      <c r="K67" s="164">
        <v>9.95</v>
      </c>
      <c r="L67" s="164">
        <v>26.0</v>
      </c>
      <c r="M67" s="164">
        <v>17.0</v>
      </c>
      <c r="N67" s="164">
        <v>603000.0</v>
      </c>
      <c r="O67" s="164">
        <v>142.0</v>
      </c>
      <c r="P67" s="154">
        <v>17.0</v>
      </c>
      <c r="Q67" s="224">
        <v>6290000.0</v>
      </c>
      <c r="R67" s="164">
        <v>16.0</v>
      </c>
      <c r="S67" s="154"/>
      <c r="T67" s="154"/>
      <c r="U67" s="154"/>
      <c r="V67" s="154">
        <v>17.0</v>
      </c>
      <c r="W67" s="223">
        <v>1.62</v>
      </c>
      <c r="X67" s="154"/>
      <c r="Y67" s="154">
        <v>17.0</v>
      </c>
      <c r="Z67" s="154">
        <v>283.1</v>
      </c>
      <c r="AA67" s="164">
        <v>33.0</v>
      </c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0">
        <v>17.0</v>
      </c>
      <c r="AO67" s="10">
        <v>129.0</v>
      </c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ht="16.5" customHeight="1">
      <c r="A68" s="154">
        <v>18.0</v>
      </c>
      <c r="B68" s="224">
        <v>6.77E7</v>
      </c>
      <c r="C68" s="164">
        <v>-18.0</v>
      </c>
      <c r="D68" s="154">
        <v>18.0</v>
      </c>
      <c r="E68" s="224">
        <v>5.26E7</v>
      </c>
      <c r="F68" s="164">
        <v>173.0</v>
      </c>
      <c r="G68" s="154">
        <v>18.0</v>
      </c>
      <c r="H68" s="224">
        <v>3.44E7</v>
      </c>
      <c r="I68" s="164">
        <v>39.0</v>
      </c>
      <c r="J68" s="154">
        <v>18.0</v>
      </c>
      <c r="K68" s="164">
        <v>11.43</v>
      </c>
      <c r="L68" s="164">
        <v>27.5</v>
      </c>
      <c r="M68" s="164">
        <v>18.0</v>
      </c>
      <c r="N68" s="224">
        <v>5150000.0</v>
      </c>
      <c r="O68" s="164">
        <v>173.0</v>
      </c>
      <c r="P68" s="154">
        <v>18.0</v>
      </c>
      <c r="Q68" s="224">
        <v>5.53E7</v>
      </c>
      <c r="R68" s="164">
        <v>17.0</v>
      </c>
      <c r="S68" s="154"/>
      <c r="T68" s="154"/>
      <c r="U68" s="154"/>
      <c r="V68" s="154">
        <v>18.0</v>
      </c>
      <c r="W68" s="223">
        <v>1.92</v>
      </c>
      <c r="X68" s="154"/>
      <c r="Y68" s="154">
        <v>18.0</v>
      </c>
      <c r="Z68" s="154">
        <v>346.7</v>
      </c>
      <c r="AA68" s="164">
        <v>38.0</v>
      </c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0">
        <v>18.0</v>
      </c>
      <c r="AO68" s="10">
        <v>151.0</v>
      </c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ht="16.5" customHeight="1">
      <c r="A69" s="154">
        <v>19.0</v>
      </c>
      <c r="B69" s="224">
        <v>7.45E8</v>
      </c>
      <c r="C69" s="164">
        <v>-19.0</v>
      </c>
      <c r="D69" s="154">
        <v>19.0</v>
      </c>
      <c r="E69" s="224">
        <v>5.59E8</v>
      </c>
      <c r="F69" s="164">
        <v>211.0</v>
      </c>
      <c r="G69" s="154">
        <v>19.0</v>
      </c>
      <c r="H69" s="224">
        <v>3.75E8</v>
      </c>
      <c r="I69" s="164">
        <v>42.0</v>
      </c>
      <c r="J69" s="154">
        <v>19.0</v>
      </c>
      <c r="K69" s="164">
        <v>13.09</v>
      </c>
      <c r="L69" s="164">
        <v>29.0</v>
      </c>
      <c r="M69" s="164">
        <v>19.0</v>
      </c>
      <c r="N69" s="224">
        <v>5.63E7</v>
      </c>
      <c r="O69" s="164">
        <v>211.0</v>
      </c>
      <c r="P69" s="154">
        <v>19.0</v>
      </c>
      <c r="Q69" s="224">
        <v>6.16E8</v>
      </c>
      <c r="R69" s="164">
        <v>18.0</v>
      </c>
      <c r="S69" s="154"/>
      <c r="T69" s="154"/>
      <c r="U69" s="154"/>
      <c r="V69" s="154">
        <v>19.0</v>
      </c>
      <c r="W69" s="223">
        <v>2.26</v>
      </c>
      <c r="X69" s="154"/>
      <c r="Y69" s="154">
        <v>19.0</v>
      </c>
      <c r="Z69" s="154">
        <v>422.2</v>
      </c>
      <c r="AA69" s="164">
        <v>44.0</v>
      </c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0">
        <v>19.0</v>
      </c>
      <c r="AO69" s="10">
        <v>176.0</v>
      </c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ht="16.5" customHeight="1">
      <c r="A70" s="154">
        <v>20.0</v>
      </c>
      <c r="B70" s="224">
        <v>1.03E10</v>
      </c>
      <c r="C70" s="164">
        <v>-20.0</v>
      </c>
      <c r="D70" s="154">
        <v>20.0</v>
      </c>
      <c r="E70" s="224">
        <v>7.42E9</v>
      </c>
      <c r="F70" s="164">
        <v>255.0</v>
      </c>
      <c r="G70" s="154">
        <v>20.0</v>
      </c>
      <c r="H70" s="224">
        <v>5.15E9</v>
      </c>
      <c r="I70" s="164">
        <v>45.0</v>
      </c>
      <c r="J70" s="154">
        <v>20.0</v>
      </c>
      <c r="K70" s="164">
        <v>14.94</v>
      </c>
      <c r="L70" s="164">
        <v>30.5</v>
      </c>
      <c r="M70" s="164">
        <v>20.0</v>
      </c>
      <c r="N70" s="224">
        <v>7.85E8</v>
      </c>
      <c r="O70" s="164">
        <v>255.0</v>
      </c>
      <c r="P70" s="154">
        <v>20.0</v>
      </c>
      <c r="Q70" s="224">
        <v>8.66E9</v>
      </c>
      <c r="R70" s="164">
        <v>20.0</v>
      </c>
      <c r="S70" s="154"/>
      <c r="T70" s="154"/>
      <c r="U70" s="154"/>
      <c r="V70" s="154">
        <v>20.0</v>
      </c>
      <c r="W70" s="225">
        <v>2.65</v>
      </c>
      <c r="X70" s="226"/>
      <c r="Y70" s="154">
        <v>20.0</v>
      </c>
      <c r="Z70" s="154">
        <v>510.0</v>
      </c>
      <c r="AA70" s="164">
        <v>51.0</v>
      </c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0">
        <v>20.0</v>
      </c>
      <c r="AO70" s="10">
        <v>204.0</v>
      </c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ht="16.5" customHeight="1">
      <c r="A71" s="154">
        <v>21.0</v>
      </c>
      <c r="B71" s="224">
        <v>2.05E11</v>
      </c>
      <c r="C71" s="164">
        <v>-21.0</v>
      </c>
      <c r="D71" s="154">
        <v>21.0</v>
      </c>
      <c r="E71" s="224">
        <v>1.42E11</v>
      </c>
      <c r="F71" s="164">
        <v>310.0</v>
      </c>
      <c r="G71" s="154">
        <v>21.0</v>
      </c>
      <c r="H71" s="224">
        <v>1.04E11</v>
      </c>
      <c r="I71" s="164">
        <v>48.0</v>
      </c>
      <c r="J71" s="154">
        <v>21.0</v>
      </c>
      <c r="K71" s="164">
        <v>17.09</v>
      </c>
      <c r="L71" s="164">
        <v>32.0</v>
      </c>
      <c r="M71" s="164">
        <v>21.0</v>
      </c>
      <c r="N71" s="224">
        <v>1.63E10</v>
      </c>
      <c r="O71" s="164">
        <v>310.0</v>
      </c>
      <c r="P71" s="154">
        <v>21.0</v>
      </c>
      <c r="Q71" s="224">
        <v>1.78E11</v>
      </c>
      <c r="R71" s="164">
        <v>22.0</v>
      </c>
      <c r="S71" s="154"/>
      <c r="T71" s="154"/>
      <c r="U71" s="154"/>
      <c r="V71" s="154">
        <v>21.0</v>
      </c>
      <c r="W71" s="227">
        <v>3.12</v>
      </c>
      <c r="X71" s="228"/>
      <c r="Y71" s="154">
        <v>21.0</v>
      </c>
      <c r="Z71" s="164">
        <v>619.6</v>
      </c>
      <c r="AA71" s="164">
        <v>59.0</v>
      </c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0">
        <v>21.0</v>
      </c>
      <c r="AO71" s="120">
        <v>237.0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ht="16.5" customHeight="1">
      <c r="A72" s="154">
        <v>22.0</v>
      </c>
      <c r="B72" s="224">
        <v>5.87E12</v>
      </c>
      <c r="C72" s="164">
        <v>-22.0</v>
      </c>
      <c r="D72" s="154">
        <v>22.0</v>
      </c>
      <c r="E72" s="224">
        <v>3.87E12</v>
      </c>
      <c r="F72" s="164">
        <v>376.0</v>
      </c>
      <c r="G72" s="154">
        <v>22.0</v>
      </c>
      <c r="H72" s="224">
        <v>3.04E12</v>
      </c>
      <c r="I72" s="164">
        <v>51.0</v>
      </c>
      <c r="J72" s="154">
        <v>22.0</v>
      </c>
      <c r="K72" s="164">
        <v>19.55</v>
      </c>
      <c r="L72" s="164">
        <v>33.5</v>
      </c>
      <c r="M72" s="164">
        <v>22.0</v>
      </c>
      <c r="N72" s="224">
        <v>4.96E11</v>
      </c>
      <c r="O72" s="164">
        <v>376.0</v>
      </c>
      <c r="P72" s="154">
        <v>22.0</v>
      </c>
      <c r="Q72" s="224">
        <v>5.33E12</v>
      </c>
      <c r="R72" s="164">
        <v>24.0</v>
      </c>
      <c r="S72" s="154"/>
      <c r="T72" s="154"/>
      <c r="U72" s="154"/>
      <c r="V72" s="154">
        <v>22.0</v>
      </c>
      <c r="W72" s="227">
        <v>3.66</v>
      </c>
      <c r="X72" s="228"/>
      <c r="Y72" s="154">
        <v>22.0</v>
      </c>
      <c r="Z72" s="164">
        <v>752.0</v>
      </c>
      <c r="AA72" s="164">
        <v>68.0</v>
      </c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0">
        <v>22.0</v>
      </c>
      <c r="AO72" s="120">
        <v>275.0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ht="16.5" customHeight="1">
      <c r="A73" s="154">
        <v>23.0</v>
      </c>
      <c r="B73" s="224">
        <v>2.39E14</v>
      </c>
      <c r="C73" s="164">
        <v>-23.0</v>
      </c>
      <c r="D73" s="154">
        <v>23.0</v>
      </c>
      <c r="E73" s="224">
        <v>1.49E14</v>
      </c>
      <c r="F73" s="164">
        <v>454.0</v>
      </c>
      <c r="G73" s="154">
        <v>23.0</v>
      </c>
      <c r="H73" s="224">
        <v>1.28E14</v>
      </c>
      <c r="I73" s="164">
        <v>54.0</v>
      </c>
      <c r="J73" s="154">
        <v>23.0</v>
      </c>
      <c r="K73" s="164">
        <v>22.35</v>
      </c>
      <c r="L73" s="164">
        <v>35.0</v>
      </c>
      <c r="M73" s="164">
        <v>23.0</v>
      </c>
      <c r="N73" s="224">
        <v>2.21E13</v>
      </c>
      <c r="O73" s="164">
        <v>454.0</v>
      </c>
      <c r="P73" s="154">
        <v>23.0</v>
      </c>
      <c r="Q73" s="224">
        <v>2.3E14</v>
      </c>
      <c r="R73" s="164">
        <v>26.0</v>
      </c>
      <c r="S73" s="154"/>
      <c r="T73" s="154"/>
      <c r="U73" s="154"/>
      <c r="V73" s="154">
        <v>23.0</v>
      </c>
      <c r="W73" s="227">
        <v>4.28</v>
      </c>
      <c r="X73" s="228"/>
      <c r="Y73" s="154">
        <v>23.0</v>
      </c>
      <c r="Z73" s="164">
        <v>908.4</v>
      </c>
      <c r="AA73" s="164">
        <v>78.0</v>
      </c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0">
        <v>23.0</v>
      </c>
      <c r="AO73" s="120">
        <v>318.0</v>
      </c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ht="16.5" customHeight="1">
      <c r="A74" s="154">
        <v>24.0</v>
      </c>
      <c r="B74" s="224">
        <v>1.57E16</v>
      </c>
      <c r="C74" s="164">
        <v>-24.0</v>
      </c>
      <c r="D74" s="154">
        <v>24.0</v>
      </c>
      <c r="E74" s="224">
        <v>9.32E15</v>
      </c>
      <c r="F74" s="164">
        <v>550.0</v>
      </c>
      <c r="G74" s="154">
        <v>24.0</v>
      </c>
      <c r="H74" s="224">
        <v>8.99E15</v>
      </c>
      <c r="I74" s="164">
        <v>57.0</v>
      </c>
      <c r="J74" s="154">
        <v>24.0</v>
      </c>
      <c r="K74" s="164">
        <v>25.6</v>
      </c>
      <c r="L74" s="164">
        <v>36.5</v>
      </c>
      <c r="M74" s="164">
        <v>24.0</v>
      </c>
      <c r="N74" s="224">
        <v>1.67E15</v>
      </c>
      <c r="O74" s="164">
        <v>550.0</v>
      </c>
      <c r="P74" s="154">
        <v>24.0</v>
      </c>
      <c r="Q74" s="224">
        <v>1.65E16</v>
      </c>
      <c r="R74" s="164">
        <v>28.0</v>
      </c>
      <c r="S74" s="154"/>
      <c r="T74" s="154"/>
      <c r="U74" s="154"/>
      <c r="V74" s="154">
        <v>24.0</v>
      </c>
      <c r="W74" s="227">
        <v>5.01</v>
      </c>
      <c r="X74" s="228"/>
      <c r="Y74" s="154">
        <v>24.0</v>
      </c>
      <c r="Z74" s="164">
        <v>1099.8</v>
      </c>
      <c r="AA74" s="164">
        <v>89.0</v>
      </c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0">
        <v>24.0</v>
      </c>
      <c r="AO74" s="120">
        <v>368.0</v>
      </c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ht="16.5" customHeight="1">
      <c r="A75" s="154">
        <v>25.0</v>
      </c>
      <c r="B75" s="224">
        <v>1.67E18</v>
      </c>
      <c r="C75" s="164">
        <v>-25.0</v>
      </c>
      <c r="D75" s="154">
        <v>25.0</v>
      </c>
      <c r="E75" s="224">
        <v>9.32E17</v>
      </c>
      <c r="F75" s="164">
        <v>664.0</v>
      </c>
      <c r="G75" s="154">
        <v>25.0</v>
      </c>
      <c r="H75" s="224">
        <v>1.04E18</v>
      </c>
      <c r="I75" s="164">
        <v>60.0</v>
      </c>
      <c r="J75" s="154">
        <v>25.0</v>
      </c>
      <c r="K75" s="164">
        <v>29.33</v>
      </c>
      <c r="L75" s="164">
        <v>38.0</v>
      </c>
      <c r="M75" s="164">
        <v>25.0</v>
      </c>
      <c r="N75" s="224">
        <v>2.11E17</v>
      </c>
      <c r="O75" s="164">
        <v>664.0</v>
      </c>
      <c r="P75" s="154">
        <v>25.0</v>
      </c>
      <c r="Q75" s="224">
        <v>1.96E18</v>
      </c>
      <c r="R75" s="164">
        <v>30.0</v>
      </c>
      <c r="S75" s="154"/>
      <c r="T75" s="154"/>
      <c r="U75" s="154"/>
      <c r="V75" s="154">
        <v>25.0</v>
      </c>
      <c r="W75" s="227">
        <v>5.84</v>
      </c>
      <c r="X75" s="228"/>
      <c r="Y75" s="154">
        <v>25.0</v>
      </c>
      <c r="Z75" s="164">
        <v>1328.1</v>
      </c>
      <c r="AA75" s="164">
        <v>101.0</v>
      </c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0">
        <v>25.0</v>
      </c>
      <c r="AO75" s="120">
        <v>425.0</v>
      </c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ht="16.5" customHeight="1">
      <c r="A76" s="115">
        <v>1.0</v>
      </c>
      <c r="B76" s="229">
        <v>2.5</v>
      </c>
      <c r="C76" s="115">
        <v>1.0</v>
      </c>
      <c r="D76" s="115"/>
      <c r="E76" s="115"/>
      <c r="F76" s="115"/>
      <c r="G76" s="115">
        <v>1.0</v>
      </c>
      <c r="H76" s="230">
        <v>2.0</v>
      </c>
      <c r="I76" s="230">
        <v>3.5</v>
      </c>
      <c r="J76" s="115">
        <v>1.0</v>
      </c>
      <c r="K76" s="229">
        <v>1.21</v>
      </c>
      <c r="L76" s="115"/>
      <c r="M76" s="115"/>
      <c r="N76" s="115"/>
      <c r="O76" s="115"/>
      <c r="P76" s="115">
        <v>1.0</v>
      </c>
      <c r="Q76" s="229">
        <v>3.5</v>
      </c>
      <c r="R76" s="115">
        <v>0.8</v>
      </c>
      <c r="S76" s="115">
        <v>1.0</v>
      </c>
      <c r="T76" s="230">
        <v>2.0</v>
      </c>
      <c r="U76" s="230">
        <v>0.0</v>
      </c>
      <c r="V76" s="231">
        <v>1.0</v>
      </c>
      <c r="W76" s="230">
        <v>10.0</v>
      </c>
      <c r="X76" s="230">
        <v>93.8</v>
      </c>
      <c r="Y76" s="54">
        <v>1.0</v>
      </c>
      <c r="Z76" s="229">
        <v>1.31</v>
      </c>
      <c r="AA76" s="115">
        <v>1.042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0">
        <v>1.0</v>
      </c>
      <c r="AO76" s="10">
        <v>3.0</v>
      </c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ht="16.5" customHeight="1">
      <c r="A77" s="115">
        <v>2.0</v>
      </c>
      <c r="B77" s="229">
        <v>6.19</v>
      </c>
      <c r="C77" s="115">
        <v>2.0</v>
      </c>
      <c r="D77" s="115"/>
      <c r="E77" s="232"/>
      <c r="F77" s="115"/>
      <c r="G77" s="115">
        <v>2.0</v>
      </c>
      <c r="H77" s="230">
        <v>5.07</v>
      </c>
      <c r="I77" s="230">
        <v>7.0</v>
      </c>
      <c r="J77" s="115">
        <v>2.0</v>
      </c>
      <c r="K77" s="229">
        <v>1.45</v>
      </c>
      <c r="L77" s="115"/>
      <c r="M77" s="115"/>
      <c r="N77" s="115"/>
      <c r="O77" s="115"/>
      <c r="P77" s="115">
        <v>2.0</v>
      </c>
      <c r="Q77" s="230">
        <v>10.0</v>
      </c>
      <c r="R77" s="115">
        <v>0.9</v>
      </c>
      <c r="S77" s="115">
        <v>2.0</v>
      </c>
      <c r="T77" s="230">
        <v>4.0</v>
      </c>
      <c r="U77" s="230">
        <v>0.0</v>
      </c>
      <c r="V77" s="231">
        <v>2.0</v>
      </c>
      <c r="W77" s="230">
        <v>15.32</v>
      </c>
      <c r="X77" s="230">
        <v>94.1</v>
      </c>
      <c r="Y77" s="54">
        <v>2.0</v>
      </c>
      <c r="Z77" s="229">
        <v>1.7</v>
      </c>
      <c r="AA77" s="115">
        <v>1.087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0">
        <v>2.0</v>
      </c>
      <c r="AO77" s="10">
        <v>7.0</v>
      </c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ht="16.5" customHeight="1">
      <c r="A78" s="115">
        <v>3.0</v>
      </c>
      <c r="B78" s="229">
        <v>17.7</v>
      </c>
      <c r="C78" s="115">
        <v>3.0</v>
      </c>
      <c r="D78" s="115"/>
      <c r="E78" s="115"/>
      <c r="F78" s="115"/>
      <c r="G78" s="115">
        <v>3.0</v>
      </c>
      <c r="H78" s="230">
        <v>14.9</v>
      </c>
      <c r="I78" s="230">
        <v>10.5</v>
      </c>
      <c r="J78" s="115">
        <v>3.0</v>
      </c>
      <c r="K78" s="229">
        <v>1.8</v>
      </c>
      <c r="L78" s="115"/>
      <c r="M78" s="115"/>
      <c r="N78" s="115"/>
      <c r="O78" s="115"/>
      <c r="P78" s="115">
        <v>3.0</v>
      </c>
      <c r="Q78" s="230">
        <v>33.6</v>
      </c>
      <c r="R78" s="115">
        <v>1.0</v>
      </c>
      <c r="S78" s="115">
        <v>3.0</v>
      </c>
      <c r="T78" s="230">
        <v>6.5</v>
      </c>
      <c r="U78" s="230">
        <v>0.0</v>
      </c>
      <c r="V78" s="231">
        <v>3.0</v>
      </c>
      <c r="W78" s="230">
        <v>20.72</v>
      </c>
      <c r="X78" s="230">
        <v>94.4</v>
      </c>
      <c r="Y78" s="54">
        <v>3.0</v>
      </c>
      <c r="Z78" s="229">
        <v>2.31</v>
      </c>
      <c r="AA78" s="115">
        <v>1.136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0">
        <v>3.0</v>
      </c>
      <c r="AO78" s="10">
        <v>12.0</v>
      </c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ht="16.5" customHeight="1">
      <c r="A79" s="115">
        <v>4.0</v>
      </c>
      <c r="B79" s="229">
        <v>66.6</v>
      </c>
      <c r="C79" s="115">
        <v>4.0</v>
      </c>
      <c r="D79" s="115"/>
      <c r="E79" s="115"/>
      <c r="F79" s="115"/>
      <c r="G79" s="115">
        <v>4.0</v>
      </c>
      <c r="H79" s="230">
        <v>58.4</v>
      </c>
      <c r="I79" s="230">
        <v>14.0</v>
      </c>
      <c r="J79" s="115">
        <v>4.0</v>
      </c>
      <c r="K79" s="229">
        <v>2.36</v>
      </c>
      <c r="L79" s="115"/>
      <c r="M79" s="115"/>
      <c r="N79" s="115"/>
      <c r="O79" s="115"/>
      <c r="P79" s="115">
        <v>4.0</v>
      </c>
      <c r="Q79" s="230">
        <v>153.0</v>
      </c>
      <c r="R79" s="115">
        <v>1.1</v>
      </c>
      <c r="S79" s="115">
        <v>4.0</v>
      </c>
      <c r="T79" s="230">
        <v>10.0</v>
      </c>
      <c r="U79" s="230">
        <v>0.0</v>
      </c>
      <c r="V79" s="231">
        <v>4.0</v>
      </c>
      <c r="W79" s="230">
        <v>26.71</v>
      </c>
      <c r="X79" s="230">
        <v>94.7</v>
      </c>
      <c r="Y79" s="54">
        <v>4.0</v>
      </c>
      <c r="Z79" s="229">
        <v>3.4</v>
      </c>
      <c r="AA79" s="115">
        <v>1.19</v>
      </c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0">
        <v>4.0</v>
      </c>
      <c r="AO79" s="10">
        <v>19.0</v>
      </c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ht="16.5" customHeight="1">
      <c r="A80" s="115">
        <v>5.0</v>
      </c>
      <c r="B80" s="229">
        <v>325.0</v>
      </c>
      <c r="C80" s="115">
        <v>5.0</v>
      </c>
      <c r="D80" s="115"/>
      <c r="E80" s="115"/>
      <c r="F80" s="115"/>
      <c r="G80" s="115">
        <v>5.0</v>
      </c>
      <c r="H80" s="230">
        <v>298.0</v>
      </c>
      <c r="I80" s="230">
        <v>17.5</v>
      </c>
      <c r="J80" s="115">
        <v>5.0</v>
      </c>
      <c r="K80" s="229">
        <v>3.25</v>
      </c>
      <c r="L80" s="115"/>
      <c r="M80" s="115"/>
      <c r="N80" s="115"/>
      <c r="O80" s="115"/>
      <c r="P80" s="115">
        <v>5.0</v>
      </c>
      <c r="Q80" s="230">
        <v>925.0</v>
      </c>
      <c r="R80" s="115">
        <v>1.2</v>
      </c>
      <c r="S80" s="115">
        <v>5.0</v>
      </c>
      <c r="T80" s="230">
        <v>14.5</v>
      </c>
      <c r="U80" s="230">
        <v>0.0</v>
      </c>
      <c r="V80" s="231">
        <v>5.0</v>
      </c>
      <c r="W80" s="230">
        <v>32.88</v>
      </c>
      <c r="X80" s="230">
        <v>95.0</v>
      </c>
      <c r="Y80" s="54">
        <v>5.0</v>
      </c>
      <c r="Z80" s="229">
        <v>5.4</v>
      </c>
      <c r="AA80" s="115">
        <v>1.25</v>
      </c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0">
        <v>5.0</v>
      </c>
      <c r="AO80" s="10">
        <v>28.0</v>
      </c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ht="16.5" customHeight="1">
      <c r="A81" s="115">
        <v>6.0</v>
      </c>
      <c r="B81" s="229">
        <v>2280.0</v>
      </c>
      <c r="C81" s="115">
        <v>6.0</v>
      </c>
      <c r="D81" s="115"/>
      <c r="E81" s="115"/>
      <c r="F81" s="115"/>
      <c r="G81" s="115">
        <v>6.0</v>
      </c>
      <c r="H81" s="230">
        <v>2220.0</v>
      </c>
      <c r="I81" s="230">
        <v>21.0</v>
      </c>
      <c r="J81" s="115">
        <v>6.0</v>
      </c>
      <c r="K81" s="229">
        <v>4.84</v>
      </c>
      <c r="L81" s="115"/>
      <c r="M81" s="115"/>
      <c r="N81" s="115"/>
      <c r="O81" s="115"/>
      <c r="P81" s="115">
        <v>6.0</v>
      </c>
      <c r="Q81" s="230">
        <v>8340.0</v>
      </c>
      <c r="R81" s="115">
        <v>1.3</v>
      </c>
      <c r="S81" s="115">
        <v>6.0</v>
      </c>
      <c r="T81" s="230">
        <v>20.5</v>
      </c>
      <c r="U81" s="230">
        <v>0.0</v>
      </c>
      <c r="V81" s="231">
        <v>6.0</v>
      </c>
      <c r="W81" s="230">
        <v>39.42</v>
      </c>
      <c r="X81" s="230">
        <v>95.3</v>
      </c>
      <c r="Y81" s="54">
        <v>6.0</v>
      </c>
      <c r="Z81" s="229">
        <v>9.54</v>
      </c>
      <c r="AA81" s="115">
        <v>1.316</v>
      </c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0">
        <v>6.0</v>
      </c>
      <c r="AO81" s="10">
        <v>40.0</v>
      </c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ht="16.5" customHeight="1">
      <c r="A82" s="115">
        <v>7.0</v>
      </c>
      <c r="B82" s="229">
        <v>25100.0</v>
      </c>
      <c r="C82" s="115">
        <v>8.0</v>
      </c>
      <c r="D82" s="115"/>
      <c r="E82" s="115"/>
      <c r="F82" s="115"/>
      <c r="G82" s="115">
        <v>7.0</v>
      </c>
      <c r="H82" s="230">
        <v>26300.0</v>
      </c>
      <c r="I82" s="230">
        <v>24.5</v>
      </c>
      <c r="J82" s="115">
        <v>7.0</v>
      </c>
      <c r="K82" s="229">
        <v>7.9</v>
      </c>
      <c r="L82" s="115"/>
      <c r="M82" s="115"/>
      <c r="N82" s="115"/>
      <c r="O82" s="115"/>
      <c r="P82" s="115">
        <v>7.0</v>
      </c>
      <c r="Q82" s="230">
        <v>123000.0</v>
      </c>
      <c r="R82" s="115">
        <v>1.4</v>
      </c>
      <c r="S82" s="115">
        <v>7.0</v>
      </c>
      <c r="T82" s="230">
        <v>28.5</v>
      </c>
      <c r="U82" s="230">
        <v>0.0</v>
      </c>
      <c r="V82" s="231">
        <v>7.0</v>
      </c>
      <c r="W82" s="230">
        <v>46.27</v>
      </c>
      <c r="X82" s="230">
        <v>95.6</v>
      </c>
      <c r="Y82" s="54">
        <v>7.0</v>
      </c>
      <c r="Z82" s="229">
        <v>19.2</v>
      </c>
      <c r="AA82" s="115">
        <v>1.389</v>
      </c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0">
        <v>7.0</v>
      </c>
      <c r="AO82" s="10">
        <v>56.0</v>
      </c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ht="16.5" customHeight="1">
      <c r="A83" s="115">
        <v>8.0</v>
      </c>
      <c r="B83" s="233">
        <v>463000.0</v>
      </c>
      <c r="C83" s="115">
        <v>10.0</v>
      </c>
      <c r="D83" s="115"/>
      <c r="E83" s="115"/>
      <c r="F83" s="115"/>
      <c r="G83" s="115">
        <v>8.0</v>
      </c>
      <c r="H83" s="230">
        <v>529000.0</v>
      </c>
      <c r="I83" s="230">
        <v>28.0</v>
      </c>
      <c r="J83" s="115">
        <v>8.0</v>
      </c>
      <c r="K83" s="229">
        <v>14.3</v>
      </c>
      <c r="L83" s="115"/>
      <c r="M83" s="115"/>
      <c r="N83" s="115"/>
      <c r="O83" s="115"/>
      <c r="P83" s="115">
        <v>8.0</v>
      </c>
      <c r="Q83" s="233">
        <v>3180000.0</v>
      </c>
      <c r="R83" s="115">
        <v>1.5</v>
      </c>
      <c r="S83" s="115">
        <v>8.0</v>
      </c>
      <c r="T83" s="230">
        <v>39.0</v>
      </c>
      <c r="U83" s="230">
        <v>0.0</v>
      </c>
      <c r="V83" s="231">
        <v>8.0</v>
      </c>
      <c r="W83" s="230">
        <v>53.23</v>
      </c>
      <c r="X83" s="230">
        <v>95.9</v>
      </c>
      <c r="Y83" s="54">
        <v>8.0</v>
      </c>
      <c r="Z83" s="229">
        <v>44.9</v>
      </c>
      <c r="AA83" s="115">
        <v>1.471</v>
      </c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0">
        <v>8.0</v>
      </c>
      <c r="AO83" s="10">
        <v>77.0</v>
      </c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ht="16.5" customHeight="1">
      <c r="A84" s="115">
        <v>9.0</v>
      </c>
      <c r="B84" s="233">
        <v>1.53E7</v>
      </c>
      <c r="C84" s="115">
        <v>12.0</v>
      </c>
      <c r="D84" s="115"/>
      <c r="E84" s="115"/>
      <c r="F84" s="115"/>
      <c r="G84" s="115">
        <v>9.0</v>
      </c>
      <c r="H84" s="233">
        <v>1.94E7</v>
      </c>
      <c r="I84" s="230">
        <v>31.5</v>
      </c>
      <c r="J84" s="115">
        <v>9.0</v>
      </c>
      <c r="K84" s="229">
        <v>29.2</v>
      </c>
      <c r="L84" s="115"/>
      <c r="M84" s="115"/>
      <c r="N84" s="115"/>
      <c r="O84" s="115"/>
      <c r="P84" s="115">
        <v>9.0</v>
      </c>
      <c r="Q84" s="233">
        <v>1.54E8</v>
      </c>
      <c r="R84" s="115">
        <v>1.6</v>
      </c>
      <c r="S84" s="115">
        <v>9.0</v>
      </c>
      <c r="T84" s="230">
        <v>52.5</v>
      </c>
      <c r="U84" s="230">
        <v>0.0</v>
      </c>
      <c r="V84" s="115">
        <v>9.0</v>
      </c>
      <c r="W84" s="230">
        <v>60.03</v>
      </c>
      <c r="X84" s="230">
        <v>96.2</v>
      </c>
      <c r="Y84" s="115">
        <v>9.0</v>
      </c>
      <c r="Z84" s="229">
        <v>125.0</v>
      </c>
      <c r="AA84" s="115">
        <v>1.563</v>
      </c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0">
        <v>9.0</v>
      </c>
      <c r="AO84" s="10">
        <v>104.0</v>
      </c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ht="16.5" customHeight="1">
      <c r="A85" s="115">
        <v>10.0</v>
      </c>
      <c r="B85" s="233">
        <v>1.04E9</v>
      </c>
      <c r="C85" s="230">
        <v>15.0</v>
      </c>
      <c r="D85" s="115"/>
      <c r="E85" s="115"/>
      <c r="F85" s="115"/>
      <c r="G85" s="115">
        <v>10.0</v>
      </c>
      <c r="H85" s="233">
        <v>1.48E9</v>
      </c>
      <c r="I85" s="230">
        <v>35.0</v>
      </c>
      <c r="J85" s="115">
        <v>10.0</v>
      </c>
      <c r="K85" s="229">
        <v>69.1</v>
      </c>
      <c r="L85" s="115"/>
      <c r="M85" s="115"/>
      <c r="N85" s="115"/>
      <c r="O85" s="115"/>
      <c r="P85" s="115">
        <v>10.0</v>
      </c>
      <c r="Q85" s="233">
        <v>1.61E10</v>
      </c>
      <c r="R85" s="115">
        <v>1.7</v>
      </c>
      <c r="S85" s="115">
        <v>10.0</v>
      </c>
      <c r="T85" s="230">
        <v>70.0</v>
      </c>
      <c r="U85" s="230">
        <v>0.0</v>
      </c>
      <c r="V85" s="115">
        <v>10.0</v>
      </c>
      <c r="W85" s="230">
        <v>66.59</v>
      </c>
      <c r="X85" s="230">
        <v>96.5</v>
      </c>
      <c r="Y85" s="115">
        <v>10.0</v>
      </c>
      <c r="Z85" s="229">
        <v>426.0</v>
      </c>
      <c r="AA85" s="115">
        <v>1.667</v>
      </c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0">
        <v>10.0</v>
      </c>
      <c r="AO85" s="10">
        <v>139.0</v>
      </c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ht="16.5" customHeight="1">
      <c r="A86" s="115">
        <v>11.0</v>
      </c>
      <c r="B86" s="233">
        <v>1.8E11</v>
      </c>
      <c r="C86" s="230">
        <v>18.0</v>
      </c>
      <c r="D86" s="115"/>
      <c r="E86" s="115"/>
      <c r="F86" s="115"/>
      <c r="G86" s="115">
        <v>11.0</v>
      </c>
      <c r="H86" s="233">
        <v>2.95E11</v>
      </c>
      <c r="I86" s="230">
        <v>38.5</v>
      </c>
      <c r="J86" s="115">
        <v>11.0</v>
      </c>
      <c r="K86" s="229">
        <v>198.0</v>
      </c>
      <c r="L86" s="115"/>
      <c r="M86" s="115"/>
      <c r="N86" s="115"/>
      <c r="O86" s="115"/>
      <c r="P86" s="115">
        <v>11.0</v>
      </c>
      <c r="Q86" s="233">
        <v>4.58E12</v>
      </c>
      <c r="R86" s="115">
        <v>1.8</v>
      </c>
      <c r="S86" s="115">
        <v>11.0</v>
      </c>
      <c r="T86" s="230">
        <v>93.0</v>
      </c>
      <c r="U86" s="230">
        <v>0.0</v>
      </c>
      <c r="V86" s="115">
        <v>11.0</v>
      </c>
      <c r="W86" s="230">
        <v>72.88</v>
      </c>
      <c r="X86" s="230">
        <v>96.8</v>
      </c>
      <c r="Y86" s="115">
        <v>11.0</v>
      </c>
      <c r="Z86" s="229">
        <v>1920.0</v>
      </c>
      <c r="AA86" s="115">
        <v>1.818</v>
      </c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0">
        <v>11.0</v>
      </c>
      <c r="AO86" s="10">
        <v>185.0</v>
      </c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ht="16.5" customHeight="1">
      <c r="A87" s="234">
        <v>12.0</v>
      </c>
      <c r="B87" s="235">
        <v>9.62E13</v>
      </c>
      <c r="C87" s="236">
        <v>21.0</v>
      </c>
      <c r="D87" s="115"/>
      <c r="E87" s="234"/>
      <c r="F87" s="234"/>
      <c r="G87" s="234">
        <v>12.0</v>
      </c>
      <c r="H87" s="235">
        <v>1.86E14</v>
      </c>
      <c r="I87" s="230">
        <v>42.0</v>
      </c>
      <c r="J87" s="234">
        <v>12.0</v>
      </c>
      <c r="K87" s="237">
        <v>712.0</v>
      </c>
      <c r="L87" s="234"/>
      <c r="M87" s="234"/>
      <c r="N87" s="234"/>
      <c r="O87" s="234"/>
      <c r="P87" s="234">
        <v>12.0</v>
      </c>
      <c r="Q87" s="235">
        <v>4.28E15</v>
      </c>
      <c r="R87" s="236">
        <v>1.9</v>
      </c>
      <c r="S87" s="234">
        <v>12.0</v>
      </c>
      <c r="T87" s="236">
        <v>123.0</v>
      </c>
      <c r="U87" s="230">
        <v>0.0</v>
      </c>
      <c r="V87" s="115">
        <v>12.0</v>
      </c>
      <c r="W87" s="230">
        <v>78.67</v>
      </c>
      <c r="X87" s="230">
        <v>97.1</v>
      </c>
      <c r="Y87" s="115">
        <v>12.0</v>
      </c>
      <c r="Z87" s="230">
        <v>12000.0</v>
      </c>
      <c r="AA87" s="115">
        <v>2.0</v>
      </c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0">
        <v>12.0</v>
      </c>
      <c r="AO87" s="10">
        <v>245.0</v>
      </c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ht="16.5" customHeight="1">
      <c r="A88" s="238">
        <v>13.0</v>
      </c>
      <c r="B88" s="239">
        <v>2.09E17</v>
      </c>
      <c r="C88" s="240">
        <v>24.0</v>
      </c>
      <c r="D88" s="238"/>
      <c r="E88" s="238"/>
      <c r="F88" s="238"/>
      <c r="G88" s="234">
        <v>13.0</v>
      </c>
      <c r="H88" s="239">
        <v>4.85E17</v>
      </c>
      <c r="I88" s="230">
        <v>45.5</v>
      </c>
      <c r="J88" s="234">
        <v>13.0</v>
      </c>
      <c r="K88" s="240">
        <v>3420.0</v>
      </c>
      <c r="L88" s="238"/>
      <c r="M88" s="238"/>
      <c r="N88" s="238"/>
      <c r="O88" s="238"/>
      <c r="P88" s="234">
        <v>13.0</v>
      </c>
      <c r="Q88" s="239">
        <v>1.73E19</v>
      </c>
      <c r="R88" s="240">
        <v>2.0</v>
      </c>
      <c r="S88" s="234">
        <v>13.0</v>
      </c>
      <c r="T88" s="240">
        <v>162.0</v>
      </c>
      <c r="U88" s="240">
        <v>0.0</v>
      </c>
      <c r="V88" s="115">
        <v>13.0</v>
      </c>
      <c r="W88" s="240">
        <v>83.79</v>
      </c>
      <c r="X88" s="230">
        <v>97.4</v>
      </c>
      <c r="Y88" s="115">
        <v>13.0</v>
      </c>
      <c r="Z88" s="240">
        <v>113000.0</v>
      </c>
      <c r="AA88" s="240">
        <v>2.222</v>
      </c>
      <c r="AB88" s="238"/>
      <c r="AC88" s="238"/>
      <c r="AD88" s="238"/>
      <c r="AE88" s="238"/>
      <c r="AF88" s="238"/>
      <c r="AG88" s="238"/>
      <c r="AH88" s="238"/>
      <c r="AI88" s="238"/>
      <c r="AJ88" s="238"/>
      <c r="AK88" s="238"/>
      <c r="AL88" s="238"/>
      <c r="AM88" s="242"/>
      <c r="AN88" s="10">
        <v>13.0</v>
      </c>
      <c r="AO88" s="120">
        <v>323.0</v>
      </c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ht="16.5" customHeight="1">
      <c r="A89" s="238">
        <v>14.0</v>
      </c>
      <c r="B89" s="239">
        <v>2.63E21</v>
      </c>
      <c r="C89" s="240">
        <v>27.0</v>
      </c>
      <c r="D89" s="238"/>
      <c r="E89" s="238"/>
      <c r="F89" s="238"/>
      <c r="G89" s="234">
        <v>14.0</v>
      </c>
      <c r="H89" s="239">
        <v>7.48E21</v>
      </c>
      <c r="I89" s="230">
        <v>49.0</v>
      </c>
      <c r="J89" s="234">
        <v>14.0</v>
      </c>
      <c r="K89" s="240">
        <v>23400.0</v>
      </c>
      <c r="L89" s="238"/>
      <c r="M89" s="238"/>
      <c r="N89" s="238"/>
      <c r="O89" s="238"/>
      <c r="P89" s="234">
        <v>14.0</v>
      </c>
      <c r="Q89" s="239">
        <v>4.34E23</v>
      </c>
      <c r="R89" s="240">
        <v>2.1</v>
      </c>
      <c r="S89" s="234">
        <v>14.0</v>
      </c>
      <c r="T89" s="240">
        <v>212.5</v>
      </c>
      <c r="U89" s="240">
        <v>0.0</v>
      </c>
      <c r="V89" s="115">
        <v>14.0</v>
      </c>
      <c r="W89" s="240">
        <v>88.09</v>
      </c>
      <c r="X89" s="230">
        <v>97.7</v>
      </c>
      <c r="Y89" s="115">
        <v>14.0</v>
      </c>
      <c r="Z89" s="240">
        <v>1770000.0</v>
      </c>
      <c r="AA89" s="240">
        <v>2.5</v>
      </c>
      <c r="AB89" s="238"/>
      <c r="AC89" s="238"/>
      <c r="AD89" s="238"/>
      <c r="AE89" s="238"/>
      <c r="AF89" s="238"/>
      <c r="AG89" s="238"/>
      <c r="AH89" s="238"/>
      <c r="AI89" s="238"/>
      <c r="AJ89" s="238"/>
      <c r="AK89" s="238"/>
      <c r="AL89" s="238"/>
      <c r="AM89" s="242"/>
      <c r="AN89" s="10">
        <v>14.0</v>
      </c>
      <c r="AO89" s="120">
        <v>424.0</v>
      </c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ht="16.5" customHeight="1">
      <c r="A90" s="238">
        <v>15.0</v>
      </c>
      <c r="B90" s="239">
        <v>3.21E26</v>
      </c>
      <c r="C90" s="240">
        <v>30.0</v>
      </c>
      <c r="D90" s="238"/>
      <c r="E90" s="238"/>
      <c r="F90" s="238"/>
      <c r="G90" s="115">
        <v>15.0</v>
      </c>
      <c r="H90" s="239">
        <v>1.15E27</v>
      </c>
      <c r="I90" s="230">
        <v>52.5</v>
      </c>
      <c r="J90" s="234">
        <v>15.0</v>
      </c>
      <c r="K90" s="240">
        <v>256000.0</v>
      </c>
      <c r="L90" s="238"/>
      <c r="M90" s="238"/>
      <c r="N90" s="238"/>
      <c r="O90" s="238"/>
      <c r="P90" s="115">
        <v>15.0</v>
      </c>
      <c r="Q90" s="239">
        <v>1.13E29</v>
      </c>
      <c r="R90" s="240">
        <v>2.2</v>
      </c>
      <c r="S90" s="115">
        <v>15.0</v>
      </c>
      <c r="T90" s="240">
        <v>278.0</v>
      </c>
      <c r="U90" s="240">
        <v>0.0</v>
      </c>
      <c r="V90" s="115">
        <v>15.0</v>
      </c>
      <c r="W90" s="240">
        <v>91.47</v>
      </c>
      <c r="X90" s="230">
        <v>98.0</v>
      </c>
      <c r="Y90" s="115">
        <v>15.0</v>
      </c>
      <c r="Z90" s="239">
        <v>5.39E7</v>
      </c>
      <c r="AA90" s="240">
        <v>2.857</v>
      </c>
      <c r="AB90" s="238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2"/>
      <c r="AN90" s="10">
        <v>15.0</v>
      </c>
      <c r="AO90" s="120">
        <v>555.0</v>
      </c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20"/>
      <c r="N91" s="10"/>
      <c r="O91" s="10"/>
      <c r="P91" s="197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20"/>
      <c r="N92" s="10"/>
      <c r="O92" s="10"/>
      <c r="P92" s="197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ht="16.5" customHeight="1">
      <c r="A93" s="10"/>
      <c r="B93" s="10"/>
      <c r="C93" s="10"/>
      <c r="D93" s="10"/>
      <c r="E93" s="120"/>
      <c r="F93" s="10"/>
      <c r="G93" s="10"/>
      <c r="H93" s="10"/>
      <c r="I93" s="10"/>
      <c r="J93" s="10"/>
      <c r="K93" s="10"/>
      <c r="L93" s="10"/>
      <c r="M93" s="120"/>
      <c r="N93" s="10"/>
      <c r="O93" s="10"/>
      <c r="P93" s="197"/>
      <c r="Q93" s="2"/>
      <c r="R93" s="10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ht="16.5" customHeight="1">
      <c r="A94" s="10"/>
      <c r="B94" s="10"/>
      <c r="C94" s="10"/>
      <c r="D94" s="10"/>
      <c r="E94" s="120"/>
      <c r="F94" s="10"/>
      <c r="G94" s="10"/>
      <c r="H94" s="10"/>
      <c r="I94" s="10"/>
      <c r="J94" s="10"/>
      <c r="K94" s="10"/>
      <c r="L94" s="10"/>
      <c r="M94" s="120"/>
      <c r="N94" s="10"/>
      <c r="O94" s="10"/>
      <c r="P94" s="197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20"/>
      <c r="N95" s="10"/>
      <c r="O95" s="10"/>
      <c r="P95" s="197"/>
      <c r="Q95" s="2"/>
      <c r="R95" s="10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20"/>
      <c r="N96" s="10"/>
      <c r="O96" s="10"/>
      <c r="P96" s="197"/>
      <c r="Q96" s="2"/>
      <c r="R96" s="10"/>
      <c r="S96" s="2"/>
      <c r="T96" s="2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20"/>
      <c r="N97" s="10"/>
      <c r="O97" s="10"/>
      <c r="P97" s="197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20"/>
      <c r="N98" s="10"/>
      <c r="O98" s="10"/>
      <c r="P98" s="197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20"/>
      <c r="N99" s="10"/>
      <c r="O99" s="10"/>
      <c r="P99" s="197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20"/>
      <c r="N100" s="10"/>
      <c r="O100" s="10"/>
      <c r="P100" s="197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20"/>
      <c r="N101" s="10"/>
      <c r="O101" s="10"/>
      <c r="P101" s="197"/>
      <c r="Q101" s="2"/>
      <c r="R101" s="10"/>
      <c r="S101" s="2"/>
      <c r="T101" s="2"/>
      <c r="U101" s="2"/>
      <c r="V101" s="2"/>
      <c r="W101" s="2"/>
      <c r="X101" s="2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20"/>
      <c r="N102" s="10"/>
      <c r="O102" s="10"/>
      <c r="P102" s="197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20"/>
      <c r="N103" s="10"/>
      <c r="O103" s="10"/>
      <c r="P103" s="197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20"/>
      <c r="N104" s="10"/>
      <c r="O104" s="10"/>
      <c r="P104" s="197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20"/>
      <c r="N105" s="10"/>
      <c r="O105" s="10"/>
      <c r="P105" s="197"/>
      <c r="Q105" s="2"/>
      <c r="R105" s="10"/>
      <c r="S105" s="2"/>
      <c r="T105" s="2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20"/>
      <c r="N106" s="10"/>
      <c r="O106" s="10"/>
      <c r="P106" s="197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20"/>
      <c r="N107" s="10"/>
      <c r="O107" s="10"/>
      <c r="P107" s="197"/>
      <c r="Q107" s="2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20"/>
      <c r="N108" s="10"/>
      <c r="O108" s="10"/>
      <c r="P108" s="197"/>
      <c r="Q108" s="2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20"/>
      <c r="N109" s="10"/>
      <c r="O109" s="10"/>
      <c r="P109" s="197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20"/>
      <c r="N110" s="10"/>
      <c r="O110" s="10"/>
      <c r="P110" s="197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20"/>
      <c r="N111" s="10"/>
      <c r="O111" s="10"/>
      <c r="P111" s="197"/>
      <c r="Q111" s="10"/>
      <c r="R111" s="12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20"/>
      <c r="N112" s="10"/>
      <c r="O112" s="10"/>
      <c r="P112" s="197"/>
      <c r="Q112" s="10"/>
      <c r="R112" s="12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20"/>
      <c r="N113" s="10"/>
      <c r="O113" s="10"/>
      <c r="P113" s="197"/>
      <c r="Q113" s="10"/>
      <c r="R113" s="12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20"/>
      <c r="N114" s="10"/>
      <c r="O114" s="10"/>
      <c r="P114" s="197"/>
      <c r="Q114" s="10"/>
      <c r="R114" s="12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20"/>
      <c r="N115" s="10"/>
      <c r="O115" s="10"/>
      <c r="P115" s="197"/>
      <c r="Q115" s="10"/>
      <c r="R115" s="12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2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</row>
    <row r="999" ht="16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</row>
    <row r="1000" ht="16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</row>
    <row r="1001" ht="16.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</row>
    <row r="1002" ht="16.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</row>
    <row r="1003" ht="16.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</row>
    <row r="1004" ht="16.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</row>
    <row r="1005" ht="16.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</row>
    <row r="1006" ht="16.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</row>
    <row r="1007" ht="16.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</row>
    <row r="1008" ht="16.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</row>
    <row r="1009" ht="16.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</row>
    <row r="1010" ht="16.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</row>
    <row r="1011" ht="16.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</row>
    <row r="1012" ht="16.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</row>
    <row r="1013" ht="16.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</row>
    <row r="1014" ht="16.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</row>
    <row r="1015" ht="16.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7.0"/>
    <col customWidth="1" min="3" max="3" width="25.89"/>
    <col customWidth="1" min="4" max="4" width="23.67"/>
    <col customWidth="1" min="5" max="5" width="7.0"/>
    <col customWidth="1" min="6" max="6" width="24.33"/>
    <col customWidth="1" min="7" max="7" width="21.11"/>
    <col customWidth="1" min="8" max="8" width="7.0"/>
    <col customWidth="1" min="9" max="9" width="26.44"/>
    <col customWidth="1" min="10" max="10" width="27.44"/>
    <col customWidth="1" min="11" max="11" width="7.0"/>
    <col customWidth="1" min="12" max="12" width="30.56"/>
    <col customWidth="1" min="13" max="39" width="7.0"/>
    <col customWidth="1" min="40" max="40" width="9.44"/>
    <col customWidth="1" min="41" max="44" width="7.0"/>
    <col customWidth="1" min="45" max="45" width="9.22"/>
    <col customWidth="1" min="46" max="49" width="7.0"/>
    <col customWidth="1" min="50" max="50" width="11.22"/>
    <col customWidth="1" min="51" max="51" width="7.0"/>
    <col customWidth="1" min="52" max="52" width="11.56"/>
    <col customWidth="1" min="53" max="55" width="7.0"/>
    <col customWidth="1" min="56" max="56" width="9.11"/>
    <col customWidth="1" min="57" max="60" width="7.0"/>
    <col customWidth="1" min="61" max="61" width="10.56"/>
    <col customWidth="1" min="62" max="65" width="7.0"/>
    <col customWidth="1" min="66" max="66" width="10.44"/>
    <col customWidth="1" min="67" max="67" width="7.0"/>
    <col customWidth="1" min="68" max="68" width="13.22"/>
    <col customWidth="1" min="69" max="70" width="7.0"/>
  </cols>
  <sheetData>
    <row r="1" ht="16.5" customHeight="1">
      <c r="A1" s="241" t="s">
        <v>269</v>
      </c>
      <c r="B1" s="243" t="str">
        <f>" "&amp;'skill data'!F2&amp;" "</f>
        <v> 1 </v>
      </c>
      <c r="C1" s="241" t="s">
        <v>270</v>
      </c>
      <c r="D1" s="243"/>
      <c r="E1" s="243"/>
      <c r="F1" s="243"/>
      <c r="G1" s="243" t="str">
        <f t="shared" ref="G1:G3" si="1">A1</f>
        <v>增加</v>
      </c>
      <c r="H1" s="243" t="str">
        <f>" "&amp;'skill data'!F41&amp;" "</f>
        <v> 1.2 </v>
      </c>
      <c r="I1" s="243" t="str">
        <f t="shared" ref="I1:I3" si="2">C1</f>
        <v>倍點擊傷害</v>
      </c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ht="16.5" customHeight="1">
      <c r="A2" s="243"/>
      <c r="C2" s="243"/>
      <c r="D2" s="243"/>
      <c r="E2" s="243"/>
      <c r="F2" s="243"/>
      <c r="G2" s="243" t="str">
        <f t="shared" si="1"/>
        <v/>
      </c>
      <c r="I2" s="243" t="str">
        <f t="shared" si="2"/>
        <v/>
      </c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ht="16.5" customHeight="1">
      <c r="A3" s="241" t="s">
        <v>271</v>
      </c>
      <c r="B3" s="243" t="str">
        <f>" "&amp;'skill data'!F3&amp;"% "</f>
        <v> 0% </v>
      </c>
      <c r="C3" s="241" t="s">
        <v>272</v>
      </c>
      <c r="D3" s="243"/>
      <c r="E3" s="243"/>
      <c r="F3" s="243"/>
      <c r="G3" s="243" t="str">
        <f t="shared" si="1"/>
        <v>提升相當於</v>
      </c>
      <c r="H3" s="243" t="str">
        <f>" "&amp;'skill data'!F42&amp;"% "</f>
        <v> 0.04% </v>
      </c>
      <c r="I3" s="243" t="str">
        <f t="shared" si="2"/>
        <v>英雄傷害的點擊傷害</v>
      </c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ht="16.5" customHeight="1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ht="16.5" customHeight="1">
      <c r="A5" s="243" t="s">
        <v>269</v>
      </c>
      <c r="B5" s="243" t="str">
        <f>" "&amp;'skill data'!F4&amp;" "</f>
        <v> 1 </v>
      </c>
      <c r="C5" s="243" t="s">
        <v>273</v>
      </c>
      <c r="D5" s="243" t="s">
        <v>274</v>
      </c>
      <c r="E5" s="243" t="str">
        <f>IF('skill data'!G4&lt;&gt;0," -"&amp;'skill data'!G4&amp;" "," -0")</f>
        <v> -0</v>
      </c>
      <c r="F5" s="243"/>
      <c r="G5" s="243" t="str">
        <f>A5</f>
        <v>增加</v>
      </c>
      <c r="H5" s="243" t="str">
        <f>" "&amp;'skill data'!F43&amp;" "</f>
        <v> 1.5 </v>
      </c>
      <c r="I5" s="243" t="str">
        <f t="shared" ref="I5:J5" si="3">C5</f>
        <v>倍寵物傷害</v>
      </c>
      <c r="J5" s="243" t="str">
        <f t="shared" si="3"/>
        <v>寵物發動攻擊所需點擊數</v>
      </c>
      <c r="K5" s="243" t="str">
        <f>" -"&amp;'skill data'!G43</f>
        <v> -0</v>
      </c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ht="16.5" customHeight="1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ht="16.5" customHeight="1">
      <c r="A7" s="243" t="s">
        <v>269</v>
      </c>
      <c r="B7" s="243" t="str">
        <f>" "&amp;'skill data'!F5&amp;" "</f>
        <v> 0 </v>
      </c>
      <c r="C7" s="246" t="s">
        <v>275</v>
      </c>
      <c r="D7" s="243" t="s">
        <v>276</v>
      </c>
      <c r="E7" s="243" t="str">
        <f>IF('skill data'!G5&lt;&gt;0," -"&amp;'skill data'!G5&amp;" "," -0 ")</f>
        <v> -0 </v>
      </c>
      <c r="F7" s="243" t="s">
        <v>277</v>
      </c>
      <c r="G7" s="243" t="str">
        <f>A7</f>
        <v>增加</v>
      </c>
      <c r="H7" s="243" t="str">
        <f>" "&amp;'skill data'!F44&amp;" "</f>
        <v> 1.8 </v>
      </c>
      <c r="I7" s="243" t="str">
        <f t="shared" ref="I7:J7" si="4">C7</f>
        <v>倍頭目黃金</v>
      </c>
      <c r="J7" s="243" t="str">
        <f t="shared" si="4"/>
        <v>米達斯之心冷卻時間</v>
      </c>
      <c r="K7" s="243" t="str">
        <f>" -"&amp;'skill data'!G44&amp;" "</f>
        <v> -0 </v>
      </c>
      <c r="L7" s="243" t="str">
        <f>F7</f>
        <v>秒</v>
      </c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ht="16.5" customHeight="1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ht="16.5" customHeight="1">
      <c r="A9" s="243" t="s">
        <v>269</v>
      </c>
      <c r="B9" s="243" t="str">
        <f>" "&amp;'skill data'!F6&amp;" "</f>
        <v> 1 </v>
      </c>
      <c r="C9" s="243" t="s">
        <v>278</v>
      </c>
      <c r="D9" s="243" t="s">
        <v>74</v>
      </c>
      <c r="E9" s="243" t="str">
        <f>IF('skill data'!G6&lt;&gt;0," "&amp;'skill data'!G6," -0")</f>
        <v> -0</v>
      </c>
      <c r="F9" s="247" t="s">
        <v>279</v>
      </c>
      <c r="G9" s="243" t="str">
        <f>A9</f>
        <v>增加</v>
      </c>
      <c r="H9" s="243" t="str">
        <f>" "&amp;'skill data'!F45&amp;" "</f>
        <v> 1.6 </v>
      </c>
      <c r="I9" s="243" t="str">
        <f t="shared" ref="I9:J9" si="5">C9</f>
        <v>倍最大爆擊傷害</v>
      </c>
      <c r="J9" s="243" t="str">
        <f t="shared" si="5"/>
        <v>爆擊率</v>
      </c>
      <c r="K9" s="248" t="str">
        <f>" "&amp;'skill data'!G45</f>
        <v> -1</v>
      </c>
      <c r="L9" s="243" t="str">
        <f>F9</f>
        <v>%</v>
      </c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ht="16.5" customHeight="1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ht="16.5" customHeight="1">
      <c r="A11" s="243" t="s">
        <v>269</v>
      </c>
      <c r="B11" s="243" t="str">
        <f>" "&amp;'skill data'!F7&amp;" "</f>
        <v> 1 </v>
      </c>
      <c r="C11" s="243" t="s">
        <v>280</v>
      </c>
      <c r="D11" s="246" t="s">
        <v>281</v>
      </c>
      <c r="E11" s="243" t="str">
        <f>" "&amp;'skill data'!G7&amp;" "</f>
        <v> 0 </v>
      </c>
      <c r="F11" s="246" t="s">
        <v>277</v>
      </c>
      <c r="G11" s="243" t="str">
        <f>A11</f>
        <v>增加</v>
      </c>
      <c r="H11" s="243" t="str">
        <f>" "&amp;'skill data'!F46&amp;" "</f>
        <v> 1.6 </v>
      </c>
      <c r="I11" s="243" t="str">
        <f t="shared" ref="I11:J11" si="6">C11</f>
        <v>倍火焰之劍效果</v>
      </c>
      <c r="J11" s="243" t="str">
        <f t="shared" si="6"/>
        <v>火焰之劍持續時間增加</v>
      </c>
      <c r="K11" s="243" t="str">
        <f>" "&amp;'skill data'!G46&amp;" "</f>
        <v> 1 </v>
      </c>
      <c r="L11" s="243" t="str">
        <f>F11</f>
        <v>秒</v>
      </c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ht="16.5" customHeight="1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ht="16.5" customHeight="1">
      <c r="A13" s="243" t="s">
        <v>282</v>
      </c>
      <c r="B13" s="243" t="str">
        <f>" "&amp;'skill data'!F8&amp;" "</f>
        <v> 0 </v>
      </c>
      <c r="C13" s="243" t="s">
        <v>273</v>
      </c>
      <c r="D13" s="241" t="s">
        <v>283</v>
      </c>
      <c r="E13" s="243" t="str">
        <f>IF('skill data'!G8&lt;&gt;0," "&amp;'skill data'!G8&amp;" ","-")</f>
        <v>-</v>
      </c>
      <c r="F13" s="241"/>
      <c r="G13" s="243" t="str">
        <f>A13</f>
        <v>閃電爆破造成</v>
      </c>
      <c r="H13" s="243" t="str">
        <f>" "&amp;'skill data'!F47&amp;" "</f>
        <v> 1.5 </v>
      </c>
      <c r="I13" s="243" t="str">
        <f t="shared" ref="I13:J13" si="7">C13</f>
        <v>倍寵物傷害</v>
      </c>
      <c r="J13" s="243" t="str">
        <f t="shared" si="7"/>
        <v>閃電爆破最大濺射數量增加</v>
      </c>
      <c r="K13" s="243" t="str">
        <f>" "&amp;'skill data'!G47&amp;" "</f>
        <v> 2 </v>
      </c>
      <c r="L13" s="243" t="str">
        <f>F13</f>
        <v/>
      </c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ht="16.5" customHeight="1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ht="16.5" customHeight="1">
      <c r="A15" s="243" t="s">
        <v>284</v>
      </c>
      <c r="B15" s="243" t="str">
        <f>" "&amp;'skill data'!F9&amp;" "</f>
        <v> 1 </v>
      </c>
      <c r="C15" s="243" t="s">
        <v>270</v>
      </c>
      <c r="D15" s="243" t="s">
        <v>285</v>
      </c>
      <c r="E15" s="243" t="str">
        <f>IF('skill data'!G9&lt;&gt;0," "&amp;'skill data'!G9&amp;" ","-")</f>
        <v>-</v>
      </c>
      <c r="F15" s="243" t="s">
        <v>286</v>
      </c>
      <c r="G15" s="243" t="str">
        <f>A15</f>
        <v>主動點擊時增加</v>
      </c>
      <c r="H15" s="243" t="str">
        <f>" "&amp;'skill data'!F48&amp;" "</f>
        <v> 2.5 </v>
      </c>
      <c r="I15" s="243" t="str">
        <f t="shared" ref="I15:J15" si="8">C15</f>
        <v>倍點擊傷害</v>
      </c>
      <c r="J15" s="243" t="str">
        <f t="shared" si="8"/>
        <v>主動點擊時每秒額外點擊</v>
      </c>
      <c r="K15" s="243" t="str">
        <f>" "&amp;'skill data'!G48&amp;" "</f>
        <v> 1 </v>
      </c>
      <c r="L15" s="243" t="str">
        <f>F15</f>
        <v>次</v>
      </c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ht="16.5" customHeight="1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ht="16.5" customHeight="1">
      <c r="A17" s="241" t="s">
        <v>287</v>
      </c>
      <c r="B17" s="243" t="str">
        <f>" "&amp;'skill data'!F10&amp;" "</f>
        <v> 0 </v>
      </c>
      <c r="C17" s="241" t="s">
        <v>288</v>
      </c>
      <c r="D17" s="241" t="s">
        <v>289</v>
      </c>
      <c r="E17" s="243" t="str">
        <f>IF('skill data'!G10&lt;&gt;0," -"&amp;'skill data'!G10&amp;" "," -0 ")</f>
        <v> -0 </v>
      </c>
      <c r="F17" s="241" t="s">
        <v>279</v>
      </c>
      <c r="G17" s="243" t="str">
        <f>A17</f>
        <v>充能時寵物傷害提高</v>
      </c>
      <c r="H17" s="243" t="str">
        <f>" "&amp;'skill data'!F49&amp;" "</f>
        <v> 2 </v>
      </c>
      <c r="I17" s="243" t="str">
        <f t="shared" ref="I17:J17" si="9">C17</f>
        <v>倍</v>
      </c>
      <c r="J17" s="243" t="str">
        <f t="shared" si="9"/>
        <v>寵物技能冷卻時間</v>
      </c>
      <c r="K17" s="243" t="str">
        <f>" -"&amp;'skill data'!G49&amp;" "</f>
        <v> -3.5 </v>
      </c>
      <c r="L17" s="243" t="str">
        <f>F17</f>
        <v>%</v>
      </c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181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ht="16.5" customHeight="1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81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ht="16.5" customHeight="1">
      <c r="A19" s="243" t="s">
        <v>269</v>
      </c>
      <c r="B19" s="243" t="str">
        <f>" "&amp;'skill data'!F11&amp;" "</f>
        <v> 1 </v>
      </c>
      <c r="C19" s="243" t="s">
        <v>290</v>
      </c>
      <c r="D19" s="243"/>
      <c r="E19" s="243"/>
      <c r="F19" s="243"/>
      <c r="G19" s="243" t="str">
        <f>A19</f>
        <v>增加</v>
      </c>
      <c r="H19" s="243" t="str">
        <f>" "&amp;'skill data'!F50&amp;" "</f>
        <v> 1.2 </v>
      </c>
      <c r="I19" s="243" t="str">
        <f>C19</f>
        <v>倍所有英雄傷害</v>
      </c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ht="16.5" customHeight="1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4"/>
      <c r="X20" s="4"/>
      <c r="Y20" s="4">
        <v>1.0</v>
      </c>
      <c r="Z20" s="4">
        <v>2.0</v>
      </c>
      <c r="AA20" s="4">
        <v>3.0</v>
      </c>
      <c r="AB20" s="4">
        <v>4.0</v>
      </c>
      <c r="AC20" s="4">
        <v>5.0</v>
      </c>
      <c r="AD20" s="4">
        <v>6.0</v>
      </c>
      <c r="AE20" s="4">
        <v>7.0</v>
      </c>
      <c r="AF20" s="4">
        <v>8.0</v>
      </c>
      <c r="AG20" s="4">
        <v>9.0</v>
      </c>
      <c r="AH20" s="4">
        <v>10.0</v>
      </c>
      <c r="AI20" s="4">
        <v>11.0</v>
      </c>
      <c r="AJ20" s="4">
        <v>12.0</v>
      </c>
      <c r="AK20" s="4">
        <v>13.0</v>
      </c>
      <c r="AL20" s="4">
        <v>14.0</v>
      </c>
      <c r="AM20" s="4">
        <v>15.0</v>
      </c>
      <c r="AN20" s="181">
        <v>1.0</v>
      </c>
      <c r="AO20" s="181">
        <v>2.0</v>
      </c>
      <c r="AP20" s="181">
        <v>3.0</v>
      </c>
      <c r="AQ20" s="181">
        <v>4.0</v>
      </c>
      <c r="AR20" s="181">
        <v>5.0</v>
      </c>
      <c r="AS20" s="181">
        <v>6.0</v>
      </c>
      <c r="AT20" s="181">
        <v>7.0</v>
      </c>
      <c r="AU20" s="181">
        <v>8.0</v>
      </c>
      <c r="AV20" s="181">
        <v>9.0</v>
      </c>
      <c r="AW20" s="181">
        <v>10.0</v>
      </c>
      <c r="AX20" s="181">
        <v>11.0</v>
      </c>
      <c r="AY20" s="181">
        <v>12.0</v>
      </c>
      <c r="AZ20" s="181">
        <v>13.0</v>
      </c>
      <c r="BA20" s="181">
        <v>14.0</v>
      </c>
      <c r="BB20" s="181">
        <v>15.0</v>
      </c>
      <c r="BC20" s="181"/>
      <c r="BD20" s="181">
        <v>1.0</v>
      </c>
      <c r="BE20" s="181">
        <v>2.0</v>
      </c>
      <c r="BF20" s="181">
        <v>3.0</v>
      </c>
      <c r="BG20" s="181">
        <v>4.0</v>
      </c>
      <c r="BH20" s="181">
        <v>5.0</v>
      </c>
      <c r="BI20" s="181">
        <v>6.0</v>
      </c>
      <c r="BJ20" s="181">
        <v>7.0</v>
      </c>
      <c r="BK20" s="181">
        <v>8.0</v>
      </c>
      <c r="BL20" s="181">
        <v>9.0</v>
      </c>
      <c r="BM20" s="181">
        <v>10.0</v>
      </c>
      <c r="BN20" s="181">
        <v>11.0</v>
      </c>
      <c r="BO20" s="181">
        <v>12.0</v>
      </c>
      <c r="BP20" s="181">
        <v>13.0</v>
      </c>
      <c r="BQ20" s="181">
        <v>14.0</v>
      </c>
      <c r="BR20" s="181">
        <v>15.0</v>
      </c>
    </row>
    <row r="21" ht="16.5" customHeight="1">
      <c r="A21" s="243" t="s">
        <v>269</v>
      </c>
      <c r="B21" s="243" t="str">
        <f>" "&amp;'skill data'!F12&amp;" "</f>
        <v> 1 </v>
      </c>
      <c r="C21" s="243" t="s">
        <v>291</v>
      </c>
      <c r="D21" s="243" t="s">
        <v>292</v>
      </c>
      <c r="E21" s="243" t="str">
        <f>IF('skill data'!G12&lt;&gt;0," "&amp;'skill data'!G12&amp;"% ","-")</f>
        <v>-</v>
      </c>
      <c r="F21" s="243"/>
      <c r="G21" s="243" t="str">
        <f>A21</f>
        <v>增加</v>
      </c>
      <c r="H21" s="243" t="str">
        <f>" "&amp;'skill data'!F51&amp;" "</f>
        <v> 1.8 </v>
      </c>
      <c r="I21" s="243" t="str">
        <f t="shared" ref="I21:J21" si="10">C21</f>
        <v>倍寶箱黃金</v>
      </c>
      <c r="J21" s="243" t="str">
        <f t="shared" si="10"/>
        <v>寶箱怪出現機率增加</v>
      </c>
      <c r="K21" s="243" t="str">
        <f>" "&amp;'skill data'!G51&amp;"%"</f>
        <v> 1%</v>
      </c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4"/>
      <c r="X21" s="4"/>
      <c r="Y21" s="1"/>
      <c r="Z21" s="1"/>
      <c r="AA21" s="1"/>
      <c r="AB21" s="1"/>
      <c r="AC21" s="1"/>
      <c r="AD21" s="1" t="str">
        <f>A70</f>
        <v>增加 1 倍點擊傷害</v>
      </c>
      <c r="AE21" s="1"/>
      <c r="AF21" s="1"/>
      <c r="AG21" s="1"/>
      <c r="AH21" s="1"/>
      <c r="AI21" s="1"/>
      <c r="AJ21" s="1"/>
      <c r="AK21" s="1"/>
      <c r="AL21" s="1"/>
      <c r="AM21" s="1"/>
      <c r="AN21" s="4" t="str">
        <f>AS21</f>
        <v>騎士勇氣</v>
      </c>
      <c r="AO21" s="4"/>
      <c r="AP21" s="4"/>
      <c r="AQ21" s="4"/>
      <c r="AR21" s="4"/>
      <c r="AS21" s="4" t="str">
        <f>'技能模擬器'!L2</f>
        <v>騎士勇氣</v>
      </c>
      <c r="AT21" s="4">
        <f>'skill data'!P122</f>
        <v>0</v>
      </c>
      <c r="AU21" s="4"/>
      <c r="AV21" s="4"/>
      <c r="AW21" s="4"/>
      <c r="AX21" s="4" t="str">
        <f>AS21</f>
        <v>騎士勇氣</v>
      </c>
      <c r="AY21" s="4"/>
      <c r="AZ21" s="181" t="s">
        <v>293</v>
      </c>
      <c r="BA21" s="4"/>
      <c r="BB21" s="4"/>
      <c r="BC21" s="4"/>
      <c r="BD21" s="4" t="str">
        <f>BI21</f>
        <v>界限突破</v>
      </c>
      <c r="BE21" s="4"/>
      <c r="BF21" s="4"/>
      <c r="BG21" s="4"/>
      <c r="BH21" s="4"/>
      <c r="BI21" s="4" t="str">
        <f>'技能模擬器'!AB2</f>
        <v>界限突破</v>
      </c>
      <c r="BJ21" s="4">
        <f>'skill data'!AF122</f>
        <v>0</v>
      </c>
      <c r="BK21" s="4"/>
      <c r="BL21" s="4"/>
      <c r="BM21" s="4"/>
      <c r="BN21" s="4" t="str">
        <f>BI21</f>
        <v>界限突破</v>
      </c>
      <c r="BO21" s="4"/>
      <c r="BP21" s="181" t="s">
        <v>293</v>
      </c>
      <c r="BQ21" s="4"/>
      <c r="BR21" s="4"/>
    </row>
    <row r="22" ht="16.5" customHeight="1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4"/>
      <c r="X22" s="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4"/>
      <c r="AO22" s="4"/>
      <c r="AP22" s="4"/>
      <c r="AQ22" s="4"/>
      <c r="AR22" s="4"/>
      <c r="AS22" s="1"/>
      <c r="AT22" s="4"/>
      <c r="AU22" s="4"/>
      <c r="AV22" s="4"/>
      <c r="AW22" s="4"/>
      <c r="AX22" s="4"/>
      <c r="AY22" s="4"/>
      <c r="AZ22" s="181" t="s">
        <v>294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81" t="s">
        <v>295</v>
      </c>
      <c r="BQ22" s="4"/>
      <c r="BR22" s="4"/>
    </row>
    <row r="23" ht="16.5" customHeight="1">
      <c r="A23" s="243" t="s">
        <v>269</v>
      </c>
      <c r="B23" s="243" t="str">
        <f>" "&amp;'skill data'!F13&amp;" "</f>
        <v> 1 </v>
      </c>
      <c r="C23" s="243" t="s">
        <v>296</v>
      </c>
      <c r="D23" s="243" t="s">
        <v>297</v>
      </c>
      <c r="E23" s="243" t="str">
        <f>IF('skill data'!G13&lt;&gt;0," "&amp;'skill data'!G13&amp;" ","-")</f>
        <v>-</v>
      </c>
      <c r="F23" s="243" t="s">
        <v>298</v>
      </c>
      <c r="G23" s="243" t="str">
        <f>A23</f>
        <v>增加</v>
      </c>
      <c r="H23" s="243" t="str">
        <f>" "&amp;'skill data'!F52&amp;" "</f>
        <v> 1.5 </v>
      </c>
      <c r="I23" s="243" t="str">
        <f t="shared" ref="I23:J23" si="11">C23</f>
        <v>倍戰嚎效果</v>
      </c>
      <c r="J23" s="243" t="str">
        <f t="shared" si="11"/>
        <v>在戰嚎持續時間內激勵</v>
      </c>
      <c r="K23" s="243" t="str">
        <f>" "&amp;'skill data'!G52&amp;" "</f>
        <v> 1 </v>
      </c>
      <c r="L23" s="243" t="str">
        <f>F23</f>
        <v>名英雄</v>
      </c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ht="16.5" customHeight="1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4"/>
      <c r="X24" s="4"/>
      <c r="Y24" s="4"/>
      <c r="Z24" s="4"/>
      <c r="AA24" s="4"/>
      <c r="AB24" s="4"/>
      <c r="AC24" s="4"/>
      <c r="AD24" s="4" t="str">
        <f>C70</f>
        <v>增加 1.2 倍點擊傷害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ht="16.5" customHeight="1">
      <c r="A25" s="243" t="s">
        <v>269</v>
      </c>
      <c r="B25" s="243" t="str">
        <f>" "&amp;'skill data'!F14&amp;" "</f>
        <v> 1 </v>
      </c>
      <c r="C25" s="243" t="s">
        <v>299</v>
      </c>
      <c r="D25" s="243" t="s">
        <v>300</v>
      </c>
      <c r="E25" s="243" t="str">
        <f>IF('skill data'!G14&lt;&gt;0," "&amp;'skill data'!G14&amp;" ","-")</f>
        <v>-</v>
      </c>
      <c r="F25" s="243"/>
      <c r="G25" s="243" t="str">
        <f>A25</f>
        <v>增加</v>
      </c>
      <c r="H25" s="243" t="str">
        <f>" "&amp;'skill data'!F53&amp;" "</f>
        <v> 1.5 </v>
      </c>
      <c r="I25" s="243" t="str">
        <f t="shared" ref="I25:J25" si="12">C25</f>
        <v>倍公會飛船傷害</v>
      </c>
      <c r="J25" s="243" t="str">
        <f t="shared" si="12"/>
        <v>飛船最大濺射數量增加</v>
      </c>
      <c r="K25" s="243" t="str">
        <f>" "&amp;'skill data'!G53</f>
        <v> 1</v>
      </c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ht="16.5" customHeight="1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ht="16.5" customHeight="1">
      <c r="A27" s="243" t="s">
        <v>269</v>
      </c>
      <c r="B27" s="243" t="str">
        <f>" "&amp;'skill data'!F15&amp;"%"</f>
        <v> 0%</v>
      </c>
      <c r="C27" s="241" t="s">
        <v>301</v>
      </c>
      <c r="D27" s="243" t="s">
        <v>269</v>
      </c>
      <c r="E27" s="243" t="str">
        <f>IF('skill data'!G15&lt;&gt;0," "&amp;'skill data'!G15&amp;"%","-")</f>
        <v>-</v>
      </c>
      <c r="F27" s="241" t="s">
        <v>302</v>
      </c>
      <c r="G27" s="243" t="str">
        <f>A27</f>
        <v>增加</v>
      </c>
      <c r="H27" s="243" t="str">
        <f>" "&amp;'skill data'!F54&amp;"%"</f>
        <v> 0.25%</v>
      </c>
      <c r="I27" s="243" t="str">
        <f t="shared" ref="I27:J27" si="13">C27</f>
        <v> 倍率型英雄技能效果</v>
      </c>
      <c r="J27" s="243" t="str">
        <f t="shared" si="13"/>
        <v>增加</v>
      </c>
      <c r="K27" s="243" t="str">
        <f>" "&amp;'skill data'!G54&amp;"%"</f>
        <v> 2%</v>
      </c>
      <c r="L27" s="243" t="str">
        <f>F27</f>
        <v> 相加型英雄技能效果</v>
      </c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4"/>
      <c r="X27" s="4"/>
      <c r="Y27" s="4" t="str">
        <f>A72</f>
        <v>提升相當於 0% 英雄傷害的點擊傷害</v>
      </c>
      <c r="Z27" s="4"/>
      <c r="AA27" s="4"/>
      <c r="AB27" s="4"/>
      <c r="AC27" s="4"/>
      <c r="AD27" s="4" t="str">
        <f>A74&amp;CHAR(10)&amp;A75</f>
        <v>增加 1 倍寵物傷害
寵物發動攻擊所需點擊數 -0</v>
      </c>
      <c r="AE27" s="4"/>
      <c r="AF27" s="4"/>
      <c r="AG27" s="4"/>
      <c r="AH27" s="4"/>
      <c r="AI27" s="4" t="str">
        <f>A76&amp;CHAR(10)&amp;A77</f>
        <v>增加 0 倍頭目黃金
米達斯之心冷卻時間 -0 秒</v>
      </c>
      <c r="AJ27" s="4"/>
      <c r="AK27" s="4"/>
      <c r="AL27" s="4"/>
      <c r="AM27" s="4"/>
      <c r="AN27" s="4" t="str">
        <f>'技能模擬器'!G8</f>
        <v>騎士兵團</v>
      </c>
      <c r="AO27" s="4">
        <f>'skill data'!K128</f>
        <v>3</v>
      </c>
      <c r="AP27" s="4"/>
      <c r="AQ27" s="4"/>
      <c r="AR27" s="4"/>
      <c r="AS27" s="4" t="str">
        <f>'技能模擬器'!L8</f>
        <v>寵物進化</v>
      </c>
      <c r="AT27" s="4">
        <f>'skill data'!P128</f>
        <v>3</v>
      </c>
      <c r="AU27" s="4"/>
      <c r="AV27" s="4"/>
      <c r="AW27" s="4"/>
      <c r="AX27" s="4" t="str">
        <f>'技能模擬器'!Q8</f>
        <v>米達斯之心</v>
      </c>
      <c r="AY27" s="4">
        <f>'skill data'!U128</f>
        <v>3</v>
      </c>
      <c r="AZ27" s="4"/>
      <c r="BA27" s="4" t="str">
        <f>" "&amp;'skill data'!H129&amp;" "</f>
        <v> 0 </v>
      </c>
      <c r="BB27" s="181">
        <v>3.0</v>
      </c>
      <c r="BC27" s="181"/>
      <c r="BD27" s="4" t="str">
        <f>'技能模擬器'!W8</f>
        <v>終極米達斯</v>
      </c>
      <c r="BE27" s="4">
        <f>'skill data'!AA128</f>
        <v>3</v>
      </c>
      <c r="BF27" s="181"/>
      <c r="BG27" s="181"/>
      <c r="BH27" s="181"/>
      <c r="BI27" s="4" t="str">
        <f>'技能模擬器'!AB8</f>
        <v>天使光輝</v>
      </c>
      <c r="BJ27" s="4">
        <f>'skill data'!AF128</f>
        <v>3</v>
      </c>
      <c r="BK27" s="181"/>
      <c r="BL27" s="181"/>
      <c r="BM27" s="181"/>
      <c r="BN27" s="4" t="str">
        <f>'技能模擬器'!AG8</f>
        <v>幻影復仇</v>
      </c>
      <c r="BO27" s="4">
        <f>'skill data'!AK128</f>
        <v>3</v>
      </c>
      <c r="BP27" s="181"/>
      <c r="BQ27" s="181" t="str">
        <f>" "&amp;'skill data'!H139&amp;" "</f>
        <v> 0 </v>
      </c>
      <c r="BR27" s="181">
        <v>3.0</v>
      </c>
    </row>
    <row r="28" ht="16.5" customHeight="1"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1" t="str">
        <f>$AZ$21&amp;" "&amp;AN21</f>
        <v>前置條件 : 騎士勇氣</v>
      </c>
      <c r="AO28" s="4"/>
      <c r="AP28" s="4"/>
      <c r="AQ28" s="4"/>
      <c r="AR28" s="4"/>
      <c r="AS28" s="1" t="str">
        <f>$AZ$21&amp;" "&amp;AS21</f>
        <v>前置條件 : 騎士勇氣</v>
      </c>
      <c r="AT28" s="4"/>
      <c r="AU28" s="4"/>
      <c r="AV28" s="4"/>
      <c r="AW28" s="4"/>
      <c r="AX28" s="1" t="str">
        <f>$AZ$21&amp;" "&amp;AX21</f>
        <v>前置條件 : 騎士勇氣</v>
      </c>
      <c r="AY28" s="4"/>
      <c r="AZ28" s="4"/>
      <c r="BB28" s="4"/>
      <c r="BC28" s="4"/>
      <c r="BD28" s="1" t="str">
        <f>$AZ$21&amp;" "&amp;BD21</f>
        <v>前置條件 : 界限突破</v>
      </c>
      <c r="BE28" s="4"/>
      <c r="BF28" s="4"/>
      <c r="BG28" s="4"/>
      <c r="BH28" s="4"/>
      <c r="BI28" s="1" t="str">
        <f>$AZ$21&amp;" "&amp;BI21</f>
        <v>前置條件 : 界限突破</v>
      </c>
      <c r="BJ28" s="4"/>
      <c r="BK28" s="4"/>
      <c r="BL28" s="4"/>
      <c r="BM28" s="4"/>
      <c r="BN28" s="1" t="str">
        <f>$AZ$21&amp;" "&amp;BN21</f>
        <v>前置條件 : 界限突破</v>
      </c>
      <c r="BO28" s="4"/>
      <c r="BP28" s="4"/>
      <c r="BR28" s="4"/>
    </row>
    <row r="29" ht="16.5" customHeight="1">
      <c r="A29" s="246" t="s">
        <v>303</v>
      </c>
      <c r="B29" s="243" t="str">
        <f>" "&amp;'skill data'!F16&amp;"% "</f>
        <v> 0% </v>
      </c>
      <c r="C29" s="246" t="s">
        <v>304</v>
      </c>
      <c r="D29" s="246" t="s">
        <v>305</v>
      </c>
      <c r="E29" s="243" t="str">
        <f>IF('skill data'!G16&lt;&gt;0," "&amp;'skill data'!G16&amp;" ","-")</f>
        <v>-</v>
      </c>
      <c r="F29" s="246" t="s">
        <v>277</v>
      </c>
      <c r="G29" s="243" t="str">
        <f>A29</f>
        <v>受激勵英雄每次攻擊增加</v>
      </c>
      <c r="H29" s="243" t="str">
        <f>" "&amp;'skill data'!F55&amp;"% "</f>
        <v> 0.75% </v>
      </c>
      <c r="I29" s="243" t="str">
        <f t="shared" ref="I29:J29" si="14">C29</f>
        <v>泰坦受到傷害</v>
      </c>
      <c r="J29" s="243" t="str">
        <f t="shared" si="14"/>
        <v>戰嚎持續時間增加</v>
      </c>
      <c r="K29" s="243" t="str">
        <f>" "&amp;'skill data'!G55&amp;" "</f>
        <v> 1 </v>
      </c>
      <c r="L29" s="243" t="str">
        <f>F29</f>
        <v>秒</v>
      </c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 t="str">
        <f>$AZ$22&amp;$BA27&amp;"/ "&amp;$BB27</f>
        <v>需求騎士技能點 :  0 / 3</v>
      </c>
      <c r="AO29" s="4"/>
      <c r="AP29" s="4"/>
      <c r="AQ29" s="4"/>
      <c r="AR29" s="4"/>
      <c r="AS29" s="4" t="str">
        <f>$AZ$22&amp;$BA27&amp;"/ "&amp;$BB27</f>
        <v>需求騎士技能點 :  0 / 3</v>
      </c>
      <c r="AT29" s="4"/>
      <c r="AU29" s="4"/>
      <c r="AV29" s="4"/>
      <c r="AW29" s="4"/>
      <c r="AX29" s="4" t="str">
        <f>$AZ$22&amp;$BA27&amp;"/ "&amp;$BB27</f>
        <v>需求騎士技能點 :  0 / 3</v>
      </c>
      <c r="AY29" s="4"/>
      <c r="AZ29" s="4"/>
      <c r="BB29" s="4"/>
      <c r="BC29" s="4"/>
      <c r="BD29" s="4" t="str">
        <f>$BP$22&amp;$BQ27&amp;"/ "&amp;$BB27</f>
        <v>需求巫師技能點 :  0 / 3</v>
      </c>
      <c r="BE29" s="4"/>
      <c r="BF29" s="4"/>
      <c r="BG29" s="4"/>
      <c r="BH29" s="4"/>
      <c r="BI29" s="4" t="str">
        <f>$BP$22&amp;$BQ27&amp;"/ "&amp;$BB27</f>
        <v>需求巫師技能點 :  0 / 3</v>
      </c>
      <c r="BJ29" s="4"/>
      <c r="BK29" s="4"/>
      <c r="BL29" s="4"/>
      <c r="BM29" s="4"/>
      <c r="BN29" s="4" t="str">
        <f>$BP$22&amp;$BQ27&amp;"/ "&amp;$BB27</f>
        <v>需求巫師技能點 :  0 / 3</v>
      </c>
      <c r="BO29" s="4"/>
      <c r="BP29" s="4"/>
      <c r="BR29" s="4"/>
    </row>
    <row r="30" ht="16.5" customHeight="1"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4"/>
      <c r="X30" s="4"/>
      <c r="Y30" s="4" t="str">
        <f>C72</f>
        <v>提升相當於 0.04% 英雄傷害的點擊傷害</v>
      </c>
      <c r="Z30" s="4"/>
      <c r="AA30" s="4"/>
      <c r="AB30" s="4"/>
      <c r="AC30" s="4"/>
      <c r="AD30" s="4" t="str">
        <f>C74&amp;CHAR(10)&amp;C75</f>
        <v>增加 1.5 倍寵物傷害
寵物發動攻擊所需點擊數 -0</v>
      </c>
      <c r="AE30" s="4"/>
      <c r="AF30" s="4"/>
      <c r="AG30" s="4"/>
      <c r="AH30" s="4"/>
      <c r="AI30" s="4" t="str">
        <f>C76&amp;CHAR(10)&amp;C77</f>
        <v>增加 1.8 倍頭目黃金
米達斯之心冷卻時間 -0 秒</v>
      </c>
      <c r="AJ30" s="4"/>
      <c r="AK30" s="4"/>
      <c r="AL30" s="4"/>
      <c r="AM30" s="4"/>
      <c r="AN30" s="4" t="str">
        <f>IF(AO27=3,AN28&amp;char(10)&amp;AN29,IF(AO27=2,AN29,IF(AO27=1,AN28,0)))</f>
        <v>前置條件 : 騎士勇氣
需求騎士技能點 :  0 / 3</v>
      </c>
      <c r="AO30" s="4"/>
      <c r="AP30" s="4"/>
      <c r="AQ30" s="4"/>
      <c r="AR30" s="4"/>
      <c r="AS30" s="4" t="str">
        <f>IF(AT27=3,AS28&amp;char(10)&amp;AS29,IF(AT27=2,AS29,IF(AT27=1,AS28,0)))</f>
        <v>前置條件 : 騎士勇氣
需求騎士技能點 :  0 / 3</v>
      </c>
      <c r="AT30" s="4"/>
      <c r="AU30" s="4"/>
      <c r="AV30" s="4"/>
      <c r="AW30" s="4"/>
      <c r="AX30" s="4" t="str">
        <f>IF(AY27=3,AX28&amp;char(10)&amp;AX29,IF(AY27=2,AX29,IF(AY27=1,AX28,0)))</f>
        <v>前置條件 : 騎士勇氣
需求騎士技能點 :  0 / 3</v>
      </c>
      <c r="AY30" s="4"/>
      <c r="AZ30" s="4"/>
      <c r="BA30" s="4"/>
      <c r="BB30" s="4"/>
      <c r="BC30" s="4"/>
      <c r="BD30" s="4" t="str">
        <f>IF(BE27=3,BD28&amp;char(10)&amp;BD29,IF(BE27=2,BD29,IF(BE27=1,BD28,0)))</f>
        <v>前置條件 : 界限突破
需求巫師技能點 :  0 / 3</v>
      </c>
      <c r="BE30" s="4"/>
      <c r="BF30" s="4"/>
      <c r="BG30" s="4"/>
      <c r="BH30" s="4"/>
      <c r="BI30" s="4" t="str">
        <f>IF(BJ27=3,BI28&amp;char(10)&amp;BI29,IF(BJ27=2,BI29,IF(BJ27=1,BI28,0)))</f>
        <v>前置條件 : 界限突破
需求巫師技能點 :  0 / 3</v>
      </c>
      <c r="BJ30" s="4"/>
      <c r="BK30" s="4"/>
      <c r="BL30" s="4"/>
      <c r="BM30" s="4"/>
      <c r="BN30" s="4" t="str">
        <f>IF(BO27=3,BN28&amp;char(10)&amp;BN29,IF(BO27=2,BN29,IF(BO27=1,BN28,0)))</f>
        <v>前置條件 : 界限突破
需求巫師技能點 :  0 / 3</v>
      </c>
      <c r="BO30" s="4"/>
      <c r="BP30" s="4"/>
      <c r="BQ30" s="4"/>
      <c r="BR30" s="4"/>
    </row>
    <row r="31" ht="16.5" customHeight="1">
      <c r="A31" s="243" t="s">
        <v>306</v>
      </c>
      <c r="B31" s="243" t="str">
        <f>" "&amp;'skill data'!F17&amp;" "</f>
        <v> 1 </v>
      </c>
      <c r="C31" s="243" t="s">
        <v>290</v>
      </c>
      <c r="D31" s="243" t="s">
        <v>307</v>
      </c>
      <c r="E31" s="243" t="str">
        <f>IF('skill data'!G17&lt;&gt;0," -"&amp;'skill data'!G17&amp;" "," -0 ")</f>
        <v> -0 </v>
      </c>
      <c r="F31" s="243" t="s">
        <v>277</v>
      </c>
      <c r="G31" s="243" t="str">
        <f>A31</f>
        <v>召喚公會夥伴時增加</v>
      </c>
      <c r="H31" s="243" t="str">
        <f>" "&amp;'skill data'!F56&amp;" "</f>
        <v> 1.8 </v>
      </c>
      <c r="I31" s="243" t="str">
        <f t="shared" ref="I31:J31" si="15">C31</f>
        <v>倍所有英雄傷害</v>
      </c>
      <c r="J31" s="243" t="str">
        <f t="shared" si="15"/>
        <v>召喚夥伴冷卻時間</v>
      </c>
      <c r="K31" s="243" t="str">
        <f>" -"&amp;'skill data'!G56&amp;" "</f>
        <v> -0 </v>
      </c>
      <c r="L31" s="243" t="str">
        <f>F31</f>
        <v>秒</v>
      </c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ht="16.5" customHeight="1">
      <c r="A32" s="2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ht="16.5" customHeight="1">
      <c r="A33" s="243" t="s">
        <v>308</v>
      </c>
      <c r="B33" s="243" t="str">
        <f>" "&amp;'skill data'!F18&amp;" "</f>
        <v> 1 </v>
      </c>
      <c r="C33" s="243" t="s">
        <v>309</v>
      </c>
      <c r="D33" s="243" t="s">
        <v>310</v>
      </c>
      <c r="E33" s="243" t="str">
        <f>IF('skill data'!G18&lt;&gt;0," -"&amp;'skill data'!G18&amp;" ","-")</f>
        <v>-</v>
      </c>
      <c r="F33" s="243" t="s">
        <v>277</v>
      </c>
      <c r="G33" s="243" t="str">
        <f>A33</f>
        <v>每次點擊晶球增加</v>
      </c>
      <c r="H33" s="243" t="str">
        <f>" "&amp;'skill data'!F57&amp;" "</f>
        <v> 1.21 </v>
      </c>
      <c r="I33" s="243" t="str">
        <f t="shared" ref="I33:J33" si="16">C33</f>
        <v>倍所有英雄傷害(共5次)</v>
      </c>
      <c r="J33" s="243" t="str">
        <f t="shared" si="16"/>
        <v>星體覺醒冷卻時間</v>
      </c>
      <c r="K33" s="243" t="str">
        <f>" -"&amp;'skill data'!G57&amp;" "</f>
        <v> - </v>
      </c>
      <c r="L33" s="243" t="str">
        <f>F33</f>
        <v>秒</v>
      </c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4"/>
      <c r="X33" s="4"/>
      <c r="Y33" s="4" t="str">
        <f>A78&amp;CHAR(10)&amp;A79</f>
        <v>增加 1 倍最大爆擊傷害
爆擊率 -0%</v>
      </c>
      <c r="Z33" s="4"/>
      <c r="AA33" s="4"/>
      <c r="AB33" s="4"/>
      <c r="AC33" s="4"/>
      <c r="AD33" s="4" t="str">
        <f>A80&amp;CHAR(10)&amp;A81</f>
        <v>增加 1 倍火焰之劍效果
火焰之劍持續時間增加 0 秒</v>
      </c>
      <c r="AE33" s="4"/>
      <c r="AF33" s="4"/>
      <c r="AG33" s="4"/>
      <c r="AH33" s="4"/>
      <c r="AI33" s="4" t="str">
        <f>A82&amp;CHAR(10)&amp;A83</f>
        <v>閃電爆破造成 0 倍寵物傷害
閃電爆破最大濺射數量增加-</v>
      </c>
      <c r="AJ33" s="4"/>
      <c r="AK33" s="4"/>
      <c r="AL33" s="4"/>
      <c r="AM33" s="4"/>
      <c r="AN33" s="4" t="str">
        <f>'技能模擬器'!G14</f>
        <v>劈斬</v>
      </c>
      <c r="AO33" s="4">
        <f>'skill data'!K134</f>
        <v>3</v>
      </c>
      <c r="AP33" s="4"/>
      <c r="AQ33" s="4"/>
      <c r="AR33" s="4"/>
      <c r="AS33" s="4" t="str">
        <f>'技能模擬器'!L14</f>
        <v>召喚煉獄</v>
      </c>
      <c r="AT33" s="4">
        <f>'skill data'!P134</f>
        <v>3</v>
      </c>
      <c r="AU33" s="4"/>
      <c r="AV33" s="4"/>
      <c r="AW33" s="4"/>
      <c r="AX33" s="4" t="str">
        <f>'技能模擬器'!Q14</f>
        <v>閃電爆破</v>
      </c>
      <c r="AY33" s="4">
        <f>'skill data'!U134</f>
        <v>3</v>
      </c>
      <c r="AZ33" s="4"/>
      <c r="BA33" s="4" t="str">
        <f>" "&amp;'skill data'!H130&amp;" "</f>
        <v> 0 </v>
      </c>
      <c r="BB33" s="181">
        <v>20.0</v>
      </c>
      <c r="BC33" s="181"/>
      <c r="BD33" s="4" t="str">
        <f>'技能模擬器'!W14</f>
        <v>妖精魅力</v>
      </c>
      <c r="BE33" s="4">
        <f>'skill data'!AA134</f>
        <v>3</v>
      </c>
      <c r="BF33" s="181"/>
      <c r="BG33" s="181"/>
      <c r="BH33" s="181"/>
      <c r="BI33" s="4" t="str">
        <f>'技能模擬器'!AB14</f>
        <v>魔力抽取</v>
      </c>
      <c r="BJ33" s="4">
        <f>'skill data'!AF134</f>
        <v>3</v>
      </c>
      <c r="BK33" s="181"/>
      <c r="BL33" s="181"/>
      <c r="BM33" s="181"/>
      <c r="BN33" s="4" t="str">
        <f>'技能模擬器'!AG14</f>
        <v>永恆黑暗</v>
      </c>
      <c r="BO33" s="4">
        <f>'skill data'!AK134</f>
        <v>3</v>
      </c>
      <c r="BP33" s="181"/>
      <c r="BQ33" s="181" t="str">
        <f>" "&amp;'skill data'!H140&amp;" "</f>
        <v> 0 </v>
      </c>
      <c r="BR33" s="181">
        <v>20.0</v>
      </c>
    </row>
    <row r="34" ht="16.5" customHeight="1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1" t="str">
        <f>$AZ$21&amp;" "&amp;AN27</f>
        <v>前置條件 : 騎士兵團</v>
      </c>
      <c r="AO34" s="4"/>
      <c r="AP34" s="4"/>
      <c r="AQ34" s="4"/>
      <c r="AR34" s="4"/>
      <c r="AS34" s="1" t="str">
        <f>$AZ$21&amp;" "&amp;AS27</f>
        <v>前置條件 : 寵物進化</v>
      </c>
      <c r="AT34" s="4"/>
      <c r="AU34" s="4"/>
      <c r="AV34" s="4"/>
      <c r="AW34" s="4"/>
      <c r="AX34" s="1" t="str">
        <f>$AZ$21&amp;" "&amp;AX27</f>
        <v>前置條件 : 米達斯之心</v>
      </c>
      <c r="AY34" s="4"/>
      <c r="AZ34" s="4"/>
      <c r="BB34" s="4"/>
      <c r="BC34" s="4"/>
      <c r="BD34" s="1" t="str">
        <f>$AZ$21&amp;" "&amp;BD27</f>
        <v>前置條件 : 終極米達斯</v>
      </c>
      <c r="BE34" s="4"/>
      <c r="BF34" s="4"/>
      <c r="BG34" s="4"/>
      <c r="BH34" s="4"/>
      <c r="BI34" s="1" t="str">
        <f>$AZ$21&amp;" "&amp;BI27</f>
        <v>前置條件 : 天使光輝</v>
      </c>
      <c r="BJ34" s="4"/>
      <c r="BK34" s="4"/>
      <c r="BL34" s="4"/>
      <c r="BM34" s="4"/>
      <c r="BN34" s="1" t="str">
        <f>$AZ$21&amp;" "&amp;BN27</f>
        <v>前置條件 : 幻影復仇</v>
      </c>
      <c r="BO34" s="4"/>
      <c r="BP34" s="4"/>
      <c r="BR34" s="4"/>
    </row>
    <row r="35" ht="16.5" customHeight="1">
      <c r="A35" s="243" t="s">
        <v>311</v>
      </c>
      <c r="B35" s="243" t="str">
        <f>" "&amp;'skill data'!F19&amp;" "</f>
        <v> 1 </v>
      </c>
      <c r="C35" s="243" t="s">
        <v>312</v>
      </c>
      <c r="D35" s="243" t="s">
        <v>313</v>
      </c>
      <c r="E35" s="243" t="str">
        <f>IF('skill data'!G19&lt;&gt;0," "&amp;'skill data'!G19&amp;" ","-")</f>
        <v>-</v>
      </c>
      <c r="F35" s="243" t="s">
        <v>277</v>
      </c>
      <c r="G35" s="243" t="str">
        <f>A35</f>
        <v>怪物麻痺時增加</v>
      </c>
      <c r="H35" s="243" t="str">
        <f>" "&amp;'skill data'!F58&amp;" "</f>
        <v> 3.5 </v>
      </c>
      <c r="I35" s="243" t="str">
        <f t="shared" ref="I35:J35" si="17">C35</f>
        <v>倍受到傷害</v>
      </c>
      <c r="J35" s="243" t="str">
        <f t="shared" si="17"/>
        <v>麻痺持續時間</v>
      </c>
      <c r="K35" s="243" t="str">
        <f>" "&amp;'skill data'!G58&amp;" "</f>
        <v> 0.8 </v>
      </c>
      <c r="L35" s="243" t="str">
        <f>F35</f>
        <v>秒</v>
      </c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 t="str">
        <f>$AZ$22&amp;$BA33&amp;"/ "&amp;$BB33</f>
        <v>需求騎士技能點 :  0 / 20</v>
      </c>
      <c r="AO35" s="4"/>
      <c r="AP35" s="4"/>
      <c r="AQ35" s="4"/>
      <c r="AR35" s="4"/>
      <c r="AS35" s="4" t="str">
        <f>$AZ$22&amp;$BA33&amp;"/ "&amp;$BB33</f>
        <v>需求騎士技能點 :  0 / 20</v>
      </c>
      <c r="AT35" s="4"/>
      <c r="AU35" s="4"/>
      <c r="AV35" s="4"/>
      <c r="AW35" s="4"/>
      <c r="AX35" s="4" t="str">
        <f>$AZ$22&amp;$BA33&amp;"/ "&amp;$BB33</f>
        <v>需求騎士技能點 :  0 / 20</v>
      </c>
      <c r="AY35" s="4"/>
      <c r="AZ35" s="4"/>
      <c r="BA35" s="4"/>
      <c r="BB35" s="4"/>
      <c r="BC35" s="4"/>
      <c r="BD35" s="4" t="str">
        <f>$BP$22&amp;$BQ33&amp;"/ "&amp;$BB33</f>
        <v>需求巫師技能點 :  0 / 20</v>
      </c>
      <c r="BE35" s="4"/>
      <c r="BF35" s="4"/>
      <c r="BG35" s="4"/>
      <c r="BH35" s="4"/>
      <c r="BI35" s="4" t="str">
        <f>$BP$22&amp;$BQ33&amp;"/ "&amp;$BB33</f>
        <v>需求巫師技能點 :  0 / 20</v>
      </c>
      <c r="BJ35" s="4"/>
      <c r="BK35" s="4"/>
      <c r="BL35" s="4"/>
      <c r="BM35" s="4"/>
      <c r="BN35" s="4" t="str">
        <f>$BP$22&amp;$BQ33&amp;"/ "&amp;$BB33</f>
        <v>需求巫師技能點 :  0 / 20</v>
      </c>
      <c r="BO35" s="4"/>
      <c r="BP35" s="4"/>
      <c r="BQ35" s="4"/>
      <c r="BR35" s="4"/>
    </row>
    <row r="36" ht="16.5" customHeight="1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4"/>
      <c r="X36" s="4"/>
      <c r="Y36" s="4" t="str">
        <f>C78&amp;CHAR(10)&amp;C79</f>
        <v>增加 1.6 倍最大爆擊傷害
爆擊率 -1%</v>
      </c>
      <c r="Z36" s="4"/>
      <c r="AA36" s="4"/>
      <c r="AB36" s="4"/>
      <c r="AC36" s="4"/>
      <c r="AD36" s="4" t="str">
        <f>C80&amp;CHAR(10)&amp;C81</f>
        <v>增加 1.6 倍火焰之劍效果
火焰之劍持續時間增加 1 秒</v>
      </c>
      <c r="AE36" s="4"/>
      <c r="AF36" s="4"/>
      <c r="AG36" s="4"/>
      <c r="AH36" s="4"/>
      <c r="AI36" s="4" t="str">
        <f>C82&amp;CHAR(10)&amp;C83</f>
        <v>閃電爆破造成 1.5 倍寵物傷害
閃電爆破最大濺射數量增加 2 </v>
      </c>
      <c r="AJ36" s="4"/>
      <c r="AK36" s="4"/>
      <c r="AL36" s="4"/>
      <c r="AM36" s="4"/>
      <c r="AN36" s="4" t="str">
        <f>IF(AO33=3,AN34&amp;char(10)&amp;AN35,IF(AO33=2,AN35,IF(AO33=1,AN34,0)))</f>
        <v>前置條件 : 騎士兵團
需求騎士技能點 :  0 / 20</v>
      </c>
      <c r="AO36" s="4"/>
      <c r="AP36" s="4"/>
      <c r="AQ36" s="4"/>
      <c r="AR36" s="4"/>
      <c r="AS36" s="4" t="str">
        <f>IF(AT33=3,AS34&amp;char(10)&amp;AS35,IF(AT33=2,AS35,IF(AT33=1,AS34,0)))</f>
        <v>前置條件 : 寵物進化
需求騎士技能點 :  0 / 20</v>
      </c>
      <c r="AT36" s="4"/>
      <c r="AU36" s="4"/>
      <c r="AV36" s="4"/>
      <c r="AW36" s="4"/>
      <c r="AX36" s="4" t="str">
        <f>IF(AY33=3,AX34&amp;char(10)&amp;AX35,IF(AY33=2,AX35,IF(AY33=1,AX34,0)))</f>
        <v>前置條件 : 米達斯之心
需求騎士技能點 :  0 / 20</v>
      </c>
      <c r="AY36" s="4"/>
      <c r="AZ36" s="4"/>
      <c r="BA36" s="4"/>
      <c r="BB36" s="4"/>
      <c r="BC36" s="4"/>
      <c r="BD36" s="4" t="str">
        <f>IF(BE33=3,BD34&amp;char(10)&amp;BD35,IF(BE33=2,BD35,IF(BE33=1,BD34,0)))</f>
        <v>前置條件 : 終極米達斯
需求巫師技能點 :  0 / 20</v>
      </c>
      <c r="BE36" s="4"/>
      <c r="BF36" s="4"/>
      <c r="BG36" s="4"/>
      <c r="BH36" s="4"/>
      <c r="BI36" s="4" t="str">
        <f>IF(BJ33=3,BI34&amp;char(10)&amp;BI35,IF(BJ33=2,BI35,IF(BJ33=1,BI34,0)))</f>
        <v>前置條件 : 天使光輝
需求巫師技能點 :  0 / 20</v>
      </c>
      <c r="BJ36" s="4"/>
      <c r="BK36" s="4"/>
      <c r="BL36" s="4"/>
      <c r="BM36" s="4"/>
      <c r="BN36" s="4" t="str">
        <f>IF(BO33=3,BN34&amp;char(10)&amp;BN35,IF(BO33=2,BN35,IF(BO33=1,BN34,0)))</f>
        <v>前置條件 : 幻影復仇
需求巫師技能點 :  0 / 20</v>
      </c>
      <c r="BO36" s="4"/>
      <c r="BP36" s="4"/>
      <c r="BQ36" s="4"/>
      <c r="BR36" s="4"/>
    </row>
    <row r="37" ht="16.5" customHeight="1">
      <c r="A37" s="243" t="s">
        <v>269</v>
      </c>
      <c r="B37" s="243" t="str">
        <f>" "&amp;'skill data'!F20&amp;" "</f>
        <v> 0 </v>
      </c>
      <c r="C37" s="243" t="s">
        <v>44</v>
      </c>
      <c r="D37" s="243" t="s">
        <v>269</v>
      </c>
      <c r="E37" s="243" t="str">
        <f>IF('skill data'!G20&lt;&gt;0," "&amp;'skill data'!G20&amp;" ","-")</f>
        <v>-</v>
      </c>
      <c r="F37" s="243" t="s">
        <v>314</v>
      </c>
      <c r="G37" s="243" t="str">
        <f>A37</f>
        <v>增加</v>
      </c>
      <c r="H37" s="243" t="str">
        <f>" "&amp;'skill data'!F59&amp;" "</f>
        <v> 5 </v>
      </c>
      <c r="I37" s="243" t="str">
        <f t="shared" ref="I37:J37" si="18">C37</f>
        <v>最大魔力</v>
      </c>
      <c r="J37" s="243" t="str">
        <f t="shared" si="18"/>
        <v>增加</v>
      </c>
      <c r="K37" s="243" t="str">
        <f>" "&amp;'skill data'!G59&amp;" "</f>
        <v> 0.1 </v>
      </c>
      <c r="L37" s="243" t="str">
        <f>F37</f>
        <v>每分鐘魔力回復量</v>
      </c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ht="16.5" customHeight="1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ht="16.5" customHeight="1">
      <c r="A39" s="243" t="s">
        <v>269</v>
      </c>
      <c r="B39" s="243" t="str">
        <f>" "&amp;'skill data'!F21&amp;" "</f>
        <v> 1 </v>
      </c>
      <c r="C39" s="243" t="s">
        <v>315</v>
      </c>
      <c r="D39" s="243" t="s">
        <v>269</v>
      </c>
      <c r="E39" s="243" t="str">
        <f>IF('skill data'!G21&lt;&gt;0," "&amp;'skill data'!J21&amp;" ","-")</f>
        <v> 1 </v>
      </c>
      <c r="F39" s="243" t="s">
        <v>316</v>
      </c>
      <c r="G39" s="243" t="str">
        <f>A39</f>
        <v>增加</v>
      </c>
      <c r="H39" s="243" t="str">
        <f>" "&amp;'skill data'!F60&amp;" "</f>
        <v> 1.8 </v>
      </c>
      <c r="I39" s="243" t="str">
        <f t="shared" ref="I39:J39" si="19">C39</f>
        <v>倍米達斯之手效果</v>
      </c>
      <c r="J39" s="243" t="str">
        <f t="shared" si="19"/>
        <v>增加</v>
      </c>
      <c r="K39" s="243" t="str">
        <f>" "&amp;'skill data'!J60&amp;" "</f>
        <v> 1.2 </v>
      </c>
      <c r="L39" s="243" t="str">
        <f>F39</f>
        <v>倍妖精黃金</v>
      </c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4"/>
      <c r="X39" s="4"/>
      <c r="Y39" s="4" t="str">
        <f>A84&amp;CHAR(10)&amp;A85</f>
        <v>主動點擊時增加 1 倍點擊傷害
主動點擊時每秒額外點擊-次</v>
      </c>
      <c r="Z39" s="4"/>
      <c r="AA39" s="4"/>
      <c r="AB39" s="4"/>
      <c r="AC39" s="4"/>
      <c r="AD39" s="4"/>
      <c r="AE39" s="4"/>
      <c r="AF39" s="4"/>
      <c r="AG39" s="4"/>
      <c r="AH39" s="4"/>
      <c r="AI39" s="4" t="str">
        <f>A86&amp;CHAR(10)&amp;A87</f>
        <v>充能時寵物傷害提高 0 倍
寵物技能冷卻時間 -0 %</v>
      </c>
      <c r="AJ39" s="4"/>
      <c r="AK39" s="4"/>
      <c r="AL39" s="4"/>
      <c r="AM39" s="4"/>
      <c r="AN39" s="4" t="str">
        <f>'技能模擬器'!G20</f>
        <v>野蠻狂怒</v>
      </c>
      <c r="AO39" s="4">
        <f>'skill data'!K140</f>
        <v>3</v>
      </c>
      <c r="AP39" s="4"/>
      <c r="AQ39" s="4"/>
      <c r="AR39" s="4"/>
      <c r="AS39" s="4" t="str">
        <f>'技能模擬器'!L20</f>
        <v/>
      </c>
      <c r="AT39" s="4"/>
      <c r="AU39" s="4"/>
      <c r="AV39" s="4"/>
      <c r="AW39" s="4"/>
      <c r="AX39" s="4" t="str">
        <f>'技能模擬器'!Q20</f>
        <v>閃電瞬移</v>
      </c>
      <c r="AY39" s="4">
        <f>'skill data'!U140</f>
        <v>3</v>
      </c>
      <c r="AZ39" s="4"/>
      <c r="BA39" s="4" t="str">
        <f>" "&amp;'skill data'!H131&amp;" "</f>
        <v> 0 </v>
      </c>
      <c r="BB39" s="181">
        <v>50.0</v>
      </c>
      <c r="BC39" s="181"/>
      <c r="BD39" s="4" t="str">
        <f>'技能模擬器'!W20</f>
        <v>魔力瑪尼</v>
      </c>
      <c r="BE39" s="4">
        <f>'skill data'!AA140</f>
        <v>3</v>
      </c>
      <c r="BF39" s="181"/>
      <c r="BG39" s="181"/>
      <c r="BH39" s="181"/>
      <c r="BI39" s="4" t="str">
        <f>'技能模擬器'!AB20</f>
        <v>閃電雷擊</v>
      </c>
      <c r="BJ39" s="4">
        <f>'skill data'!AF140</f>
        <v>3</v>
      </c>
      <c r="BK39" s="181"/>
      <c r="BL39" s="181"/>
      <c r="BM39" s="181"/>
      <c r="BN39" s="4" t="str">
        <f>'技能模擬器'!AG20</f>
        <v>次元轉移</v>
      </c>
      <c r="BO39" s="4">
        <f>'skill data'!AK140</f>
        <v>3</v>
      </c>
      <c r="BP39" s="181"/>
      <c r="BQ39" s="181" t="str">
        <f>" "&amp;'skill data'!H141&amp;" "</f>
        <v> 0 </v>
      </c>
      <c r="BR39" s="181">
        <v>50.0</v>
      </c>
    </row>
    <row r="40" ht="16.5" customHeight="1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 t="str">
        <f>$AZ$21&amp;" "&amp;AN33</f>
        <v>前置條件 : 劈斬</v>
      </c>
      <c r="AO40" s="4"/>
      <c r="AP40" s="4"/>
      <c r="AQ40" s="4"/>
      <c r="AR40" s="4"/>
      <c r="AS40" s="4"/>
      <c r="AT40" s="4"/>
      <c r="AU40" s="4"/>
      <c r="AV40" s="4"/>
      <c r="AW40" s="4"/>
      <c r="AX40" s="1" t="str">
        <f>$AZ$21&amp;" "&amp;AX33</f>
        <v>前置條件 : 閃電爆破</v>
      </c>
      <c r="AY40" s="4"/>
      <c r="AZ40" s="4"/>
      <c r="BA40" s="4"/>
      <c r="BB40" s="4"/>
      <c r="BC40" s="4"/>
      <c r="BD40" s="1" t="str">
        <f>$AZ$21&amp;" "&amp;BD33</f>
        <v>前置條件 : 妖精魅力</v>
      </c>
      <c r="BE40" s="4"/>
      <c r="BF40" s="4"/>
      <c r="BG40" s="4"/>
      <c r="BH40" s="4"/>
      <c r="BI40" s="1" t="str">
        <f>$AZ$21&amp;" "&amp;BI33</f>
        <v>前置條件 : 魔力抽取</v>
      </c>
      <c r="BJ40" s="4"/>
      <c r="BK40" s="4"/>
      <c r="BL40" s="4"/>
      <c r="BM40" s="4"/>
      <c r="BN40" s="1" t="str">
        <f>$AZ$21&amp;" "&amp;BN33</f>
        <v>前置條件 : 永恆黑暗</v>
      </c>
      <c r="BO40" s="4"/>
      <c r="BP40" s="4"/>
      <c r="BQ40" s="4"/>
      <c r="BR40" s="4"/>
    </row>
    <row r="41" ht="16.5" customHeight="1">
      <c r="A41" s="243" t="s">
        <v>269</v>
      </c>
      <c r="B41" s="243" t="str">
        <f>" "&amp;'skill data'!F22&amp;" "</f>
        <v> 1 </v>
      </c>
      <c r="C41" s="243" t="s">
        <v>317</v>
      </c>
      <c r="D41" s="243" t="s">
        <v>318</v>
      </c>
      <c r="E41" s="243" t="str">
        <f>IF('skill data'!G22&lt;&gt;0," "&amp;'skill data'!G22&amp;" "," 0")</f>
        <v> 0</v>
      </c>
      <c r="F41" s="243"/>
      <c r="G41" s="243" t="str">
        <f>A41</f>
        <v>增加</v>
      </c>
      <c r="H41" s="243" t="str">
        <f>" "&amp;'skill data'!F61&amp;" "</f>
        <v> 2 </v>
      </c>
      <c r="I41" s="243" t="str">
        <f t="shared" ref="I41:J41" si="20">C41</f>
        <v>倍天堂聖擊傷害</v>
      </c>
      <c r="J41" s="243" t="str">
        <f t="shared" si="20"/>
        <v>天堂聖擊跳躍濺射數增加</v>
      </c>
      <c r="K41" s="243" t="str">
        <f>" "&amp;'skill data'!G61</f>
        <v> 0</v>
      </c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 t="str">
        <f>$AZ$22&amp;$BA39&amp;"/ "&amp;$BB39</f>
        <v>需求騎士技能點 :  0 / 50</v>
      </c>
      <c r="AO41" s="4"/>
      <c r="AP41" s="4"/>
      <c r="AQ41" s="4"/>
      <c r="AR41" s="4"/>
      <c r="AS41" s="4"/>
      <c r="AT41" s="4"/>
      <c r="AU41" s="4"/>
      <c r="AV41" s="4"/>
      <c r="AW41" s="4"/>
      <c r="AX41" s="4" t="str">
        <f>$AZ$22&amp;$BA39&amp;"/ "&amp;$BB39</f>
        <v>需求騎士技能點 :  0 / 50</v>
      </c>
      <c r="AY41" s="4"/>
      <c r="AZ41" s="4"/>
      <c r="BA41" s="4"/>
      <c r="BB41" s="4"/>
      <c r="BC41" s="4"/>
      <c r="BD41" s="4" t="str">
        <f>$BP$22&amp;$BQ39&amp;"/ "&amp;$BB39</f>
        <v>需求巫師技能點 :  0 / 50</v>
      </c>
      <c r="BE41" s="4"/>
      <c r="BF41" s="4"/>
      <c r="BG41" s="4"/>
      <c r="BH41" s="4"/>
      <c r="BI41" s="4" t="str">
        <f>$BP$22&amp;$BQ39&amp;"/ "&amp;$BB39</f>
        <v>需求巫師技能點 :  0 / 50</v>
      </c>
      <c r="BJ41" s="4"/>
      <c r="BK41" s="4"/>
      <c r="BL41" s="4"/>
      <c r="BM41" s="4"/>
      <c r="BN41" s="4" t="str">
        <f>$BP$22&amp;$BQ39&amp;"/ "&amp;$BB39</f>
        <v>需求巫師技能點 :  0 / 50</v>
      </c>
      <c r="BO41" s="4"/>
      <c r="BP41" s="4"/>
      <c r="BQ41" s="4"/>
      <c r="BR41" s="4"/>
    </row>
    <row r="42" ht="16.5" customHeight="1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243"/>
      <c r="W42" s="4"/>
      <c r="X42" s="4"/>
      <c r="Y42" s="4" t="str">
        <f>C84&amp;CHAR(10)&amp;C85</f>
        <v>主動點擊時增加 2.5 倍點擊傷害
主動點擊時每秒額外點擊 1 次</v>
      </c>
      <c r="Z42" s="4"/>
      <c r="AA42" s="4"/>
      <c r="AB42" s="4"/>
      <c r="AC42" s="4"/>
      <c r="AD42" s="4"/>
      <c r="AE42" s="4"/>
      <c r="AF42" s="4"/>
      <c r="AG42" s="4"/>
      <c r="AH42" s="4"/>
      <c r="AI42" s="4" t="str">
        <f>C86&amp;CHAR(10)&amp;C87</f>
        <v>充能時寵物傷害提高 2 倍
寵物技能冷卻時間 -3.5 %</v>
      </c>
      <c r="AJ42" s="4"/>
      <c r="AK42" s="4"/>
      <c r="AL42" s="4"/>
      <c r="AM42" s="4"/>
      <c r="AN42" s="4" t="str">
        <f>IF(AO39=3,AN40&amp;char(10)&amp;AN41,IF(AO39=2,AN41,IF(AO39=1,AN40,0)))</f>
        <v>前置條件 : 劈斬
需求騎士技能點 :  0 / 50</v>
      </c>
      <c r="AO42" s="4"/>
      <c r="AP42" s="4"/>
      <c r="AQ42" s="4"/>
      <c r="AR42" s="4"/>
      <c r="AS42" s="4"/>
      <c r="AT42" s="4"/>
      <c r="AU42" s="4"/>
      <c r="AV42" s="4"/>
      <c r="AW42" s="4"/>
      <c r="AX42" s="4" t="str">
        <f>IF(AY39=3,AX40&amp;char(10)&amp;AX41,IF(AY39=2,AX41,IF(AY39=1,AX40,0)))</f>
        <v>前置條件 : 閃電爆破
需求騎士技能點 :  0 / 50</v>
      </c>
      <c r="AY42" s="4"/>
      <c r="AZ42" s="4"/>
      <c r="BA42" s="4"/>
      <c r="BB42" s="4"/>
      <c r="BC42" s="4"/>
      <c r="BD42" s="4" t="str">
        <f>IF(BE39=3,BD40&amp;char(10)&amp;BD41,IF(BE39=2,BD41,IF(BE39=1,BD40,0)))</f>
        <v>前置條件 : 妖精魅力
需求巫師技能點 :  0 / 50</v>
      </c>
      <c r="BE42" s="4"/>
      <c r="BF42" s="4"/>
      <c r="BG42" s="4"/>
      <c r="BH42" s="4"/>
      <c r="BI42" s="4" t="str">
        <f>IF(BJ39=3,BI40&amp;char(10)&amp;BI41,IF(BJ39=2,BI41,IF(BJ39=1,BI40,0)))</f>
        <v>前置條件 : 魔力抽取
需求巫師技能點 :  0 / 50</v>
      </c>
      <c r="BJ42" s="4"/>
      <c r="BK42" s="4"/>
      <c r="BL42" s="4"/>
      <c r="BM42" s="4"/>
      <c r="BN42" s="4" t="str">
        <f>IF(BO39=3,BN40&amp;char(10)&amp;BN41,IF(BO39=2,BN41,IF(BO39=1,BN40,0)))</f>
        <v>前置條件 : 永恆黑暗
需求巫師技能點 :  0 / 50</v>
      </c>
      <c r="BO42" s="4"/>
      <c r="BP42" s="4"/>
      <c r="BQ42" s="4"/>
      <c r="BR42" s="4"/>
    </row>
    <row r="43" ht="16.5" customHeight="1">
      <c r="A43" s="243" t="s">
        <v>269</v>
      </c>
      <c r="B43" s="243" t="str">
        <f>" "&amp;'skill data'!F23&amp;" "</f>
        <v> 1 </v>
      </c>
      <c r="C43" s="243" t="s">
        <v>319</v>
      </c>
      <c r="D43" s="243" t="s">
        <v>320</v>
      </c>
      <c r="E43" s="243" t="str">
        <f>IF('skill data'!G23&lt;&gt;0," "&amp;'skill data'!G23&amp;" ","-")</f>
        <v>-</v>
      </c>
      <c r="F43" s="243"/>
      <c r="G43" s="243" t="str">
        <f>A43</f>
        <v>增加</v>
      </c>
      <c r="H43" s="243" t="str">
        <f>" "&amp;'skill data'!F62&amp;" "</f>
        <v> 1.5 </v>
      </c>
      <c r="I43" s="243" t="str">
        <f t="shared" ref="I43:J43" si="21">C43</f>
        <v>倍影分身傷害</v>
      </c>
      <c r="J43" s="243" t="str">
        <f t="shared" si="21"/>
        <v>影分身每秒攻擊次數增加</v>
      </c>
      <c r="K43" s="243" t="str">
        <f>" "&amp;'skill data'!G62</f>
        <v> 0.1</v>
      </c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ht="16.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ht="16.5" customHeight="1">
      <c r="A45" s="243" t="s">
        <v>321</v>
      </c>
      <c r="B45" s="243" t="str">
        <f>" "&amp;'skill data'!F24&amp;"%"</f>
        <v> 0%</v>
      </c>
      <c r="C45" s="243"/>
      <c r="D45" s="243" t="s">
        <v>322</v>
      </c>
      <c r="E45" s="243" t="str">
        <f>IF('skill data'!G24&lt;&gt;0," -"&amp;'skill data'!G24&amp;" ","-")</f>
        <v>-</v>
      </c>
      <c r="F45" s="243" t="s">
        <v>277</v>
      </c>
      <c r="G45" s="243" t="str">
        <f>A45</f>
        <v>多重妖精機率增加</v>
      </c>
      <c r="H45" s="243" t="str">
        <f>" "&amp;'skill data'!F63&amp;"%"</f>
        <v> 4%</v>
      </c>
      <c r="I45" s="243"/>
      <c r="J45" s="243" t="str">
        <f>D45</f>
        <v>妖精出現時間間隔</v>
      </c>
      <c r="K45" s="243" t="str">
        <f>" -"&amp;'skill data'!G63&amp;" "</f>
        <v> -4 </v>
      </c>
      <c r="L45" s="243" t="str">
        <f>F45</f>
        <v>秒</v>
      </c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 t="str">
        <f>A88</f>
        <v>增加 1 倍所有英雄傷害</v>
      </c>
      <c r="AE45" s="243"/>
      <c r="AF45" s="243"/>
      <c r="AG45" s="243"/>
      <c r="AH45" s="243"/>
      <c r="AI45" s="243"/>
      <c r="AJ45" s="243"/>
      <c r="AK45" s="243"/>
      <c r="AL45" s="243"/>
      <c r="AM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ht="16.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4"/>
      <c r="AN46" s="4" t="str">
        <f>AS46</f>
        <v>指揮官大師</v>
      </c>
      <c r="AO46" s="4"/>
      <c r="AP46" s="4"/>
      <c r="AQ46" s="4"/>
      <c r="AR46" s="4"/>
      <c r="AS46" s="4" t="str">
        <f>'技能模擬器'!L27</f>
        <v>指揮官大師</v>
      </c>
      <c r="AT46" s="4">
        <f>'skill data'!P147</f>
        <v>0</v>
      </c>
      <c r="AU46" s="4"/>
      <c r="AV46" s="4"/>
      <c r="AW46" s="4"/>
      <c r="AX46" s="4" t="str">
        <f>AS46</f>
        <v>指揮官大師</v>
      </c>
      <c r="AY46" s="4"/>
      <c r="AZ46" s="181" t="s">
        <v>293</v>
      </c>
      <c r="BA46" s="4"/>
      <c r="BB46" s="4"/>
      <c r="BC46" s="4"/>
      <c r="BD46" s="4" t="str">
        <f>BI46</f>
        <v>竊盜大師</v>
      </c>
      <c r="BE46" s="4"/>
      <c r="BF46" s="4"/>
      <c r="BG46" s="4"/>
      <c r="BH46" s="4"/>
      <c r="BI46" s="4" t="str">
        <f>'技能模擬器'!AB27</f>
        <v>竊盜大師</v>
      </c>
      <c r="BJ46" s="4">
        <f>'skill data'!AF147</f>
        <v>0</v>
      </c>
      <c r="BK46" s="4"/>
      <c r="BL46" s="4"/>
      <c r="BM46" s="4"/>
      <c r="BN46" s="4" t="str">
        <f>BI46</f>
        <v>竊盜大師</v>
      </c>
      <c r="BO46" s="4"/>
      <c r="BP46" s="181" t="s">
        <v>293</v>
      </c>
      <c r="BQ46" s="4"/>
      <c r="BR46" s="4"/>
    </row>
    <row r="47" ht="16.5" customHeight="1">
      <c r="A47" s="243" t="s">
        <v>323</v>
      </c>
      <c r="B47" s="243" t="str">
        <f>" "&amp;'skill data'!F25&amp;"% "</f>
        <v> 0% </v>
      </c>
      <c r="C47" s="243" t="s">
        <v>44</v>
      </c>
      <c r="D47" s="243"/>
      <c r="E47" s="243"/>
      <c r="F47" s="243"/>
      <c r="G47" s="243" t="str">
        <f>A47</f>
        <v>觸發魔力抽取時回復</v>
      </c>
      <c r="H47" s="243" t="str">
        <f>" "&amp;'skill data'!F64&amp;"% "</f>
        <v> 0.05% </v>
      </c>
      <c r="I47" s="243" t="str">
        <f>C47</f>
        <v>最大魔力</v>
      </c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81" t="s">
        <v>324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81" t="s">
        <v>325</v>
      </c>
      <c r="BQ47" s="4"/>
      <c r="BR47" s="4"/>
    </row>
    <row r="48" ht="16.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 t="str">
        <f>C88</f>
        <v>增加 1.2 倍所有英雄傷害</v>
      </c>
      <c r="AE48" s="243"/>
      <c r="AF48" s="243"/>
      <c r="AG48" s="243"/>
      <c r="AH48" s="243"/>
      <c r="AI48" s="243"/>
      <c r="AJ48" s="243"/>
      <c r="AK48" s="243"/>
      <c r="AL48" s="243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ht="16.5" customHeight="1">
      <c r="A49" s="243" t="s">
        <v>326</v>
      </c>
      <c r="B49" s="243" t="str">
        <f>" "&amp;'skill data'!F26&amp;" "</f>
        <v> 0 </v>
      </c>
      <c r="C49" s="243" t="s">
        <v>277</v>
      </c>
      <c r="D49" s="241" t="s">
        <v>327</v>
      </c>
      <c r="E49" s="243" t="str">
        <f>IF('skill data'!G26&lt;&gt;0," "&amp;'skill data'!G26&amp;" "," 0")</f>
        <v> 0</v>
      </c>
      <c r="F49" s="243"/>
      <c r="G49" s="243" t="str">
        <f>A49</f>
        <v>影分身持續時間增加</v>
      </c>
      <c r="H49" s="243" t="str">
        <f>" "&amp;'skill data'!F65&amp;" "</f>
        <v> 2 </v>
      </c>
      <c r="I49" s="243" t="str">
        <f t="shared" ref="I49:J49" si="22">C49</f>
        <v>秒</v>
      </c>
      <c r="J49" s="243" t="str">
        <f t="shared" si="22"/>
        <v>影分身最大濺射數量增加</v>
      </c>
      <c r="K49" s="243" t="str">
        <f>" "&amp;'skill data'!G65</f>
        <v> 0</v>
      </c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ht="16.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ht="16.5" customHeight="1">
      <c r="A51" s="241" t="s">
        <v>328</v>
      </c>
      <c r="B51" s="243" t="str">
        <f>'skill data'!F27&amp;" "</f>
        <v>0 </v>
      </c>
      <c r="C51" s="243"/>
      <c r="D51" s="241" t="s">
        <v>329</v>
      </c>
      <c r="E51" s="243" t="str">
        <f>IF('skill data'!G27&lt;&gt;0,'skill data'!G27&amp;"%","-")</f>
        <v>-</v>
      </c>
      <c r="F51" s="243"/>
      <c r="G51" s="243" t="str">
        <f>A51</f>
        <v>擊殺魔力瑪尼魔力回復量+</v>
      </c>
      <c r="H51" s="243" t="str">
        <f>'skill data'!F66&amp;" "</f>
        <v>2 </v>
      </c>
      <c r="I51" s="243" t="str">
        <f t="shared" ref="I51:J51" si="23">C51</f>
        <v/>
      </c>
      <c r="J51" s="243" t="str">
        <f t="shared" si="23"/>
        <v>魔力瑪尼出現機率+</v>
      </c>
      <c r="K51" s="243" t="str">
        <f>'skill data'!G66&amp;"%"</f>
        <v>0%</v>
      </c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 t="str">
        <f>A90&amp;CHAR(10)&amp;A91</f>
        <v>增加 1 倍寶箱黃金
寶箱怪出現機率增加-</v>
      </c>
      <c r="Z51" s="243"/>
      <c r="AA51" s="243"/>
      <c r="AB51" s="243"/>
      <c r="AC51" s="243"/>
      <c r="AD51" s="243" t="str">
        <f>A92&amp;CHAR(10)&amp;A93</f>
        <v>增加 1 倍戰嚎效果
在戰嚎持續時間內激勵-名英雄</v>
      </c>
      <c r="AE51" s="243"/>
      <c r="AF51" s="243"/>
      <c r="AG51" s="243"/>
      <c r="AH51" s="243"/>
      <c r="AI51" s="243" t="str">
        <f>A94&amp;CHAR(10)&amp;A95</f>
        <v>增加 1 倍公會飛船傷害
飛船最大濺射數量增加-</v>
      </c>
      <c r="AJ51" s="243"/>
      <c r="AK51" s="243"/>
      <c r="AL51" s="243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ht="16.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4"/>
      <c r="AN52" s="4" t="str">
        <f>'技能模擬器'!G33</f>
        <v>戰利品</v>
      </c>
      <c r="AO52" s="4">
        <f>'skill data'!K153</f>
        <v>3</v>
      </c>
      <c r="AP52" s="4"/>
      <c r="AQ52" s="4"/>
      <c r="AR52" s="4"/>
      <c r="AS52" s="4" t="str">
        <f>'技能模擬器'!L33</f>
        <v>英雄神力</v>
      </c>
      <c r="AT52" s="4">
        <f>'skill data'!P153</f>
        <v>3</v>
      </c>
      <c r="AU52" s="4"/>
      <c r="AV52" s="4"/>
      <c r="AW52" s="4"/>
      <c r="AX52" s="4" t="str">
        <f>'技能模擬器'!Q33</f>
        <v>空中突擊</v>
      </c>
      <c r="AY52" s="4">
        <f>'skill data'!U153</f>
        <v>3</v>
      </c>
      <c r="AZ52" s="4"/>
      <c r="BA52" s="4" t="str">
        <f>" "&amp;'skill data'!H134&amp;" "</f>
        <v> 0 </v>
      </c>
      <c r="BB52" s="181">
        <v>3.0</v>
      </c>
      <c r="BC52" s="4"/>
      <c r="BD52" s="4" t="str">
        <f>'技能模擬器'!W33</f>
        <v>暗殺</v>
      </c>
      <c r="BE52" s="4">
        <f>'skill data'!AA153</f>
        <v>3</v>
      </c>
      <c r="BF52" s="4"/>
      <c r="BG52" s="4"/>
      <c r="BH52" s="4"/>
      <c r="BI52" s="4" t="str">
        <f>'技能模擬器'!AB33</f>
        <v>沉默行軍</v>
      </c>
      <c r="BJ52" s="4">
        <f>'skill data'!AF153</f>
        <v>3</v>
      </c>
      <c r="BK52" s="4"/>
      <c r="BL52" s="4"/>
      <c r="BM52" s="4"/>
      <c r="BN52" s="4" t="str">
        <f>'技能模擬器'!AG33</f>
        <v>伏擊</v>
      </c>
      <c r="BO52" s="4">
        <f>'skill data'!AK153</f>
        <v>3</v>
      </c>
      <c r="BP52" s="4"/>
      <c r="BQ52" s="4" t="str">
        <f>" "&amp;'skill data'!H144&amp;" "</f>
        <v> 0 </v>
      </c>
      <c r="BR52" s="181">
        <v>3.0</v>
      </c>
    </row>
    <row r="53" ht="16.5" customHeight="1">
      <c r="A53" s="243" t="s">
        <v>330</v>
      </c>
      <c r="B53" s="243" t="str">
        <f>" "&amp;'skill data'!F28&amp;"% "</f>
        <v> 0% </v>
      </c>
      <c r="C53" s="243" t="s">
        <v>331</v>
      </c>
      <c r="D53" s="241" t="s">
        <v>332</v>
      </c>
      <c r="E53" s="243" t="str">
        <f>IF('skill data'!G28&lt;&gt;0," "&amp;'skill data'!G28&amp;"%","-")</f>
        <v>-</v>
      </c>
      <c r="F53" s="243"/>
      <c r="G53" s="243" t="str">
        <f>A53</f>
        <v>每次觸發造成</v>
      </c>
      <c r="H53" s="243" t="str">
        <f>" "&amp;'skill data'!F67&amp;"% "</f>
        <v> 10% </v>
      </c>
      <c r="I53" s="243" t="str">
        <f t="shared" ref="I53:J53" si="24">C53</f>
        <v>怪物當前生命的傷害</v>
      </c>
      <c r="J53" s="243" t="str">
        <f t="shared" si="24"/>
        <v>閃電雷擊傷害衰減率</v>
      </c>
      <c r="K53" s="243" t="str">
        <f>" "&amp;'skill data'!G67&amp;"%"</f>
        <v> 93.8%</v>
      </c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4"/>
      <c r="AN53" s="1" t="str">
        <f>$AZ$21&amp;" "&amp;AN46</f>
        <v>前置條件 : 指揮官大師</v>
      </c>
      <c r="AO53" s="4"/>
      <c r="AP53" s="4"/>
      <c r="AQ53" s="4"/>
      <c r="AR53" s="4"/>
      <c r="AS53" s="1" t="str">
        <f>$AZ$21&amp;" "&amp;AS46</f>
        <v>前置條件 : 指揮官大師</v>
      </c>
      <c r="AT53" s="4"/>
      <c r="AU53" s="4"/>
      <c r="AV53" s="4"/>
      <c r="AW53" s="4"/>
      <c r="AX53" s="1" t="str">
        <f>$AZ$21&amp;" "&amp;AX46</f>
        <v>前置條件 : 指揮官大師</v>
      </c>
      <c r="AY53" s="4"/>
      <c r="AZ53" s="4"/>
      <c r="BB53" s="4"/>
      <c r="BC53" s="4"/>
      <c r="BD53" s="1" t="str">
        <f>$AZ$21&amp;" "&amp;BD46</f>
        <v>前置條件 : 竊盜大師</v>
      </c>
      <c r="BE53" s="4"/>
      <c r="BF53" s="4"/>
      <c r="BG53" s="4"/>
      <c r="BH53" s="4"/>
      <c r="BI53" s="1" t="str">
        <f>$AZ$21&amp;" "&amp;BI46</f>
        <v>前置條件 : 竊盜大師</v>
      </c>
      <c r="BJ53" s="4"/>
      <c r="BK53" s="4"/>
      <c r="BL53" s="4"/>
      <c r="BM53" s="4"/>
      <c r="BN53" s="1" t="str">
        <f>$AZ$21&amp;" "&amp;BN46</f>
        <v>前置條件 : 竊盜大師</v>
      </c>
      <c r="BO53" s="4"/>
      <c r="BP53" s="4"/>
      <c r="BR53" s="4"/>
    </row>
    <row r="54" ht="16.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 t="str">
        <f>C90&amp;CHAR(10)&amp;C91</f>
        <v>增加 1.8 倍寶箱黃金
寶箱怪出現機率增加 1%</v>
      </c>
      <c r="Z54" s="243"/>
      <c r="AA54" s="243"/>
      <c r="AB54" s="243"/>
      <c r="AC54" s="243"/>
      <c r="AD54" s="243" t="str">
        <f>C92&amp;CHAR(10)&amp;C93</f>
        <v>增加 1.5 倍戰嚎效果
在戰嚎持續時間內激勵 1 名英雄</v>
      </c>
      <c r="AE54" s="243"/>
      <c r="AF54" s="243"/>
      <c r="AG54" s="243"/>
      <c r="AH54" s="243"/>
      <c r="AI54" s="243" t="str">
        <f>C94&amp;CHAR(10)&amp;C95</f>
        <v>增加 1.5 倍公會飛船傷害
飛船最大濺射數量增加 1</v>
      </c>
      <c r="AJ54" s="243"/>
      <c r="AK54" s="243"/>
      <c r="AL54" s="243"/>
      <c r="AM54" s="4"/>
      <c r="AN54" s="4" t="str">
        <f>$AZ$47&amp;$BA52&amp;"/ "&amp;$BB52</f>
        <v>需求軍閥技能點 :  0 / 3</v>
      </c>
      <c r="AO54" s="4"/>
      <c r="AP54" s="4"/>
      <c r="AQ54" s="4"/>
      <c r="AR54" s="4"/>
      <c r="AS54" s="4" t="str">
        <f>$AZ$47&amp;$BA52&amp;"/ "&amp;$BB52</f>
        <v>需求軍閥技能點 :  0 / 3</v>
      </c>
      <c r="AT54" s="4"/>
      <c r="AU54" s="4"/>
      <c r="AV54" s="4"/>
      <c r="AW54" s="4"/>
      <c r="AX54" s="4" t="str">
        <f>$AZ$47&amp;$BA52&amp;"/ "&amp;$BB52</f>
        <v>需求軍閥技能點 :  0 / 3</v>
      </c>
      <c r="AY54" s="4"/>
      <c r="AZ54" s="4"/>
      <c r="BB54" s="4"/>
      <c r="BC54" s="4"/>
      <c r="BD54" s="4" t="str">
        <f>$BP$47&amp;$BQ52&amp;"/ "&amp;$BB52</f>
        <v>需求流氓技能點 :  0 / 3</v>
      </c>
      <c r="BE54" s="4"/>
      <c r="BF54" s="4"/>
      <c r="BG54" s="4"/>
      <c r="BH54" s="4"/>
      <c r="BI54" s="4" t="str">
        <f>$BP$47&amp;$BQ52&amp;"/ "&amp;$BB52</f>
        <v>需求流氓技能點 :  0 / 3</v>
      </c>
      <c r="BJ54" s="4"/>
      <c r="BK54" s="4"/>
      <c r="BL54" s="4"/>
      <c r="BM54" s="4"/>
      <c r="BN54" s="4" t="str">
        <f>$BP$47&amp;$BQ52&amp;"/ "&amp;$BB52</f>
        <v>需求流氓技能點 :  0 / 3</v>
      </c>
      <c r="BO54" s="4"/>
      <c r="BP54" s="4"/>
      <c r="BQ54" s="4"/>
      <c r="BR54" s="4"/>
    </row>
    <row r="55" ht="16.5" customHeight="1">
      <c r="A55" s="243" t="s">
        <v>269</v>
      </c>
      <c r="B55" s="243" t="str">
        <f>" "&amp;'skill data'!F29&amp;" "</f>
        <v> 1 </v>
      </c>
      <c r="C55" s="243" t="s">
        <v>333</v>
      </c>
      <c r="D55" s="243" t="s">
        <v>334</v>
      </c>
      <c r="E55" s="243" t="str">
        <f>IF('skill data'!G29&lt;&gt;0," "&amp;'skill data'!G29&amp;" ","-")</f>
        <v> 1 </v>
      </c>
      <c r="F55" s="243" t="s">
        <v>335</v>
      </c>
      <c r="G55" s="243" t="str">
        <f>A55</f>
        <v>增加</v>
      </c>
      <c r="H55" s="243" t="str">
        <f>" "&amp;'skill data'!F68&amp;" "</f>
        <v> 1.31 </v>
      </c>
      <c r="I55" s="243" t="str">
        <f t="shared" ref="I55:J55" si="25">C55</f>
        <v>倍所有主動技能效果</v>
      </c>
      <c r="J55" s="243" t="str">
        <f t="shared" si="25"/>
        <v>影分身發動時增加</v>
      </c>
      <c r="K55" s="243" t="str">
        <f>" "&amp;'skill data'!G68&amp;" "</f>
        <v> 1.042 </v>
      </c>
      <c r="L55" s="243" t="str">
        <f>F55</f>
        <v>倍所有主動技能持續時間</v>
      </c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4"/>
      <c r="AN55" s="4" t="str">
        <f>IF(AO52=3,AN53&amp;char(10)&amp;AN54,IF(AO52=2,AN54,IF(AO52=1,AN53,0)))</f>
        <v>前置條件 : 指揮官大師
需求軍閥技能點 :  0 / 3</v>
      </c>
      <c r="AO55" s="4"/>
      <c r="AP55" s="4"/>
      <c r="AQ55" s="4"/>
      <c r="AR55" s="4"/>
      <c r="AS55" s="4" t="str">
        <f>IF(AT52=3,AS53&amp;char(10)&amp;AS54,IF(AT52=2,AS54,IF(AT52=1,AS53,0)))</f>
        <v>前置條件 : 指揮官大師
需求軍閥技能點 :  0 / 3</v>
      </c>
      <c r="AT55" s="4"/>
      <c r="AU55" s="4"/>
      <c r="AV55" s="4"/>
      <c r="AW55" s="4"/>
      <c r="AX55" s="4" t="str">
        <f>IF(AY52=3,AX53&amp;char(10)&amp;AX54,IF(AY52=2,AX54,IF(AY52=1,AX53,0)))</f>
        <v>前置條件 : 指揮官大師
需求軍閥技能點 :  0 / 3</v>
      </c>
      <c r="AY55" s="4"/>
      <c r="AZ55" s="4"/>
      <c r="BA55" s="4"/>
      <c r="BB55" s="4"/>
      <c r="BC55" s="4"/>
      <c r="BD55" s="4" t="str">
        <f>IF(BE52=3,BD53&amp;char(10)&amp;BD54,IF(BE52=2,BD54,IF(BE52=1,BD53,0)))</f>
        <v>前置條件 : 竊盜大師
需求流氓技能點 :  0 / 3</v>
      </c>
      <c r="BE55" s="4"/>
      <c r="BF55" s="4"/>
      <c r="BG55" s="4"/>
      <c r="BH55" s="4"/>
      <c r="BI55" s="4" t="str">
        <f>IF(BJ52=3,BI53&amp;char(10)&amp;BI54,IF(BJ52=2,BI54,IF(BJ52=1,BI53,0)))</f>
        <v>前置條件 : 竊盜大師
需求流氓技能點 :  0 / 3</v>
      </c>
      <c r="BJ55" s="4"/>
      <c r="BK55" s="4"/>
      <c r="BL55" s="4"/>
      <c r="BM55" s="4"/>
      <c r="BN55" s="4" t="str">
        <f>IF(BO52=3,BN53&amp;char(10)&amp;BN54,IF(BO52=2,BN54,IF(BO52=1,BN53,0)))</f>
        <v>前置條件 : 竊盜大師
需求流氓技能點 :  0 / 3</v>
      </c>
      <c r="BO55" s="4"/>
      <c r="BP55" s="4"/>
      <c r="BQ55" s="4"/>
      <c r="BR55" s="4"/>
    </row>
    <row r="56" ht="16.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ht="16.5" customHeight="1">
      <c r="A57" s="243" t="s">
        <v>269</v>
      </c>
      <c r="B57" s="243" t="str">
        <f>" "&amp;'skill data'!F30&amp;" "</f>
        <v> 1 </v>
      </c>
      <c r="C57" s="243" t="s">
        <v>336</v>
      </c>
      <c r="D57" s="243" t="s">
        <v>269</v>
      </c>
      <c r="E57" s="243" t="str">
        <f>IF('skill data'!G30&lt;&gt;0," "&amp;'skill data'!J30&amp;" ","-")</f>
        <v> 1 </v>
      </c>
      <c r="F57" s="243" t="s">
        <v>337</v>
      </c>
      <c r="G57" s="243" t="str">
        <f>A57</f>
        <v>增加</v>
      </c>
      <c r="H57" s="243" t="str">
        <f>" "&amp;'skill data'!F69&amp;" "</f>
        <v> 1.6 </v>
      </c>
      <c r="I57" s="243" t="str">
        <f t="shared" ref="I57:J57" si="26">C57</f>
        <v>倍所有黃金</v>
      </c>
      <c r="J57" s="243" t="str">
        <f t="shared" si="26"/>
        <v>增加</v>
      </c>
      <c r="K57" s="243" t="str">
        <f>" "&amp;'skill data'!J69&amp;" "</f>
        <v> 1.2 </v>
      </c>
      <c r="L57" s="243" t="str">
        <f>F57</f>
        <v>倍離線黃金</v>
      </c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 t="str">
        <f>A96&amp;CHAR(10)&amp;A97</f>
        <v>增加 0% 倍率型英雄技能效果
增加- 相加型英雄技能效果</v>
      </c>
      <c r="Z57" s="243"/>
      <c r="AA57" s="243"/>
      <c r="AB57" s="243"/>
      <c r="AC57" s="243"/>
      <c r="AD57" s="243" t="str">
        <f>A98&amp;CHAR(10)&amp;A99</f>
        <v>受激勵英雄每次攻擊增加 0% 泰坦受到傷害
戰嚎持續時間增加-秒</v>
      </c>
      <c r="AE57" s="243"/>
      <c r="AF57" s="243"/>
      <c r="AG57" s="243"/>
      <c r="AH57" s="243"/>
      <c r="AI57" s="243" t="str">
        <f>A100&amp;CHAR(10)&amp;A101</f>
        <v>召喚公會夥伴時增加 1 倍所有英雄傷害
召喚夥伴冷卻時間 -0 秒</v>
      </c>
      <c r="AJ57" s="243"/>
      <c r="AK57" s="243"/>
      <c r="AL57" s="243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ht="16.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4"/>
      <c r="AN58" s="4" t="str">
        <f>'技能模擬器'!G39</f>
        <v>洞察戰術</v>
      </c>
      <c r="AO58" s="4">
        <f>'skill data'!K159</f>
        <v>3</v>
      </c>
      <c r="AP58" s="4"/>
      <c r="AQ58" s="4"/>
      <c r="AR58" s="4"/>
      <c r="AS58" s="4" t="str">
        <f>'技能模擬器'!L39</f>
        <v>灼熱之光</v>
      </c>
      <c r="AT58" s="4">
        <f>'skill data'!P159</f>
        <v>3</v>
      </c>
      <c r="AU58" s="4"/>
      <c r="AV58" s="4"/>
      <c r="AW58" s="4"/>
      <c r="AX58" s="4" t="str">
        <f>'技能模擬器'!Q39</f>
        <v>聯合進擊</v>
      </c>
      <c r="AY58" s="4">
        <f>'skill data'!U159</f>
        <v>3</v>
      </c>
      <c r="AZ58" s="4"/>
      <c r="BA58" s="4" t="str">
        <f>" "&amp;'skill data'!H135&amp;" "</f>
        <v> 0 </v>
      </c>
      <c r="BB58" s="181">
        <v>20.0</v>
      </c>
      <c r="BC58" s="4"/>
      <c r="BD58" s="4" t="str">
        <f>'技能模擬器'!W39</f>
        <v>暮色面紗</v>
      </c>
      <c r="BE58" s="4">
        <f>'skill data'!AA159</f>
        <v>3</v>
      </c>
      <c r="BF58" s="4"/>
      <c r="BG58" s="4"/>
      <c r="BH58" s="4"/>
      <c r="BI58" s="4" t="str">
        <f>'技能模擬器'!AB39</f>
        <v>幽靈船</v>
      </c>
      <c r="BJ58" s="4">
        <f>'skill data'!AF159</f>
        <v>3</v>
      </c>
      <c r="BK58" s="4"/>
      <c r="BL58" s="4"/>
      <c r="BM58" s="4"/>
      <c r="BN58" s="4" t="str">
        <f>'技能模擬器'!AG39</f>
        <v>闇影殺手</v>
      </c>
      <c r="BO58" s="4">
        <f>'skill data'!AK159</f>
        <v>3</v>
      </c>
      <c r="BP58" s="4"/>
      <c r="BQ58" s="4" t="str">
        <f>" "&amp;'skill data'!H145&amp;" "</f>
        <v> 0 </v>
      </c>
      <c r="BR58" s="181">
        <v>20.0</v>
      </c>
    </row>
    <row r="59" ht="16.5" customHeight="1">
      <c r="A59" s="243" t="s">
        <v>269</v>
      </c>
      <c r="B59" s="243" t="str">
        <f>" "&amp;'skill data'!F31&amp;" "</f>
        <v> 1 </v>
      </c>
      <c r="C59" s="243" t="s">
        <v>338</v>
      </c>
      <c r="D59" s="241" t="s">
        <v>339</v>
      </c>
      <c r="E59" s="243" t="str">
        <f>IF('skill data'!G31&lt;&gt;0," "&amp;'skill data'!G31&amp;" ","-")</f>
        <v>-</v>
      </c>
      <c r="F59" s="241" t="s">
        <v>277</v>
      </c>
      <c r="G59" s="243" t="str">
        <f>A59</f>
        <v>增加</v>
      </c>
      <c r="H59" s="243" t="str">
        <f>" "&amp;'skill data'!F70&amp;" "</f>
        <v> 1.6 </v>
      </c>
      <c r="I59" s="243" t="str">
        <f t="shared" ref="I59:J59" si="27">C59</f>
        <v>倍致命打擊效果</v>
      </c>
      <c r="J59" s="243" t="str">
        <f t="shared" si="27"/>
        <v>致命打擊持續時間增加</v>
      </c>
      <c r="K59" s="243" t="str">
        <f>" "&amp;'skill data'!G70&amp;" "</f>
        <v> 2 </v>
      </c>
      <c r="L59" s="243" t="str">
        <f>F59</f>
        <v>秒</v>
      </c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4"/>
      <c r="AN59" s="1" t="str">
        <f>$AZ$21&amp;" "&amp;AN52</f>
        <v>前置條件 : 戰利品</v>
      </c>
      <c r="AO59" s="4"/>
      <c r="AP59" s="4"/>
      <c r="AQ59" s="4"/>
      <c r="AR59" s="4"/>
      <c r="AS59" s="1" t="str">
        <f>$AZ$21&amp;" "&amp;AS52</f>
        <v>前置條件 : 英雄神力</v>
      </c>
      <c r="AT59" s="4"/>
      <c r="AU59" s="4"/>
      <c r="AV59" s="4"/>
      <c r="AW59" s="4"/>
      <c r="AX59" s="1" t="str">
        <f>$AZ$21&amp;" "&amp;AX52</f>
        <v>前置條件 : 空中突擊</v>
      </c>
      <c r="AY59" s="4"/>
      <c r="AZ59" s="4"/>
      <c r="BB59" s="4"/>
      <c r="BC59" s="4"/>
      <c r="BD59" s="1" t="str">
        <f>$AZ$21&amp;" "&amp;BD52</f>
        <v>前置條件 : 暗殺</v>
      </c>
      <c r="BE59" s="4"/>
      <c r="BF59" s="4"/>
      <c r="BG59" s="4"/>
      <c r="BH59" s="4"/>
      <c r="BI59" s="1" t="str">
        <f>$AZ$21&amp;" "&amp;BI52</f>
        <v>前置條件 : 沉默行軍</v>
      </c>
      <c r="BJ59" s="4"/>
      <c r="BK59" s="4"/>
      <c r="BL59" s="4"/>
      <c r="BM59" s="4"/>
      <c r="BN59" s="1" t="str">
        <f>$AZ$21&amp;" "&amp;BN52</f>
        <v>前置條件 : 伏擊</v>
      </c>
      <c r="BO59" s="4"/>
      <c r="BP59" s="4"/>
      <c r="BQ59" s="4"/>
      <c r="BR59" s="4"/>
    </row>
    <row r="60" ht="16.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 t="str">
        <f>C96&amp;CHAR(10)&amp;C97</f>
        <v>增加 0.25% 倍率型英雄技能效果
增加 2% 相加型英雄技能效果</v>
      </c>
      <c r="Z60" s="243"/>
      <c r="AA60" s="243"/>
      <c r="AB60" s="243"/>
      <c r="AC60" s="243"/>
      <c r="AD60" s="243" t="str">
        <f>C98&amp;CHAR(10)&amp;C99</f>
        <v>受激勵英雄每次攻擊增加 0.75% 泰坦受到傷害
戰嚎持續時間增加 1 秒</v>
      </c>
      <c r="AE60" s="243"/>
      <c r="AF60" s="243"/>
      <c r="AG60" s="243"/>
      <c r="AH60" s="243"/>
      <c r="AI60" s="243" t="str">
        <f>C100&amp;CHAR(10)&amp;C101</f>
        <v>召喚公會夥伴時增加 1.8 倍所有英雄傷害
召喚夥伴冷卻時間 -0 秒</v>
      </c>
      <c r="AJ60" s="243"/>
      <c r="AK60" s="243"/>
      <c r="AL60" s="243"/>
      <c r="AM60" s="4"/>
      <c r="AN60" s="4" t="str">
        <f>$AZ$47&amp;$BA58&amp;"/ "&amp;$BB58</f>
        <v>需求軍閥技能點 :  0 / 20</v>
      </c>
      <c r="AO60" s="4"/>
      <c r="AP60" s="4"/>
      <c r="AQ60" s="4"/>
      <c r="AR60" s="4"/>
      <c r="AS60" s="4" t="str">
        <f>$AZ$47&amp;$BA58&amp;"/ "&amp;$BB58</f>
        <v>需求軍閥技能點 :  0 / 20</v>
      </c>
      <c r="AT60" s="4"/>
      <c r="AU60" s="4"/>
      <c r="AV60" s="4"/>
      <c r="AW60" s="4"/>
      <c r="AX60" s="4" t="str">
        <f>$AZ$47&amp;$BA58&amp;"/ "&amp;$BB58</f>
        <v>需求軍閥技能點 :  0 / 20</v>
      </c>
      <c r="AY60" s="4"/>
      <c r="AZ60" s="4"/>
      <c r="BA60" s="4"/>
      <c r="BB60" s="4"/>
      <c r="BC60" s="4"/>
      <c r="BD60" s="4" t="str">
        <f>$BP$47&amp;$BQ58&amp;"/ "&amp;$BB58</f>
        <v>需求流氓技能點 :  0 / 20</v>
      </c>
      <c r="BE60" s="4"/>
      <c r="BF60" s="4"/>
      <c r="BG60" s="4"/>
      <c r="BH60" s="4"/>
      <c r="BI60" s="4" t="str">
        <f>$BP$47&amp;$BQ58&amp;"/ "&amp;$BB58</f>
        <v>需求流氓技能點 :  0 / 20</v>
      </c>
      <c r="BJ60" s="4"/>
      <c r="BK60" s="4"/>
      <c r="BL60" s="4"/>
      <c r="BM60" s="4"/>
      <c r="BN60" s="4" t="str">
        <f>$BP$47&amp;$BQ58&amp;"/ "&amp;$BB58</f>
        <v>需求流氓技能點 :  0 / 20</v>
      </c>
      <c r="BO60" s="4"/>
      <c r="BP60" s="4"/>
      <c r="BQ60" s="4"/>
      <c r="BR60" s="4"/>
    </row>
    <row r="61" ht="16.5" customHeight="1">
      <c r="A61" s="243" t="s">
        <v>269</v>
      </c>
      <c r="B61" s="243" t="str">
        <f>" "&amp;'skill data'!F32&amp;" "</f>
        <v> 0 </v>
      </c>
      <c r="C61" s="243" t="s">
        <v>340</v>
      </c>
      <c r="D61" s="243" t="s">
        <v>341</v>
      </c>
      <c r="E61" s="243" t="str">
        <f>IF('skill data'!G32&lt;&gt;0," -"&amp;'skill data'!G32&amp;"% "," -0%")</f>
        <v> -0%</v>
      </c>
      <c r="F61" s="243"/>
      <c r="G61" s="243" t="str">
        <f>A61</f>
        <v>增加</v>
      </c>
      <c r="H61" s="243" t="str">
        <f>" "&amp;'skill data'!F71&amp;" "</f>
        <v> 1 </v>
      </c>
      <c r="I61" s="243" t="str">
        <f t="shared" ref="I61:J61" si="28">C61</f>
        <v>倍離線傷害</v>
      </c>
      <c r="J61" s="243" t="str">
        <f t="shared" si="28"/>
        <v>離線時怪物重生間隔</v>
      </c>
      <c r="K61" s="243" t="str">
        <f>" -"&amp;'skill data'!G71&amp;"%"</f>
        <v> -0%</v>
      </c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4"/>
      <c r="AN61" s="4" t="str">
        <f>IF(AO58=3,AN59&amp;char(10)&amp;AN60,IF(AO58=2,AN60,IF(AO58=1,AN59,0)))</f>
        <v>前置條件 : 戰利品
需求軍閥技能點 :  0 / 20</v>
      </c>
      <c r="AO61" s="4"/>
      <c r="AP61" s="4"/>
      <c r="AQ61" s="4"/>
      <c r="AR61" s="4"/>
      <c r="AS61" s="4" t="str">
        <f>IF(AT58=3,AS59&amp;char(10)&amp;AS60,IF(AT58=2,AS60,IF(AT58=1,AS59,0)))</f>
        <v>前置條件 : 英雄神力
需求軍閥技能點 :  0 / 20</v>
      </c>
      <c r="AT61" s="4"/>
      <c r="AU61" s="4"/>
      <c r="AV61" s="4"/>
      <c r="AW61" s="4"/>
      <c r="AX61" s="4" t="str">
        <f>IF(AY58=3,AX59&amp;char(10)&amp;AX60,IF(AY58=2,AX60,IF(AY58=1,AX59,0)))</f>
        <v>前置條件 : 空中突擊
需求軍閥技能點 :  0 / 20</v>
      </c>
      <c r="AY61" s="4"/>
      <c r="AZ61" s="4"/>
      <c r="BA61" s="4"/>
      <c r="BB61" s="4"/>
      <c r="BC61" s="4"/>
      <c r="BD61" s="4" t="str">
        <f>IF(BE58=3,BD59&amp;char(10)&amp;BD60,IF(BE58=2,BD60,IF(BE58=1,BD59,0)))</f>
        <v>前置條件 : 暗殺
需求流氓技能點 :  0 / 20</v>
      </c>
      <c r="BE61" s="4"/>
      <c r="BF61" s="4"/>
      <c r="BG61" s="4"/>
      <c r="BH61" s="4"/>
      <c r="BI61" s="4" t="str">
        <f>IF(BJ58=3,BI59&amp;char(10)&amp;BI60,IF(BJ58=2,BI60,IF(BJ58=1,BI59,0)))</f>
        <v>前置條件 : 沉默行軍
需求流氓技能點 :  0 / 20</v>
      </c>
      <c r="BJ61" s="4"/>
      <c r="BK61" s="4"/>
      <c r="BL61" s="4"/>
      <c r="BM61" s="4"/>
      <c r="BN61" s="4" t="str">
        <f>IF(BO58=3,BN59&amp;char(10)&amp;BN60,IF(BO58=2,BN60,IF(BO58=1,BN59,0)))</f>
        <v>前置條件 : 伏擊
需求流氓技能點 :  0 / 20</v>
      </c>
      <c r="BO61" s="4"/>
      <c r="BP61" s="4"/>
      <c r="BQ61" s="4"/>
      <c r="BR61" s="4"/>
    </row>
    <row r="62" ht="16.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ht="16.5" customHeight="1">
      <c r="A63" s="243" t="s">
        <v>269</v>
      </c>
      <c r="B63" s="243" t="str">
        <f>" "&amp;'skill data'!F33&amp;"% "</f>
        <v> 0% </v>
      </c>
      <c r="C63" s="243" t="s">
        <v>342</v>
      </c>
      <c r="D63" s="241" t="s">
        <v>343</v>
      </c>
      <c r="E63" s="243" t="str">
        <f>" "&amp;'skill data'!G33</f>
        <v> 0</v>
      </c>
      <c r="F63" s="243"/>
      <c r="G63" s="243" t="str">
        <f>A63</f>
        <v>增加</v>
      </c>
      <c r="H63" s="243" t="str">
        <f>" "&amp;'skill data'!F72&amp;"% "</f>
        <v> 1% </v>
      </c>
      <c r="I63" s="243" t="str">
        <f t="shared" ref="I63:J63" si="29">C63</f>
        <v>多重泰坦機率</v>
      </c>
      <c r="J63" s="243" t="str">
        <f t="shared" si="29"/>
        <v>最大多重泰坦數量增加</v>
      </c>
      <c r="K63" s="243" t="str">
        <f>" "&amp;'skill data'!G72</f>
        <v> 1</v>
      </c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 t="str">
        <f>A102</f>
        <v>每次點擊晶球增加 1 倍所有英雄傷害(共5次)</v>
      </c>
      <c r="Z63" s="243"/>
      <c r="AA63" s="243"/>
      <c r="AB63" s="243"/>
      <c r="AC63" s="243"/>
      <c r="AD63" s="243"/>
      <c r="AE63" s="243"/>
      <c r="AF63" s="243"/>
      <c r="AG63" s="243"/>
      <c r="AH63" s="243"/>
      <c r="AI63" s="243" t="str">
        <f>A104&amp;CHAR(10)&amp;A105</f>
        <v>怪物麻痺時增加 1 倍受到傷害
麻痺持續時間-秒</v>
      </c>
      <c r="AJ63" s="243"/>
      <c r="AK63" s="243"/>
      <c r="AL63" s="24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ht="16.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4"/>
      <c r="AN64" s="4" t="str">
        <f>'技能模擬器'!G45</f>
        <v>星體覺醒</v>
      </c>
      <c r="AO64" s="4">
        <f>'skill data'!K165</f>
        <v>3</v>
      </c>
      <c r="AP64" s="4"/>
      <c r="AQ64" s="4"/>
      <c r="AR64" s="4"/>
      <c r="AS64" s="4"/>
      <c r="AT64" s="4"/>
      <c r="AU64" s="4"/>
      <c r="AV64" s="4"/>
      <c r="AW64" s="4"/>
      <c r="AX64" s="4" t="str">
        <f>'技能模擬器'!Q45</f>
        <v>禁錮射擊</v>
      </c>
      <c r="AY64" s="4">
        <f>'skill data'!U165</f>
        <v>3</v>
      </c>
      <c r="AZ64" s="4"/>
      <c r="BA64" s="4" t="str">
        <f>" "&amp;'skill data'!H136&amp;" "</f>
        <v> 0 </v>
      </c>
      <c r="BB64" s="181">
        <v>50.0</v>
      </c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181"/>
    </row>
    <row r="65" ht="16.5" customHeight="1">
      <c r="A65" s="243" t="s">
        <v>344</v>
      </c>
      <c r="B65" s="243" t="str">
        <f>" "&amp;'skill data'!F34</f>
        <v> 0</v>
      </c>
      <c r="C65" s="241" t="s">
        <v>345</v>
      </c>
      <c r="D65" s="243" t="s">
        <v>269</v>
      </c>
      <c r="E65" s="243" t="str">
        <f>IF('skill data'!G34&lt;&gt;0," "&amp;'skill data'!G34&amp;" ","-")</f>
        <v>-</v>
      </c>
      <c r="F65" s="243" t="s">
        <v>346</v>
      </c>
      <c r="G65" s="243" t="str">
        <f>A65</f>
        <v>離線時增加</v>
      </c>
      <c r="H65" s="243" t="str">
        <f>" "&amp;'skill data'!F73</f>
        <v> 1</v>
      </c>
      <c r="I65" s="243" t="str">
        <f t="shared" ref="I65:J65" si="30">C65</f>
        <v>% 寵物傷害</v>
      </c>
      <c r="J65" s="243" t="str">
        <f t="shared" si="30"/>
        <v>增加</v>
      </c>
      <c r="K65" s="243" t="str">
        <f>" "&amp;'skill data'!G73&amp;" "</f>
        <v> 1 </v>
      </c>
      <c r="L65" s="243" t="str">
        <f>F65</f>
        <v>倍寵物致命打擊傷害</v>
      </c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4"/>
      <c r="AN65" s="1" t="str">
        <f>$AZ$21&amp;" "&amp;AN58</f>
        <v>前置條件 : 洞察戰術</v>
      </c>
      <c r="AO65" s="4"/>
      <c r="AP65" s="4"/>
      <c r="AQ65" s="4"/>
      <c r="AR65" s="4"/>
      <c r="AS65" s="4"/>
      <c r="AT65" s="4"/>
      <c r="AU65" s="4"/>
      <c r="AV65" s="4"/>
      <c r="AW65" s="4"/>
      <c r="AX65" s="1" t="str">
        <f>$AZ$21&amp;" "&amp;AX58</f>
        <v>前置條件 : 聯合進擊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  <row r="66" ht="16.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 t="str">
        <f>C102</f>
        <v>每次點擊晶球增加 1.21 倍所有英雄傷害(共5次)</v>
      </c>
      <c r="Z66" s="243"/>
      <c r="AA66" s="243"/>
      <c r="AB66" s="243"/>
      <c r="AC66" s="243"/>
      <c r="AD66" s="243"/>
      <c r="AE66" s="243"/>
      <c r="AF66" s="243"/>
      <c r="AG66" s="243"/>
      <c r="AH66" s="243"/>
      <c r="AI66" s="243" t="str">
        <f>C104&amp;CHAR(10)&amp;C105</f>
        <v>怪物麻痺時增加 3.5 倍受到傷害
麻痺持續時間 0.8 秒</v>
      </c>
      <c r="AJ66" s="243"/>
      <c r="AK66" s="243"/>
      <c r="AL66" s="243"/>
      <c r="AM66" s="4"/>
      <c r="AN66" s="4" t="str">
        <f>$AZ$47&amp;$BA64&amp;"/ "&amp;$BB64</f>
        <v>需求軍閥技能點 :  0 / 50</v>
      </c>
      <c r="AO66" s="4"/>
      <c r="AP66" s="4"/>
      <c r="AQ66" s="4"/>
      <c r="AR66" s="4"/>
      <c r="AS66" s="4"/>
      <c r="AT66" s="4"/>
      <c r="AU66" s="4"/>
      <c r="AV66" s="4"/>
      <c r="AW66" s="4"/>
      <c r="AX66" s="4" t="str">
        <f>$AZ$47&amp;$BA64&amp;"/ "&amp;$BB64</f>
        <v>需求軍閥技能點 :  0 / 50</v>
      </c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ht="16.5" customHeight="1">
      <c r="A67" s="243" t="s">
        <v>344</v>
      </c>
      <c r="B67" s="243" t="str">
        <f>" "&amp;'skill data'!F35</f>
        <v> 0</v>
      </c>
      <c r="C67" s="241" t="s">
        <v>347</v>
      </c>
      <c r="D67" s="243" t="s">
        <v>269</v>
      </c>
      <c r="E67" s="243" t="str">
        <f>IF('skill data'!G35&lt;&gt;0," "&amp;'skill data'!G35&amp;" ","-")</f>
        <v>-</v>
      </c>
      <c r="F67" s="243" t="s">
        <v>348</v>
      </c>
      <c r="G67" s="243" t="str">
        <f>A67</f>
        <v>離線時增加</v>
      </c>
      <c r="H67" s="243" t="str">
        <f>" "&amp;'skill data'!F74</f>
        <v> 1</v>
      </c>
      <c r="I67" s="243" t="str">
        <f t="shared" ref="I67:J67" si="31">C67</f>
        <v>% 公會飛船傷害</v>
      </c>
      <c r="J67" s="243" t="str">
        <f t="shared" si="31"/>
        <v>增加</v>
      </c>
      <c r="K67" s="243" t="str">
        <f>" "&amp;'skill data'!G74&amp;" "</f>
        <v> 1 </v>
      </c>
      <c r="L67" s="243" t="str">
        <f>F67</f>
        <v>倍公會致命打擊傷害</v>
      </c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4"/>
      <c r="AN67" s="4" t="str">
        <f>IF(AO64=3,AN65&amp;char(10)&amp;AN66,IF(AO64=2,AN66,IF(AO64=1,AN65,0)))</f>
        <v>前置條件 : 洞察戰術
需求軍閥技能點 :  0 / 50</v>
      </c>
      <c r="AO67" s="4"/>
      <c r="AP67" s="4"/>
      <c r="AQ67" s="4"/>
      <c r="AR67" s="4"/>
      <c r="AS67" s="4"/>
      <c r="AT67" s="4"/>
      <c r="AU67" s="4"/>
      <c r="AV67" s="4"/>
      <c r="AW67" s="4"/>
      <c r="AX67" s="4" t="str">
        <f>IF(AY64=3,AX65&amp;char(10)&amp;AX66,IF(AY64=2,AX66,IF(AY64=1,AX65,0)))</f>
        <v>前置條件 : 聯合進擊
需求軍閥技能點 :  0 / 50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ht="16.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</row>
    <row r="69" ht="16.5" customHeight="1">
      <c r="A69" s="243" t="s">
        <v>344</v>
      </c>
      <c r="B69" s="243" t="str">
        <f>" "&amp;'skill data'!F36</f>
        <v> 0</v>
      </c>
      <c r="C69" s="241" t="s">
        <v>349</v>
      </c>
      <c r="D69" s="243" t="s">
        <v>269</v>
      </c>
      <c r="E69" s="243" t="str">
        <f>IF('skill data'!G36&lt;&gt;0," "&amp;'skill data'!G36&amp;" ","-")</f>
        <v>-</v>
      </c>
      <c r="F69" s="243" t="s">
        <v>350</v>
      </c>
      <c r="G69" s="243" t="str">
        <f>A69</f>
        <v>離線時增加</v>
      </c>
      <c r="H69" s="243" t="str">
        <f>" "&amp;'skill data'!F75</f>
        <v> 1</v>
      </c>
      <c r="I69" s="243" t="str">
        <f t="shared" ref="I69:J69" si="32">C69</f>
        <v>% 影分身傷害</v>
      </c>
      <c r="J69" s="243" t="str">
        <f t="shared" si="32"/>
        <v>增加</v>
      </c>
      <c r="K69" s="243" t="str">
        <f>" "&amp;'skill data'!G75&amp;" "</f>
        <v> 1 </v>
      </c>
      <c r="L69" s="243" t="str">
        <f>F69</f>
        <v>倍影分身致命打擊傷害</v>
      </c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 t="str">
        <f>A106&amp;CHAR(10)&amp;A107</f>
        <v>增加 0 最大魔力
增加-每分鐘魔力回復量</v>
      </c>
      <c r="AE69" s="243"/>
      <c r="AF69" s="243"/>
      <c r="AG69" s="243"/>
      <c r="AH69" s="243"/>
      <c r="AI69" s="243"/>
      <c r="AJ69" s="243"/>
      <c r="AK69" s="243"/>
      <c r="AL69" s="243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</row>
    <row r="70" ht="16.5" customHeight="1">
      <c r="A70" s="243" t="str">
        <f>A1&amp;B1&amp;C1</f>
        <v>增加 1 倍點擊傷害</v>
      </c>
      <c r="B70" s="243"/>
      <c r="C70" s="243" t="str">
        <f>G1&amp;H1&amp;I1</f>
        <v>增加 1.2 倍點擊傷害</v>
      </c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</row>
    <row r="71" ht="16.5" customHeight="1">
      <c r="A71" s="243" t="str">
        <f>D1&amp;E1&amp;F1</f>
        <v/>
      </c>
      <c r="B71" s="243"/>
      <c r="C71" s="243" t="str">
        <f>J1&amp;K1&amp;L1</f>
        <v/>
      </c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</row>
    <row r="72" ht="16.5" customHeight="1">
      <c r="A72" s="243" t="str">
        <f>A3&amp;B3&amp;C3</f>
        <v>提升相當於 0% 英雄傷害的點擊傷害</v>
      </c>
      <c r="B72" s="243"/>
      <c r="C72" s="243" t="str">
        <f>G3&amp;H3&amp;I3</f>
        <v>提升相當於 0.04% 英雄傷害的點擊傷害</v>
      </c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 t="str">
        <f>C106&amp;CHAR(10)&amp;C107</f>
        <v>增加 5 最大魔力
增加 0.1 每分鐘魔力回復量</v>
      </c>
      <c r="AE72" s="243"/>
      <c r="AF72" s="243"/>
      <c r="AG72" s="243"/>
      <c r="AH72" s="243"/>
      <c r="AI72" s="243"/>
      <c r="AJ72" s="243"/>
      <c r="AK72" s="243"/>
      <c r="AL72" s="243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</row>
    <row r="73" ht="16.5" customHeight="1">
      <c r="A73" s="243" t="str">
        <f>D3&amp;E3&amp;F3</f>
        <v/>
      </c>
      <c r="B73" s="243"/>
      <c r="C73" s="243" t="str">
        <f>J3&amp;K3&amp;L3</f>
        <v/>
      </c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</row>
    <row r="74" ht="16.5" customHeight="1">
      <c r="A74" s="243" t="str">
        <f>A5&amp;B5&amp;C5</f>
        <v>增加 1 倍寵物傷害</v>
      </c>
      <c r="B74" s="243"/>
      <c r="C74" s="243" t="str">
        <f>G5&amp;H5&amp;I5</f>
        <v>增加 1.5 倍寵物傷害</v>
      </c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ht="16.5" customHeight="1">
      <c r="A75" s="243" t="str">
        <f>D5&amp;E5&amp;F5</f>
        <v>寵物發動攻擊所需點擊數 -0</v>
      </c>
      <c r="B75" s="243"/>
      <c r="C75" s="243" t="str">
        <f>J5&amp;K5&amp;L5</f>
        <v>寵物發動攻擊所需點擊數 -0</v>
      </c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 t="str">
        <f>A108&amp;CHAR(10)&amp;A109</f>
        <v>增加 1 倍米達斯之手效果
增加 1 倍妖精黃金</v>
      </c>
      <c r="Z75" s="243"/>
      <c r="AA75" s="243"/>
      <c r="AB75" s="243"/>
      <c r="AC75" s="243"/>
      <c r="AD75" s="243" t="str">
        <f>A110&amp;CHAR(10)&amp;A111</f>
        <v>增加 1 倍天堂聖擊傷害
天堂聖擊跳躍濺射數增加 0</v>
      </c>
      <c r="AE75" s="243"/>
      <c r="AF75" s="243"/>
      <c r="AG75" s="243"/>
      <c r="AH75" s="243"/>
      <c r="AI75" s="243" t="str">
        <f>A112&amp;CHAR(10)&amp;A113</f>
        <v>增加 1 倍影分身傷害
影分身每秒攻擊次數增加-</v>
      </c>
      <c r="AJ75" s="243"/>
      <c r="AK75" s="243"/>
      <c r="AL75" s="243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</row>
    <row r="76" ht="16.5" customHeight="1">
      <c r="A76" s="243" t="str">
        <f>A7&amp;B7&amp;C7</f>
        <v>增加 0 倍頭目黃金</v>
      </c>
      <c r="B76" s="243"/>
      <c r="C76" s="243" t="str">
        <f>G7&amp;H7&amp;I7</f>
        <v>增加 1.8 倍頭目黃金</v>
      </c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</row>
    <row r="77" ht="16.5" customHeight="1">
      <c r="A77" s="243" t="str">
        <f>D7&amp;E7&amp;F7</f>
        <v>米達斯之心冷卻時間 -0 秒</v>
      </c>
      <c r="B77" s="243"/>
      <c r="C77" s="243" t="str">
        <f>J7&amp;K7&amp;L7</f>
        <v>米達斯之心冷卻時間 -0 秒</v>
      </c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</row>
    <row r="78" ht="16.5" customHeight="1">
      <c r="A78" s="243" t="str">
        <f>A9&amp;B9&amp;C9</f>
        <v>增加 1 倍最大爆擊傷害</v>
      </c>
      <c r="B78" s="243"/>
      <c r="C78" s="243" t="str">
        <f>G9&amp;H9&amp;I9</f>
        <v>增加 1.6 倍最大爆擊傷害</v>
      </c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 t="str">
        <f>C108&amp;CHAR(10)&amp;C109</f>
        <v>增加 1.8 倍米達斯之手效果
增加 1.2 倍妖精黃金</v>
      </c>
      <c r="Z78" s="243"/>
      <c r="AA78" s="243"/>
      <c r="AB78" s="243"/>
      <c r="AC78" s="243"/>
      <c r="AD78" s="243" t="str">
        <f>C110&amp;CHAR(10)&amp;C111</f>
        <v>增加 2 倍天堂聖擊傷害
天堂聖擊跳躍濺射數增加 0</v>
      </c>
      <c r="AE78" s="243"/>
      <c r="AF78" s="243"/>
      <c r="AG78" s="243"/>
      <c r="AH78" s="243"/>
      <c r="AI78" s="243" t="str">
        <f>C112&amp;CHAR(10)&amp;C113</f>
        <v>增加 1.5 倍影分身傷害
影分身每秒攻擊次數增加 0.1</v>
      </c>
      <c r="AJ78" s="243"/>
      <c r="AK78" s="243"/>
      <c r="AL78" s="243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</row>
    <row r="79" ht="16.5" customHeight="1">
      <c r="A79" s="243" t="str">
        <f>D9&amp;E9&amp;F9</f>
        <v>爆擊率 -0%</v>
      </c>
      <c r="B79" s="243"/>
      <c r="C79" s="243" t="str">
        <f>J9&amp;K9&amp;L9</f>
        <v>爆擊率 -1%</v>
      </c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</row>
    <row r="80" ht="16.5" customHeight="1">
      <c r="A80" s="243" t="str">
        <f>A11&amp;B11&amp;C11</f>
        <v>增加 1 倍火焰之劍效果</v>
      </c>
      <c r="B80" s="243"/>
      <c r="C80" s="243" t="str">
        <f>G11&amp;H11&amp;I11</f>
        <v>增加 1.6 倍火焰之劍效果</v>
      </c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</row>
    <row r="81" ht="16.5" customHeight="1">
      <c r="A81" s="243" t="str">
        <f>D11&amp;E11&amp;F11</f>
        <v>火焰之劍持續時間增加 0 秒</v>
      </c>
      <c r="B81" s="243"/>
      <c r="C81" s="243" t="str">
        <f>J11&amp;K11&amp;L11</f>
        <v>火焰之劍持續時間增加 1 秒</v>
      </c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 t="str">
        <f>A114&amp;CHAR(10)&amp;A115</f>
        <v>多重妖精機率增加 0%
妖精出現時間間隔-秒</v>
      </c>
      <c r="Z81" s="243"/>
      <c r="AA81" s="243"/>
      <c r="AB81" s="243"/>
      <c r="AC81" s="243"/>
      <c r="AD81" s="243" t="str">
        <f>A116</f>
        <v>觸發魔力抽取時回復 0% 最大魔力</v>
      </c>
      <c r="AE81" s="243"/>
      <c r="AF81" s="243"/>
      <c r="AG81" s="243"/>
      <c r="AH81" s="243"/>
      <c r="AI81" s="243" t="str">
        <f>A118&amp;CHAR(10)&amp;A119</f>
        <v>影分身持續時間增加 0 秒
影分身最大濺射數量增加 0</v>
      </c>
      <c r="AJ81" s="243"/>
      <c r="AK81" s="243"/>
      <c r="AL81" s="243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</row>
    <row r="82" ht="16.5" customHeight="1">
      <c r="A82" s="243" t="str">
        <f>A13&amp;B13&amp;C13</f>
        <v>閃電爆破造成 0 倍寵物傷害</v>
      </c>
      <c r="B82" s="243"/>
      <c r="C82" s="243" t="str">
        <f>G13&amp;H13&amp;I13</f>
        <v>閃電爆破造成 1.5 倍寵物傷害</v>
      </c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</row>
    <row r="83" ht="16.5" customHeight="1">
      <c r="A83" s="243" t="str">
        <f>D13&amp;E13&amp;F13</f>
        <v>閃電爆破最大濺射數量增加-</v>
      </c>
      <c r="B83" s="243"/>
      <c r="C83" s="243" t="str">
        <f>J13&amp;K13&amp;L13</f>
        <v>閃電爆破最大濺射數量增加 2 </v>
      </c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</row>
    <row r="84" ht="16.5" customHeight="1">
      <c r="A84" s="243" t="str">
        <f>A15&amp;B15&amp;C15</f>
        <v>主動點擊時增加 1 倍點擊傷害</v>
      </c>
      <c r="B84" s="243"/>
      <c r="C84" s="243" t="str">
        <f>G15&amp;H15&amp;I15</f>
        <v>主動點擊時增加 2.5 倍點擊傷害</v>
      </c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 t="str">
        <f>C114&amp;CHAR(10)&amp;C115</f>
        <v>多重妖精機率增加 4%
妖精出現時間間隔 -4 秒</v>
      </c>
      <c r="Z84" s="243"/>
      <c r="AA84" s="243"/>
      <c r="AB84" s="243"/>
      <c r="AC84" s="243"/>
      <c r="AD84" s="243" t="str">
        <f>C116</f>
        <v>觸發魔力抽取時回復 0.05% 最大魔力</v>
      </c>
      <c r="AE84" s="243"/>
      <c r="AF84" s="243"/>
      <c r="AG84" s="243"/>
      <c r="AH84" s="243"/>
      <c r="AI84" s="243" t="str">
        <f>C118&amp;CHAR(10)&amp;C119</f>
        <v>影分身持續時間增加 2 秒
影分身最大濺射數量增加 0</v>
      </c>
      <c r="AJ84" s="243"/>
      <c r="AK84" s="243"/>
      <c r="AL84" s="243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</row>
    <row r="85" ht="16.5" customHeight="1">
      <c r="A85" s="243" t="str">
        <f>D15&amp;E15&amp;F15</f>
        <v>主動點擊時每秒額外點擊-次</v>
      </c>
      <c r="B85" s="243"/>
      <c r="C85" s="243" t="str">
        <f>J15&amp;K15&amp;L15</f>
        <v>主動點擊時每秒額外點擊 1 次</v>
      </c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</row>
    <row r="86" ht="16.5" customHeight="1">
      <c r="A86" s="243" t="str">
        <f>A17&amp;B17&amp;C17</f>
        <v>充能時寵物傷害提高 0 倍</v>
      </c>
      <c r="B86" s="243"/>
      <c r="C86" s="243" t="str">
        <f>G17&amp;H17&amp;I17</f>
        <v>充能時寵物傷害提高 2 倍</v>
      </c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</row>
    <row r="87" ht="16.5" customHeight="1">
      <c r="A87" s="243" t="str">
        <f>D17&amp;E17&amp;F17</f>
        <v>寵物技能冷卻時間 -0 %</v>
      </c>
      <c r="B87" s="243"/>
      <c r="C87" s="243" t="str">
        <f>J17&amp;K17&amp;L17</f>
        <v>寵物技能冷卻時間 -3.5 %</v>
      </c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 t="str">
        <f>A120</f>
        <v>擊殺魔力瑪尼魔力回復量+0 </v>
      </c>
      <c r="Z87" s="243"/>
      <c r="AA87" s="243"/>
      <c r="AB87" s="243"/>
      <c r="AC87" s="243"/>
      <c r="AD87" s="243" t="str">
        <f>A122&amp;CHAR(10)&amp;A123</f>
        <v>每次觸發造成 0% 怪物當前生命的傷害
閃電雷擊傷害衰減率-</v>
      </c>
      <c r="AE87" s="243"/>
      <c r="AF87" s="243"/>
      <c r="AG87" s="243"/>
      <c r="AH87" s="243"/>
      <c r="AI87" s="243" t="str">
        <f>A124&amp;CHAR(10)&amp;A125</f>
        <v>增加 1 倍所有主動技能效果
影分身發動時增加 1 倍所有主動技能持續時間</v>
      </c>
      <c r="AJ87" s="243"/>
      <c r="AK87" s="243"/>
      <c r="AL87" s="243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</row>
    <row r="88" ht="16.5" customHeight="1">
      <c r="A88" s="243" t="str">
        <f>A19&amp;B19&amp;C19</f>
        <v>增加 1 倍所有英雄傷害</v>
      </c>
      <c r="B88" s="243"/>
      <c r="C88" s="243" t="str">
        <f>G19&amp;H19&amp;I19</f>
        <v>增加 1.2 倍所有英雄傷害</v>
      </c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</row>
    <row r="89" ht="16.5" customHeight="1">
      <c r="A89" s="243" t="str">
        <f>D19&amp;E19&amp;F19</f>
        <v/>
      </c>
      <c r="B89" s="243"/>
      <c r="C89" s="243" t="str">
        <f>J19&amp;K19&amp;L19</f>
        <v/>
      </c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</row>
    <row r="90" ht="16.5" customHeight="1">
      <c r="A90" s="243" t="str">
        <f>A21&amp;B21&amp;C21</f>
        <v>增加 1 倍寶箱黃金</v>
      </c>
      <c r="B90" s="243"/>
      <c r="C90" s="243" t="str">
        <f>G21&amp;H21&amp;I21</f>
        <v>增加 1.8 倍寶箱黃金</v>
      </c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 t="str">
        <f>C120</f>
        <v>擊殺魔力瑪尼魔力回復量+2 </v>
      </c>
      <c r="Z90" s="243"/>
      <c r="AA90" s="243"/>
      <c r="AB90" s="243"/>
      <c r="AC90" s="243"/>
      <c r="AD90" s="243" t="str">
        <f>C122&amp;CHAR(10)&amp;C123</f>
        <v>每次觸發造成 10% 怪物當前生命的傷害
閃電雷擊傷害衰減率 93.8%</v>
      </c>
      <c r="AE90" s="243"/>
      <c r="AF90" s="243"/>
      <c r="AG90" s="243"/>
      <c r="AH90" s="243"/>
      <c r="AI90" s="243" t="str">
        <f>C124&amp;CHAR(10)&amp;C125</f>
        <v>增加 1.31 倍所有主動技能效果
影分身發動時增加 1.042 倍所有主動技能持續時間</v>
      </c>
      <c r="AJ90" s="243"/>
      <c r="AK90" s="243"/>
      <c r="AL90" s="243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</row>
    <row r="91" ht="16.5" customHeight="1">
      <c r="A91" s="243" t="str">
        <f>D21&amp;E21&amp;F21</f>
        <v>寶箱怪出現機率增加-</v>
      </c>
      <c r="B91" s="243"/>
      <c r="C91" s="243" t="str">
        <f>J21&amp;K21&amp;L21</f>
        <v>寶箱怪出現機率增加 1%</v>
      </c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</row>
    <row r="92" ht="16.5" customHeight="1">
      <c r="A92" s="243" t="str">
        <f>A23&amp;B23&amp;C23</f>
        <v>增加 1 倍戰嚎效果</v>
      </c>
      <c r="B92" s="243"/>
      <c r="C92" s="243" t="str">
        <f>G23&amp;H23&amp;I23</f>
        <v>增加 1.5 倍戰嚎效果</v>
      </c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 t="str">
        <f>A126&amp;CHAR(10)&amp;A127</f>
        <v>增加 1 倍所有黃金
增加 1 倍離線黃金</v>
      </c>
      <c r="AE92" s="243"/>
      <c r="AF92" s="243"/>
      <c r="AG92" s="243"/>
      <c r="AH92" s="243"/>
      <c r="AI92" s="243"/>
      <c r="AJ92" s="243"/>
      <c r="AK92" s="243"/>
      <c r="AL92" s="243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</row>
    <row r="93" ht="16.5" customHeight="1">
      <c r="A93" s="243" t="str">
        <f>D23&amp;E23&amp;F23</f>
        <v>在戰嚎持續時間內激勵-名英雄</v>
      </c>
      <c r="B93" s="243"/>
      <c r="C93" s="243" t="str">
        <f>J23&amp;K23&amp;L23</f>
        <v>在戰嚎持續時間內激勵 1 名英雄</v>
      </c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</row>
    <row r="94" ht="16.5" customHeight="1">
      <c r="A94" s="243" t="str">
        <f>A25&amp;B25&amp;C25</f>
        <v>增加 1 倍公會飛船傷害</v>
      </c>
      <c r="B94" s="243"/>
      <c r="C94" s="243" t="str">
        <f>G25&amp;H25&amp;I25</f>
        <v>增加 1.5 倍公會飛船傷害</v>
      </c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</row>
    <row r="95" ht="16.5" customHeight="1">
      <c r="A95" s="243" t="str">
        <f>D25&amp;E25&amp;F25</f>
        <v>飛船最大濺射數量增加-</v>
      </c>
      <c r="B95" s="243"/>
      <c r="C95" s="243" t="str">
        <f>J25&amp;K25&amp;L25</f>
        <v>飛船最大濺射數量增加 1</v>
      </c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 t="str">
        <f>C126&amp;CHAR(10)&amp;C127</f>
        <v>增加 1.6 倍所有黃金
增加 1.2 倍離線黃金</v>
      </c>
      <c r="AE95" s="243"/>
      <c r="AF95" s="243"/>
      <c r="AG95" s="243"/>
      <c r="AH95" s="243"/>
      <c r="AI95" s="243"/>
      <c r="AJ95" s="243"/>
      <c r="AK95" s="243"/>
      <c r="AL95" s="24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</row>
    <row r="96" ht="16.5" customHeight="1">
      <c r="A96" s="243" t="str">
        <f>A27&amp;B27&amp;C27</f>
        <v>增加 0% 倍率型英雄技能效果</v>
      </c>
      <c r="B96" s="243"/>
      <c r="C96" s="243" t="str">
        <f>G27&amp;H27&amp;I27</f>
        <v>增加 0.25% 倍率型英雄技能效果</v>
      </c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</row>
    <row r="97" ht="16.5" customHeight="1">
      <c r="A97" s="243" t="str">
        <f>D27&amp;E27&amp;F27</f>
        <v>增加- 相加型英雄技能效果</v>
      </c>
      <c r="B97" s="243"/>
      <c r="C97" s="243" t="str">
        <f>J27&amp;K27&amp;L27</f>
        <v>增加 2% 相加型英雄技能效果</v>
      </c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</row>
    <row r="98" ht="16.5" customHeight="1">
      <c r="A98" s="243" t="str">
        <f>A29&amp;B29&amp;C29</f>
        <v>受激勵英雄每次攻擊增加 0% 泰坦受到傷害</v>
      </c>
      <c r="B98" s="243"/>
      <c r="C98" s="243" t="str">
        <f>G29&amp;H29&amp;I29</f>
        <v>受激勵英雄每次攻擊增加 0.75% 泰坦受到傷害</v>
      </c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 t="str">
        <f>A128&amp;CHAR(10)&amp;A129</f>
        <v>增加 1 倍致命打擊效果
致命打擊持續時間增加-秒</v>
      </c>
      <c r="Z98" s="243"/>
      <c r="AA98" s="243"/>
      <c r="AB98" s="243"/>
      <c r="AC98" s="243"/>
      <c r="AD98" s="243" t="str">
        <f>A130&amp;CHAR(10)&amp;A131</f>
        <v>增加 0 倍離線傷害
離線時怪物重生間隔 -0%</v>
      </c>
      <c r="AE98" s="243"/>
      <c r="AF98" s="243"/>
      <c r="AG98" s="243"/>
      <c r="AH98" s="243"/>
      <c r="AI98" s="243" t="str">
        <f>A132&amp;CHAR(10)&amp;A133</f>
        <v>增加 0% 多重泰坦機率
最大多重泰坦數量增加 0</v>
      </c>
      <c r="AJ98" s="243"/>
      <c r="AK98" s="243"/>
      <c r="AL98" s="243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</row>
    <row r="99" ht="16.5" customHeight="1">
      <c r="A99" s="243" t="str">
        <f>D29&amp;E29&amp;F29</f>
        <v>戰嚎持續時間增加-秒</v>
      </c>
      <c r="B99" s="243"/>
      <c r="C99" s="243" t="str">
        <f>J29&amp;K29&amp;L29</f>
        <v>戰嚎持續時間增加 1 秒</v>
      </c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</row>
    <row r="100" ht="16.5" customHeight="1">
      <c r="A100" s="243" t="str">
        <f>A31&amp;B31&amp;C31</f>
        <v>召喚公會夥伴時增加 1 倍所有英雄傷害</v>
      </c>
      <c r="B100" s="243"/>
      <c r="C100" s="243" t="str">
        <f>G31&amp;H31&amp;I31</f>
        <v>召喚公會夥伴時增加 1.8 倍所有英雄傷害</v>
      </c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</row>
    <row r="101" ht="16.5" customHeight="1">
      <c r="A101" s="243" t="str">
        <f>D31&amp;E31&amp;F31</f>
        <v>召喚夥伴冷卻時間 -0 秒</v>
      </c>
      <c r="B101" s="243"/>
      <c r="C101" s="243" t="str">
        <f>J31&amp;K31&amp;L31</f>
        <v>召喚夥伴冷卻時間 -0 秒</v>
      </c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 t="str">
        <f>C128&amp;CHAR(10)&amp;C129</f>
        <v>增加 1.6 倍致命打擊效果
致命打擊持續時間增加 2 秒</v>
      </c>
      <c r="Z101" s="243"/>
      <c r="AA101" s="243"/>
      <c r="AB101" s="243"/>
      <c r="AC101" s="243"/>
      <c r="AD101" s="243" t="str">
        <f>C130&amp;CHAR(10)&amp;C131</f>
        <v>增加 1 倍離線傷害
離線時怪物重生間隔 -0%</v>
      </c>
      <c r="AE101" s="243"/>
      <c r="AF101" s="243"/>
      <c r="AG101" s="243"/>
      <c r="AH101" s="243"/>
      <c r="AI101" s="243" t="str">
        <f>C132&amp;CHAR(10)&amp;C133</f>
        <v>增加 1% 多重泰坦機率
最大多重泰坦數量增加 1</v>
      </c>
      <c r="AJ101" s="243"/>
      <c r="AK101" s="243"/>
      <c r="AL101" s="243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</row>
    <row r="102" ht="16.5" customHeight="1">
      <c r="A102" s="243" t="str">
        <f>A33&amp;B33&amp;C33</f>
        <v>每次點擊晶球增加 1 倍所有英雄傷害(共5次)</v>
      </c>
      <c r="B102" s="243"/>
      <c r="C102" s="243" t="str">
        <f>G33&amp;H33&amp;I33</f>
        <v>每次點擊晶球增加 1.21 倍所有英雄傷害(共5次)</v>
      </c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</row>
    <row r="103" ht="16.5" customHeight="1">
      <c r="A103" s="243" t="str">
        <f>D33&amp;E33&amp;F33</f>
        <v>星體覺醒冷卻時間-秒</v>
      </c>
      <c r="B103" s="243"/>
      <c r="C103" s="243" t="str">
        <f>J33&amp;K33&amp;L33</f>
        <v>星體覺醒冷卻時間 - 秒</v>
      </c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</row>
    <row r="104" ht="16.5" customHeight="1">
      <c r="A104" s="243" t="str">
        <f>A35&amp;B35&amp;C35</f>
        <v>怪物麻痺時增加 1 倍受到傷害</v>
      </c>
      <c r="B104" s="243"/>
      <c r="C104" s="243" t="str">
        <f>G35&amp;H35&amp;I35</f>
        <v>怪物麻痺時增加 3.5 倍受到傷害</v>
      </c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 t="str">
        <f>A134&amp;CHAR(10)&amp;A135</f>
        <v>離線時增加 0% 寵物傷害
增加-倍寵物致命打擊傷害</v>
      </c>
      <c r="Z104" s="243"/>
      <c r="AA104" s="243"/>
      <c r="AB104" s="243"/>
      <c r="AC104" s="243"/>
      <c r="AD104" s="243" t="str">
        <f>A136&amp;CHAR(10)&amp;A137</f>
        <v>離線時增加 0% 公會飛船傷害
增加-倍公會致命打擊傷害</v>
      </c>
      <c r="AE104" s="243"/>
      <c r="AF104" s="243"/>
      <c r="AG104" s="243"/>
      <c r="AH104" s="243"/>
      <c r="AI104" s="243" t="str">
        <f>A138&amp;CHAR(10)&amp;A139</f>
        <v>離線時增加 0% 影分身傷害
增加-倍影分身致命打擊傷害</v>
      </c>
      <c r="AJ104" s="243"/>
      <c r="AK104" s="243"/>
      <c r="AL104" s="243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ht="16.5" customHeight="1">
      <c r="A105" s="243" t="str">
        <f>D35&amp;E35&amp;F35</f>
        <v>麻痺持續時間-秒</v>
      </c>
      <c r="B105" s="243"/>
      <c r="C105" s="243" t="str">
        <f>J35&amp;K35&amp;L35</f>
        <v>麻痺持續時間 0.8 秒</v>
      </c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</row>
    <row r="106" ht="16.5" customHeight="1">
      <c r="A106" s="243" t="str">
        <f>A37&amp;B37&amp;C37</f>
        <v>增加 0 最大魔力</v>
      </c>
      <c r="B106" s="243"/>
      <c r="C106" s="243" t="str">
        <f>G37&amp;H37&amp;I37</f>
        <v>增加 5 最大魔力</v>
      </c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</row>
    <row r="107" ht="16.5" customHeight="1">
      <c r="A107" s="243" t="str">
        <f>D37&amp;E37&amp;F37</f>
        <v>增加-每分鐘魔力回復量</v>
      </c>
      <c r="B107" s="243"/>
      <c r="C107" s="243" t="str">
        <f>J37&amp;K37&amp;L37</f>
        <v>增加 0.1 每分鐘魔力回復量</v>
      </c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 t="str">
        <f>C134&amp;CHAR(10)&amp;C135</f>
        <v>離線時增加 1% 寵物傷害
增加 1 倍寵物致命打擊傷害</v>
      </c>
      <c r="Z107" s="243"/>
      <c r="AA107" s="243"/>
      <c r="AB107" s="243"/>
      <c r="AC107" s="243"/>
      <c r="AD107" s="243" t="str">
        <f>C136&amp;CHAR(10)&amp;C137</f>
        <v>離線時增加 1% 公會飛船傷害
增加 1 倍公會致命打擊傷害</v>
      </c>
      <c r="AE107" s="243"/>
      <c r="AF107" s="243"/>
      <c r="AG107" s="243"/>
      <c r="AH107" s="243"/>
      <c r="AI107" s="243" t="str">
        <f>C138&amp;CHAR(10)&amp;C139</f>
        <v>離線時增加 1% 影分身傷害
增加 1 倍影分身致命打擊傷害</v>
      </c>
      <c r="AJ107" s="243"/>
      <c r="AK107" s="243"/>
      <c r="AL107" s="243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</row>
    <row r="108" ht="16.5" customHeight="1">
      <c r="A108" s="243" t="str">
        <f>A39&amp;B39&amp;C39</f>
        <v>增加 1 倍米達斯之手效果</v>
      </c>
      <c r="B108" s="243"/>
      <c r="C108" s="243" t="str">
        <f>G39&amp;H39&amp;I39</f>
        <v>增加 1.8 倍米達斯之手效果</v>
      </c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</row>
    <row r="109" ht="16.5" customHeight="1">
      <c r="A109" s="243" t="str">
        <f>D39&amp;E39&amp;F39</f>
        <v>增加 1 倍妖精黃金</v>
      </c>
      <c r="B109" s="243"/>
      <c r="C109" s="243" t="str">
        <f>J39&amp;K39&amp;L39</f>
        <v>增加 1.2 倍妖精黃金</v>
      </c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</row>
    <row r="110" ht="16.5" customHeight="1">
      <c r="A110" s="243" t="str">
        <f>A41&amp;B41&amp;C41</f>
        <v>增加 1 倍天堂聖擊傷害</v>
      </c>
      <c r="B110" s="243"/>
      <c r="C110" s="243" t="str">
        <f>G41&amp;H41&amp;I41</f>
        <v>增加 2 倍天堂聖擊傷害</v>
      </c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</row>
    <row r="111" ht="16.5" customHeight="1">
      <c r="A111" s="243" t="str">
        <f>D41&amp;E41&amp;F41</f>
        <v>天堂聖擊跳躍濺射數增加 0</v>
      </c>
      <c r="B111" s="243"/>
      <c r="C111" s="243" t="str">
        <f>J41&amp;K41&amp;L41</f>
        <v>天堂聖擊跳躍濺射數增加 0</v>
      </c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ht="16.5" customHeight="1">
      <c r="A112" s="243" t="str">
        <f>A43&amp;B43&amp;C43</f>
        <v>增加 1 倍影分身傷害</v>
      </c>
      <c r="B112" s="243"/>
      <c r="C112" s="243" t="str">
        <f>G43&amp;H43&amp;I43</f>
        <v>增加 1.5 倍影分身傷害</v>
      </c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</row>
    <row r="113" ht="16.5" customHeight="1">
      <c r="A113" s="243" t="str">
        <f>D43&amp;E43&amp;F43</f>
        <v>影分身每秒攻擊次數增加-</v>
      </c>
      <c r="B113" s="243"/>
      <c r="C113" s="243" t="str">
        <f>J43&amp;K43&amp;L43</f>
        <v>影分身每秒攻擊次數增加 0.1</v>
      </c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ht="16.5" customHeight="1">
      <c r="A114" s="243" t="str">
        <f>A45&amp;B45&amp;C45</f>
        <v>多重妖精機率增加 0%</v>
      </c>
      <c r="B114" s="243"/>
      <c r="C114" s="243" t="str">
        <f>G45&amp;H45&amp;I45</f>
        <v>多重妖精機率增加 4%</v>
      </c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</row>
    <row r="115" ht="16.5" customHeight="1">
      <c r="A115" s="243" t="str">
        <f>D45&amp;E45&amp;F45</f>
        <v>妖精出現時間間隔-秒</v>
      </c>
      <c r="B115" s="243"/>
      <c r="C115" s="243" t="str">
        <f>J45&amp;K45&amp;L45</f>
        <v>妖精出現時間間隔 -4 秒</v>
      </c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</row>
    <row r="116" ht="16.5" customHeight="1">
      <c r="A116" s="243" t="str">
        <f>A47&amp;B47&amp;C47</f>
        <v>觸發魔力抽取時回復 0% 最大魔力</v>
      </c>
      <c r="B116" s="243"/>
      <c r="C116" s="243" t="str">
        <f>G47&amp;H47&amp;I47</f>
        <v>觸發魔力抽取時回復 0.05% 最大魔力</v>
      </c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</row>
    <row r="117" ht="16.5" customHeight="1">
      <c r="A117" s="243" t="str">
        <f>D47&amp;E47&amp;F47</f>
        <v/>
      </c>
      <c r="B117" s="243"/>
      <c r="C117" s="243" t="str">
        <f>J47&amp;K47&amp;L47</f>
        <v/>
      </c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</row>
    <row r="118" ht="16.5" customHeight="1">
      <c r="A118" s="243" t="str">
        <f>A49&amp;B49&amp;C49</f>
        <v>影分身持續時間增加 0 秒</v>
      </c>
      <c r="B118" s="243"/>
      <c r="C118" s="243" t="str">
        <f>G49&amp;H49&amp;I49</f>
        <v>影分身持續時間增加 2 秒</v>
      </c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</row>
    <row r="119" ht="16.5" customHeight="1">
      <c r="A119" s="243" t="str">
        <f>D49&amp;E49&amp;F49</f>
        <v>影分身最大濺射數量增加 0</v>
      </c>
      <c r="B119" s="243"/>
      <c r="C119" s="243" t="str">
        <f>J49&amp;K49&amp;L49</f>
        <v>影分身最大濺射數量增加 0</v>
      </c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</row>
    <row r="120" ht="16.5" customHeight="1">
      <c r="A120" s="243" t="str">
        <f>A51&amp;B51&amp;C51</f>
        <v>擊殺魔力瑪尼魔力回復量+0 </v>
      </c>
      <c r="B120" s="243"/>
      <c r="C120" s="243" t="str">
        <f>G51&amp;H51&amp;I51</f>
        <v>擊殺魔力瑪尼魔力回復量+2 </v>
      </c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ht="16.5" customHeight="1">
      <c r="A121" s="243" t="str">
        <f>D51&amp;E51&amp;F51</f>
        <v>魔力瑪尼出現機率+-</v>
      </c>
      <c r="B121" s="243"/>
      <c r="C121" s="243" t="str">
        <f>J51&amp;K51&amp;L51</f>
        <v>魔力瑪尼出現機率+0%</v>
      </c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ht="16.5" customHeight="1">
      <c r="A122" s="243" t="str">
        <f>A53&amp;B53&amp;C53</f>
        <v>每次觸發造成 0% 怪物當前生命的傷害</v>
      </c>
      <c r="B122" s="243"/>
      <c r="C122" s="243" t="str">
        <f>G53&amp;H53&amp;I53</f>
        <v>每次觸發造成 10% 怪物當前生命的傷害</v>
      </c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ht="16.5" customHeight="1">
      <c r="A123" s="243" t="str">
        <f>D53&amp;E53&amp;F53</f>
        <v>閃電雷擊傷害衰減率-</v>
      </c>
      <c r="B123" s="243"/>
      <c r="C123" s="243" t="str">
        <f>J53&amp;K53&amp;L53</f>
        <v>閃電雷擊傷害衰減率 93.8%</v>
      </c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ht="16.5" customHeight="1">
      <c r="A124" s="243" t="str">
        <f>A55&amp;B55&amp;C55</f>
        <v>增加 1 倍所有主動技能效果</v>
      </c>
      <c r="B124" s="243"/>
      <c r="C124" s="243" t="str">
        <f>G55&amp;H55&amp;I55</f>
        <v>增加 1.31 倍所有主動技能效果</v>
      </c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</row>
    <row r="125" ht="16.5" customHeight="1">
      <c r="A125" s="243" t="str">
        <f>D55&amp;E55&amp;F55</f>
        <v>影分身發動時增加 1 倍所有主動技能持續時間</v>
      </c>
      <c r="B125" s="243"/>
      <c r="C125" s="243" t="str">
        <f>J55&amp;K55&amp;L55</f>
        <v>影分身發動時增加 1.042 倍所有主動技能持續時間</v>
      </c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</row>
    <row r="126" ht="16.5" customHeight="1">
      <c r="A126" s="243" t="str">
        <f>A57&amp;B57&amp;C57</f>
        <v>增加 1 倍所有黃金</v>
      </c>
      <c r="B126" s="243"/>
      <c r="C126" s="243" t="str">
        <f>G57&amp;H57&amp;I57</f>
        <v>增加 1.6 倍所有黃金</v>
      </c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</row>
    <row r="127" ht="16.5" customHeight="1">
      <c r="A127" s="243" t="str">
        <f>D57&amp;E57&amp;F57</f>
        <v>增加 1 倍離線黃金</v>
      </c>
      <c r="B127" s="243"/>
      <c r="C127" s="243" t="str">
        <f>J57&amp;K57&amp;L57</f>
        <v>增加 1.2 倍離線黃金</v>
      </c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</row>
    <row r="128" ht="16.5" customHeight="1">
      <c r="A128" s="243" t="str">
        <f>A59&amp;B59&amp;C59</f>
        <v>增加 1 倍致命打擊效果</v>
      </c>
      <c r="B128" s="243"/>
      <c r="C128" s="243" t="str">
        <f>G59&amp;H59&amp;I59</f>
        <v>增加 1.6 倍致命打擊效果</v>
      </c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</row>
    <row r="129" ht="16.5" customHeight="1">
      <c r="A129" s="243" t="str">
        <f>D59&amp;E59&amp;F59</f>
        <v>致命打擊持續時間增加-秒</v>
      </c>
      <c r="B129" s="243"/>
      <c r="C129" s="243" t="str">
        <f>J59&amp;K59&amp;L59</f>
        <v>致命打擊持續時間增加 2 秒</v>
      </c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</row>
    <row r="130" ht="16.5" customHeight="1">
      <c r="A130" s="243" t="str">
        <f>A61&amp;B61&amp;C61</f>
        <v>增加 0 倍離線傷害</v>
      </c>
      <c r="B130" s="243"/>
      <c r="C130" s="243" t="str">
        <f>G61&amp;H61&amp;I61</f>
        <v>增加 1 倍離線傷害</v>
      </c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</row>
    <row r="131" ht="16.5" customHeight="1">
      <c r="A131" s="243" t="str">
        <f>D61&amp;E61&amp;F61</f>
        <v>離線時怪物重生間隔 -0%</v>
      </c>
      <c r="B131" s="243"/>
      <c r="C131" s="243" t="str">
        <f>J61&amp;K61&amp;L61</f>
        <v>離線時怪物重生間隔 -0%</v>
      </c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</row>
    <row r="132" ht="16.5" customHeight="1">
      <c r="A132" s="243" t="str">
        <f>A63&amp;B63&amp;C63</f>
        <v>增加 0% 多重泰坦機率</v>
      </c>
      <c r="B132" s="243"/>
      <c r="C132" s="243" t="str">
        <f>G63&amp;H63&amp;I63</f>
        <v>增加 1% 多重泰坦機率</v>
      </c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</row>
    <row r="133" ht="16.5" customHeight="1">
      <c r="A133" s="243" t="str">
        <f>D63&amp;E63&amp;F63</f>
        <v>最大多重泰坦數量增加 0</v>
      </c>
      <c r="B133" s="243"/>
      <c r="C133" s="243" t="str">
        <f>J63&amp;K63&amp;L63</f>
        <v>最大多重泰坦數量增加 1</v>
      </c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</row>
    <row r="134" ht="16.5" customHeight="1">
      <c r="A134" s="243" t="str">
        <f>A65&amp;B65&amp;C65</f>
        <v>離線時增加 0% 寵物傷害</v>
      </c>
      <c r="B134" s="243"/>
      <c r="C134" s="243" t="str">
        <f>G65&amp;H65&amp;I65</f>
        <v>離線時增加 1% 寵物傷害</v>
      </c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</row>
    <row r="135" ht="16.5" customHeight="1">
      <c r="A135" s="243" t="str">
        <f>D65&amp;E65&amp;F65</f>
        <v>增加-倍寵物致命打擊傷害</v>
      </c>
      <c r="B135" s="243"/>
      <c r="C135" s="243" t="str">
        <f>J65&amp;K65&amp;L65</f>
        <v>增加 1 倍寵物致命打擊傷害</v>
      </c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</row>
    <row r="136" ht="16.5" customHeight="1">
      <c r="A136" s="243" t="str">
        <f>A67&amp;B67&amp;C67</f>
        <v>離線時增加 0% 公會飛船傷害</v>
      </c>
      <c r="B136" s="243"/>
      <c r="C136" s="243" t="str">
        <f>G67&amp;H67&amp;I67</f>
        <v>離線時增加 1% 公會飛船傷害</v>
      </c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ht="16.5" customHeight="1">
      <c r="A137" s="243" t="str">
        <f>D67&amp;E67&amp;F67</f>
        <v>增加-倍公會致命打擊傷害</v>
      </c>
      <c r="B137" s="243"/>
      <c r="C137" s="243" t="str">
        <f>J67&amp;K67&amp;L67</f>
        <v>增加 1 倍公會致命打擊傷害</v>
      </c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</row>
    <row r="138" ht="16.5" customHeight="1">
      <c r="A138" s="243" t="str">
        <f>A69&amp;B69&amp;C69</f>
        <v>離線時增加 0% 影分身傷害</v>
      </c>
      <c r="B138" s="243"/>
      <c r="C138" s="243" t="str">
        <f>G69&amp;H69&amp;I69</f>
        <v>離線時增加 1% 影分身傷害</v>
      </c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ht="16.5" customHeight="1">
      <c r="A139" s="243" t="str">
        <f>D69&amp;E69&amp;F69</f>
        <v>增加-倍影分身致命打擊傷害</v>
      </c>
      <c r="B139" s="243"/>
      <c r="C139" s="243" t="str">
        <f>J69&amp;K69&amp;L69</f>
        <v>增加 1 倍影分身致命打擊傷害</v>
      </c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</row>
    <row r="140" ht="16.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</row>
    <row r="141" ht="16.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</row>
    <row r="142" ht="16.5" customHeight="1">
      <c r="A142" s="243" t="str">
        <f>Y33&amp;R27&amp;Y36</f>
        <v>增加 1 倍最大爆擊傷害
爆擊率 -0%增加 1.6 倍最大爆擊傷害
爆擊率 -1%</v>
      </c>
      <c r="B142" s="243"/>
      <c r="C142" s="243" t="str">
        <f>J75&amp;K75&amp;L75</f>
        <v/>
      </c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</row>
    <row r="143" ht="16.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</row>
    <row r="144" ht="16.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</row>
    <row r="145" ht="16.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</row>
    <row r="146" ht="16.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</row>
    <row r="147" ht="16.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</row>
    <row r="148" ht="16.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</row>
    <row r="149" ht="16.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</row>
    <row r="150" ht="16.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ht="16.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ht="16.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ht="16.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ht="16.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ht="16.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ht="16.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ht="16.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ht="16.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ht="16.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ht="16.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ht="16.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ht="16.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</row>
    <row r="163" ht="16.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</row>
    <row r="164" ht="16.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</row>
    <row r="165" ht="16.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</row>
    <row r="166" ht="16.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</row>
    <row r="167" ht="16.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</row>
    <row r="168" ht="16.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</row>
    <row r="169" ht="16.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</row>
    <row r="170" ht="16.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</row>
    <row r="171" ht="16.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</row>
    <row r="172" ht="16.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</row>
    <row r="173" ht="16.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</row>
    <row r="174" ht="16.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ht="16.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ht="16.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</row>
    <row r="177" ht="16.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</row>
    <row r="178" ht="16.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</row>
    <row r="179" ht="16.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</row>
    <row r="180" ht="16.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</row>
    <row r="181" ht="16.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</row>
    <row r="182" ht="16.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</row>
    <row r="183" ht="16.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</row>
    <row r="184" ht="16.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</row>
    <row r="185" ht="16.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ht="16.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ht="16.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ht="16.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ht="16.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ht="16.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ht="16.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ht="16.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ht="16.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ht="16.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ht="16.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ht="16.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ht="16.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ht="16.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ht="16.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ht="16.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ht="16.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ht="16.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ht="16.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ht="16.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ht="16.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ht="16.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ht="16.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ht="16.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ht="16.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ht="16.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ht="16.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ht="16.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ht="16.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ht="16.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ht="16.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ht="16.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ht="16.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ht="16.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ht="16.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ht="16.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ht="16.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ht="16.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ht="16.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ht="16.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ht="16.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ht="16.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ht="16.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ht="16.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ht="16.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ht="16.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ht="16.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ht="16.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ht="16.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ht="16.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ht="16.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ht="16.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ht="16.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ht="16.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ht="16.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ht="16.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ht="16.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ht="16.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ht="16.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ht="16.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ht="16.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ht="16.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ht="16.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ht="16.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ht="16.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ht="16.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ht="16.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ht="16.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ht="16.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ht="16.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ht="16.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ht="16.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ht="16.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ht="16.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ht="16.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ht="16.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ht="16.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ht="16.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ht="16.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ht="16.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ht="16.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ht="16.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ht="16.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ht="16.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ht="16.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ht="16.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ht="16.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ht="16.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ht="16.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ht="16.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ht="16.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ht="16.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ht="16.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ht="16.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ht="16.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ht="16.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ht="16.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ht="16.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ht="16.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ht="16.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ht="16.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ht="16.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ht="16.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ht="16.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ht="16.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ht="16.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ht="16.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ht="16.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ht="16.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ht="16.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ht="16.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ht="16.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ht="16.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ht="16.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ht="16.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ht="16.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ht="16.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ht="16.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ht="16.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ht="16.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ht="16.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ht="16.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ht="16.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ht="16.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ht="16.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ht="16.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ht="16.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ht="16.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ht="16.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ht="16.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ht="16.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ht="16.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ht="16.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ht="16.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ht="16.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ht="16.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ht="16.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ht="16.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ht="16.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ht="16.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ht="16.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ht="16.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ht="16.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ht="16.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ht="16.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ht="16.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ht="16.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ht="16.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ht="16.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ht="16.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ht="16.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ht="16.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ht="16.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ht="16.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ht="16.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ht="16.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ht="16.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ht="16.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ht="16.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ht="16.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ht="16.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ht="16.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ht="16.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ht="16.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ht="16.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ht="16.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ht="16.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ht="16.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ht="16.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ht="16.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ht="16.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ht="16.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ht="16.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ht="16.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ht="16.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ht="16.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ht="16.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ht="16.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ht="16.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ht="16.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ht="16.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ht="16.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ht="16.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68" ht="16.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</row>
    <row r="369" ht="16.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</row>
    <row r="370" ht="16.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</row>
    <row r="371" ht="16.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</row>
    <row r="372" ht="16.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</row>
    <row r="373" ht="16.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</row>
    <row r="374" ht="16.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</row>
    <row r="375" ht="16.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</row>
    <row r="376" ht="16.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ht="16.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ht="16.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ht="16.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ht="16.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ht="16.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ht="16.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ht="16.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ht="16.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ht="16.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ht="16.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ht="16.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ht="16.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ht="16.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ht="16.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ht="16.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ht="16.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ht="16.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ht="16.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ht="16.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ht="16.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ht="16.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ht="16.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ht="16.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ht="16.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ht="16.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ht="16.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ht="16.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ht="16.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ht="16.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ht="16.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ht="16.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ht="16.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ht="16.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ht="16.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ht="16.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ht="16.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ht="16.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ht="16.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ht="16.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ht="16.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ht="16.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ht="16.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ht="16.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ht="16.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ht="16.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ht="16.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ht="16.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ht="16.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ht="16.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ht="16.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ht="16.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ht="16.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ht="16.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ht="16.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ht="16.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ht="16.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ht="16.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ht="16.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ht="16.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ht="16.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ht="16.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ht="16.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ht="16.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ht="16.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ht="16.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ht="16.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ht="16.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ht="16.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ht="16.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ht="16.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ht="16.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ht="16.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ht="16.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ht="16.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ht="16.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ht="16.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ht="16.5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ht="16.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ht="16.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ht="16.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ht="16.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ht="16.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ht="16.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ht="16.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ht="16.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ht="16.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ht="16.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ht="16.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ht="16.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ht="16.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ht="16.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ht="16.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ht="16.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ht="16.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ht="16.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ht="16.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ht="16.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ht="16.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ht="16.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ht="16.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ht="16.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ht="16.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ht="16.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ht="16.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ht="16.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ht="16.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ht="16.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ht="16.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ht="16.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ht="16.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ht="16.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ht="16.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ht="16.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ht="16.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ht="16.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ht="16.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ht="16.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ht="16.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ht="16.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ht="16.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ht="16.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ht="16.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ht="16.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ht="16.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ht="16.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ht="16.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ht="16.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ht="16.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ht="16.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ht="16.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ht="16.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ht="16.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ht="16.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ht="16.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ht="16.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ht="16.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ht="16.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ht="16.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ht="16.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ht="16.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ht="16.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ht="16.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ht="16.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ht="16.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ht="16.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ht="16.5" customHeight="1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ht="16.5" customHeight="1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ht="16.5" customHeight="1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ht="16.5" customHeight="1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ht="16.5" customHeight="1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ht="16.5" customHeight="1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ht="16.5" customHeight="1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ht="16.5" customHeight="1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ht="16.5" customHeight="1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ht="16.5" customHeight="1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ht="16.5" customHeight="1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ht="16.5" customHeight="1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ht="16.5" customHeight="1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ht="16.5" customHeight="1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ht="16.5" customHeight="1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ht="16.5" customHeight="1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ht="16.5" customHeight="1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ht="16.5" customHeight="1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ht="16.5" customHeight="1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ht="16.5" customHeight="1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ht="16.5" customHeight="1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ht="16.5" customHeight="1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ht="16.5" customHeight="1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ht="16.5" customHeight="1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ht="16.5" customHeight="1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ht="16.5" customHeight="1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ht="16.5" customHeight="1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ht="16.5" customHeight="1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ht="16.5" customHeight="1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ht="16.5" customHeight="1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ht="16.5" customHeight="1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ht="16.5" customHeight="1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ht="16.5" customHeight="1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ht="16.5" customHeight="1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ht="16.5" customHeight="1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ht="16.5" customHeight="1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ht="16.5" customHeight="1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ht="16.5" customHeight="1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ht="16.5" customHeight="1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ht="16.5" customHeight="1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ht="16.5" customHeight="1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ht="16.5" customHeight="1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ht="16.5" customHeight="1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ht="16.5" customHeight="1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ht="16.5" customHeight="1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ht="16.5" customHeight="1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ht="16.5" customHeight="1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ht="16.5" customHeight="1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ht="16.5" customHeight="1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ht="16.5" customHeight="1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ht="16.5" customHeight="1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ht="16.5" customHeight="1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ht="16.5" customHeight="1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ht="16.5" customHeight="1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ht="16.5" customHeight="1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ht="16.5" customHeight="1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ht="16.5" customHeight="1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ht="16.5" customHeight="1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ht="16.5" customHeight="1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ht="16.5" customHeight="1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ht="16.5" customHeight="1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ht="16.5" customHeight="1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ht="16.5" customHeight="1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ht="16.5" customHeight="1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ht="16.5" customHeight="1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ht="16.5" customHeight="1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ht="16.5" customHeight="1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ht="16.5" customHeight="1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ht="16.5" customHeight="1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ht="16.5" customHeight="1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ht="16.5" customHeight="1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ht="16.5" customHeight="1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ht="16.5" customHeight="1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ht="16.5" customHeight="1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ht="16.5" customHeight="1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ht="16.5" customHeight="1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ht="16.5" customHeight="1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ht="16.5" customHeight="1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ht="16.5" customHeight="1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ht="16.5" customHeight="1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ht="16.5" customHeight="1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ht="16.5" customHeight="1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ht="16.5" customHeight="1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ht="16.5" customHeight="1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ht="16.5" customHeight="1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ht="16.5" customHeight="1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ht="16.5" customHeight="1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ht="16.5" customHeight="1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ht="16.5" customHeight="1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ht="16.5" customHeight="1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ht="16.5" customHeight="1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ht="16.5" customHeight="1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ht="16.5" customHeight="1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ht="16.5" customHeight="1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ht="16.5" customHeight="1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ht="16.5" customHeight="1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ht="16.5" customHeight="1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  <row r="619" ht="16.5" customHeight="1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</row>
    <row r="620" ht="16.5" customHeight="1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</row>
    <row r="621" ht="16.5" customHeight="1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</row>
    <row r="622" ht="16.5" customHeight="1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</row>
    <row r="623" ht="16.5" customHeight="1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</row>
    <row r="624" ht="16.5" customHeight="1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</row>
    <row r="625" ht="16.5" customHeight="1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</row>
    <row r="626" ht="16.5" customHeight="1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</row>
    <row r="627" ht="16.5" customHeight="1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</row>
    <row r="628" ht="16.5" customHeight="1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</row>
    <row r="629" ht="16.5" customHeight="1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</row>
    <row r="630" ht="16.5" customHeight="1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</row>
    <row r="631" ht="16.5" customHeight="1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</row>
    <row r="632" ht="16.5" customHeight="1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</row>
    <row r="633" ht="16.5" customHeight="1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</row>
    <row r="634" ht="16.5" customHeight="1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</row>
    <row r="635" ht="16.5" customHeight="1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</row>
    <row r="636" ht="16.5" customHeight="1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</row>
    <row r="637" ht="16.5" customHeight="1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</row>
    <row r="638" ht="16.5" customHeight="1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</row>
    <row r="639" ht="16.5" customHeight="1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</row>
    <row r="640" ht="16.5" customHeight="1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</row>
    <row r="641" ht="16.5" customHeight="1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</row>
    <row r="642" ht="16.5" customHeight="1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</row>
    <row r="643" ht="16.5" customHeight="1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</row>
    <row r="644" ht="16.5" customHeight="1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</row>
    <row r="645" ht="16.5" customHeight="1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</row>
    <row r="646" ht="16.5" customHeight="1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</row>
    <row r="647" ht="16.5" customHeight="1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</row>
    <row r="648" ht="16.5" customHeight="1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</row>
    <row r="649" ht="16.5" customHeight="1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</row>
    <row r="650" ht="16.5" customHeight="1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</row>
    <row r="651" ht="16.5" customHeight="1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</row>
    <row r="652" ht="16.5" customHeight="1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</row>
    <row r="653" ht="16.5" customHeight="1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</row>
    <row r="654" ht="16.5" customHeight="1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</row>
    <row r="655" ht="16.5" customHeight="1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</row>
    <row r="656" ht="16.5" customHeight="1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</row>
    <row r="657" ht="16.5" customHeight="1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</row>
    <row r="658" ht="16.5" customHeight="1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</row>
    <row r="659" ht="16.5" customHeight="1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</row>
    <row r="660" ht="16.5" customHeight="1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</row>
    <row r="661" ht="16.5" customHeight="1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</row>
    <row r="662" ht="16.5" customHeight="1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</row>
    <row r="663" ht="16.5" customHeight="1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</row>
    <row r="664" ht="16.5" customHeight="1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</row>
    <row r="665" ht="16.5" customHeight="1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</row>
    <row r="666" ht="16.5" customHeight="1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</row>
    <row r="667" ht="16.5" customHeight="1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</row>
    <row r="668" ht="16.5" customHeight="1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</row>
    <row r="669" ht="16.5" customHeight="1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</row>
    <row r="670" ht="16.5" customHeight="1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</row>
    <row r="671" ht="16.5" customHeight="1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</row>
    <row r="672" ht="16.5" customHeight="1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</row>
    <row r="673" ht="16.5" customHeight="1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</row>
    <row r="674" ht="16.5" customHeight="1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</row>
    <row r="675" ht="16.5" customHeight="1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</row>
    <row r="676" ht="16.5" customHeight="1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</row>
    <row r="677" ht="16.5" customHeight="1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</row>
    <row r="678" ht="16.5" customHeight="1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</row>
    <row r="679" ht="16.5" customHeight="1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</row>
    <row r="680" ht="16.5" customHeight="1">
      <c r="A680" s="243"/>
      <c r="B680" s="243"/>
      <c r="C680" s="243"/>
      <c r="D680" s="243"/>
      <c r="E680" s="243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</row>
    <row r="681" ht="16.5" customHeight="1">
      <c r="A681" s="243"/>
      <c r="B681" s="243"/>
      <c r="C681" s="243"/>
      <c r="D681" s="243"/>
      <c r="E681" s="243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</row>
    <row r="682" ht="16.5" customHeight="1">
      <c r="A682" s="243"/>
      <c r="B682" s="243"/>
      <c r="C682" s="243"/>
      <c r="D682" s="243"/>
      <c r="E682" s="243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</row>
    <row r="683" ht="16.5" customHeight="1">
      <c r="A683" s="243"/>
      <c r="B683" s="243"/>
      <c r="C683" s="243"/>
      <c r="D683" s="243"/>
      <c r="E683" s="243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</row>
    <row r="684" ht="16.5" customHeight="1">
      <c r="A684" s="243"/>
      <c r="B684" s="243"/>
      <c r="C684" s="243"/>
      <c r="D684" s="243"/>
      <c r="E684" s="243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</row>
    <row r="685" ht="16.5" customHeight="1">
      <c r="A685" s="243"/>
      <c r="B685" s="243"/>
      <c r="C685" s="243"/>
      <c r="D685" s="243"/>
      <c r="E685" s="243"/>
      <c r="F685" s="243"/>
      <c r="G685" s="243"/>
      <c r="H685" s="243"/>
      <c r="I685" s="243"/>
      <c r="J685" s="243"/>
      <c r="K685" s="243"/>
      <c r="L685" s="243"/>
      <c r="M685" s="243"/>
      <c r="N685" s="243"/>
      <c r="O685" s="243"/>
      <c r="P685" s="243"/>
      <c r="Q685" s="243"/>
      <c r="R685" s="243"/>
      <c r="S685" s="243"/>
      <c r="T685" s="243"/>
      <c r="U685" s="243"/>
      <c r="V685" s="243"/>
      <c r="W685" s="243"/>
      <c r="X685" s="243"/>
      <c r="Y685" s="243"/>
      <c r="Z685" s="243"/>
      <c r="AA685" s="243"/>
      <c r="AB685" s="243"/>
      <c r="AC685" s="243"/>
      <c r="AD685" s="243"/>
      <c r="AE685" s="243"/>
      <c r="AF685" s="243"/>
      <c r="AG685" s="243"/>
      <c r="AH685" s="243"/>
      <c r="AI685" s="243"/>
      <c r="AJ685" s="243"/>
      <c r="AK685" s="243"/>
      <c r="AL685" s="243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</row>
    <row r="686" ht="16.5" customHeight="1">
      <c r="A686" s="243"/>
      <c r="B686" s="243"/>
      <c r="C686" s="243"/>
      <c r="D686" s="243"/>
      <c r="E686" s="243"/>
      <c r="F686" s="243"/>
      <c r="G686" s="243"/>
      <c r="H686" s="243"/>
      <c r="I686" s="243"/>
      <c r="J686" s="243"/>
      <c r="K686" s="243"/>
      <c r="L686" s="243"/>
      <c r="M686" s="243"/>
      <c r="N686" s="243"/>
      <c r="O686" s="243"/>
      <c r="P686" s="243"/>
      <c r="Q686" s="243"/>
      <c r="R686" s="243"/>
      <c r="S686" s="243"/>
      <c r="T686" s="243"/>
      <c r="U686" s="243"/>
      <c r="V686" s="243"/>
      <c r="W686" s="243"/>
      <c r="X686" s="243"/>
      <c r="Y686" s="243"/>
      <c r="Z686" s="243"/>
      <c r="AA686" s="243"/>
      <c r="AB686" s="243"/>
      <c r="AC686" s="243"/>
      <c r="AD686" s="243"/>
      <c r="AE686" s="243"/>
      <c r="AF686" s="243"/>
      <c r="AG686" s="243"/>
      <c r="AH686" s="243"/>
      <c r="AI686" s="243"/>
      <c r="AJ686" s="243"/>
      <c r="AK686" s="243"/>
      <c r="AL686" s="243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</row>
    <row r="687" ht="16.5" customHeight="1">
      <c r="A687" s="243"/>
      <c r="B687" s="243"/>
      <c r="C687" s="243"/>
      <c r="D687" s="243"/>
      <c r="E687" s="243"/>
      <c r="F687" s="243"/>
      <c r="G687" s="243"/>
      <c r="H687" s="243"/>
      <c r="I687" s="243"/>
      <c r="J687" s="243"/>
      <c r="K687" s="243"/>
      <c r="L687" s="243"/>
      <c r="M687" s="243"/>
      <c r="N687" s="243"/>
      <c r="O687" s="243"/>
      <c r="P687" s="243"/>
      <c r="Q687" s="243"/>
      <c r="R687" s="243"/>
      <c r="S687" s="243"/>
      <c r="T687" s="243"/>
      <c r="U687" s="243"/>
      <c r="V687" s="243"/>
      <c r="W687" s="243"/>
      <c r="X687" s="243"/>
      <c r="Y687" s="243"/>
      <c r="Z687" s="243"/>
      <c r="AA687" s="243"/>
      <c r="AB687" s="243"/>
      <c r="AC687" s="243"/>
      <c r="AD687" s="243"/>
      <c r="AE687" s="243"/>
      <c r="AF687" s="243"/>
      <c r="AG687" s="243"/>
      <c r="AH687" s="243"/>
      <c r="AI687" s="243"/>
      <c r="AJ687" s="243"/>
      <c r="AK687" s="243"/>
      <c r="AL687" s="243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</row>
    <row r="688" ht="16.5" customHeight="1">
      <c r="A688" s="243"/>
      <c r="B688" s="243"/>
      <c r="C688" s="243"/>
      <c r="D688" s="243"/>
      <c r="E688" s="243"/>
      <c r="F688" s="243"/>
      <c r="G688" s="243"/>
      <c r="H688" s="243"/>
      <c r="I688" s="243"/>
      <c r="J688" s="243"/>
      <c r="K688" s="243"/>
      <c r="L688" s="243"/>
      <c r="M688" s="243"/>
      <c r="N688" s="243"/>
      <c r="O688" s="243"/>
      <c r="P688" s="243"/>
      <c r="Q688" s="243"/>
      <c r="R688" s="243"/>
      <c r="S688" s="243"/>
      <c r="T688" s="243"/>
      <c r="U688" s="243"/>
      <c r="V688" s="243"/>
      <c r="W688" s="243"/>
      <c r="X688" s="243"/>
      <c r="Y688" s="243"/>
      <c r="Z688" s="243"/>
      <c r="AA688" s="243"/>
      <c r="AB688" s="243"/>
      <c r="AC688" s="243"/>
      <c r="AD688" s="243"/>
      <c r="AE688" s="243"/>
      <c r="AF688" s="243"/>
      <c r="AG688" s="243"/>
      <c r="AH688" s="243"/>
      <c r="AI688" s="243"/>
      <c r="AJ688" s="243"/>
      <c r="AK688" s="243"/>
      <c r="AL688" s="243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</row>
    <row r="689" ht="16.5" customHeight="1">
      <c r="A689" s="243"/>
      <c r="B689" s="243"/>
      <c r="C689" s="243"/>
      <c r="D689" s="243"/>
      <c r="E689" s="243"/>
      <c r="F689" s="243"/>
      <c r="G689" s="243"/>
      <c r="H689" s="243"/>
      <c r="I689" s="243"/>
      <c r="J689" s="243"/>
      <c r="K689" s="243"/>
      <c r="L689" s="243"/>
      <c r="M689" s="243"/>
      <c r="N689" s="243"/>
      <c r="O689" s="243"/>
      <c r="P689" s="243"/>
      <c r="Q689" s="243"/>
      <c r="R689" s="243"/>
      <c r="S689" s="243"/>
      <c r="T689" s="243"/>
      <c r="U689" s="243"/>
      <c r="V689" s="243"/>
      <c r="W689" s="243"/>
      <c r="X689" s="243"/>
      <c r="Y689" s="243"/>
      <c r="Z689" s="243"/>
      <c r="AA689" s="243"/>
      <c r="AB689" s="243"/>
      <c r="AC689" s="243"/>
      <c r="AD689" s="243"/>
      <c r="AE689" s="243"/>
      <c r="AF689" s="243"/>
      <c r="AG689" s="243"/>
      <c r="AH689" s="243"/>
      <c r="AI689" s="243"/>
      <c r="AJ689" s="243"/>
      <c r="AK689" s="243"/>
      <c r="AL689" s="243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</row>
    <row r="690" ht="16.5" customHeight="1">
      <c r="A690" s="243"/>
      <c r="B690" s="243"/>
      <c r="C690" s="243"/>
      <c r="D690" s="243"/>
      <c r="E690" s="243"/>
      <c r="F690" s="243"/>
      <c r="G690" s="243"/>
      <c r="H690" s="243"/>
      <c r="I690" s="243"/>
      <c r="J690" s="243"/>
      <c r="K690" s="243"/>
      <c r="L690" s="243"/>
      <c r="M690" s="243"/>
      <c r="N690" s="243"/>
      <c r="O690" s="243"/>
      <c r="P690" s="243"/>
      <c r="Q690" s="243"/>
      <c r="R690" s="243"/>
      <c r="S690" s="243"/>
      <c r="T690" s="243"/>
      <c r="U690" s="243"/>
      <c r="V690" s="243"/>
      <c r="W690" s="243"/>
      <c r="X690" s="243"/>
      <c r="Y690" s="243"/>
      <c r="Z690" s="243"/>
      <c r="AA690" s="243"/>
      <c r="AB690" s="243"/>
      <c r="AC690" s="243"/>
      <c r="AD690" s="243"/>
      <c r="AE690" s="243"/>
      <c r="AF690" s="243"/>
      <c r="AG690" s="243"/>
      <c r="AH690" s="243"/>
      <c r="AI690" s="243"/>
      <c r="AJ690" s="243"/>
      <c r="AK690" s="243"/>
      <c r="AL690" s="243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</row>
    <row r="691" ht="16.5" customHeight="1">
      <c r="A691" s="243"/>
      <c r="B691" s="243"/>
      <c r="C691" s="243"/>
      <c r="D691" s="243"/>
      <c r="E691" s="243"/>
      <c r="F691" s="243"/>
      <c r="G691" s="243"/>
      <c r="H691" s="243"/>
      <c r="I691" s="243"/>
      <c r="J691" s="243"/>
      <c r="K691" s="243"/>
      <c r="L691" s="243"/>
      <c r="M691" s="243"/>
      <c r="N691" s="243"/>
      <c r="O691" s="243"/>
      <c r="P691" s="243"/>
      <c r="Q691" s="243"/>
      <c r="R691" s="243"/>
      <c r="S691" s="243"/>
      <c r="T691" s="243"/>
      <c r="U691" s="243"/>
      <c r="V691" s="243"/>
      <c r="W691" s="243"/>
      <c r="X691" s="243"/>
      <c r="Y691" s="243"/>
      <c r="Z691" s="243"/>
      <c r="AA691" s="243"/>
      <c r="AB691" s="243"/>
      <c r="AC691" s="243"/>
      <c r="AD691" s="243"/>
      <c r="AE691" s="243"/>
      <c r="AF691" s="243"/>
      <c r="AG691" s="243"/>
      <c r="AH691" s="243"/>
      <c r="AI691" s="243"/>
      <c r="AJ691" s="243"/>
      <c r="AK691" s="243"/>
      <c r="AL691" s="243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</row>
    <row r="692" ht="16.5" customHeight="1">
      <c r="A692" s="243"/>
      <c r="B692" s="243"/>
      <c r="C692" s="243"/>
      <c r="D692" s="243"/>
      <c r="E692" s="243"/>
      <c r="F692" s="243"/>
      <c r="G692" s="243"/>
      <c r="H692" s="243"/>
      <c r="I692" s="243"/>
      <c r="J692" s="243"/>
      <c r="K692" s="243"/>
      <c r="L692" s="243"/>
      <c r="M692" s="243"/>
      <c r="N692" s="243"/>
      <c r="O692" s="243"/>
      <c r="P692" s="243"/>
      <c r="Q692" s="243"/>
      <c r="R692" s="243"/>
      <c r="S692" s="243"/>
      <c r="T692" s="243"/>
      <c r="U692" s="243"/>
      <c r="V692" s="243"/>
      <c r="W692" s="243"/>
      <c r="X692" s="243"/>
      <c r="Y692" s="243"/>
      <c r="Z692" s="243"/>
      <c r="AA692" s="243"/>
      <c r="AB692" s="243"/>
      <c r="AC692" s="243"/>
      <c r="AD692" s="243"/>
      <c r="AE692" s="243"/>
      <c r="AF692" s="243"/>
      <c r="AG692" s="243"/>
      <c r="AH692" s="243"/>
      <c r="AI692" s="243"/>
      <c r="AJ692" s="243"/>
      <c r="AK692" s="243"/>
      <c r="AL692" s="243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</row>
    <row r="693" ht="16.5" customHeight="1">
      <c r="A693" s="243"/>
      <c r="B693" s="243"/>
      <c r="C693" s="243"/>
      <c r="D693" s="243"/>
      <c r="E693" s="243"/>
      <c r="F693" s="243"/>
      <c r="G693" s="243"/>
      <c r="H693" s="243"/>
      <c r="I693" s="243"/>
      <c r="J693" s="243"/>
      <c r="K693" s="243"/>
      <c r="L693" s="243"/>
      <c r="M693" s="243"/>
      <c r="N693" s="243"/>
      <c r="O693" s="243"/>
      <c r="P693" s="243"/>
      <c r="Q693" s="243"/>
      <c r="R693" s="243"/>
      <c r="S693" s="243"/>
      <c r="T693" s="243"/>
      <c r="U693" s="243"/>
      <c r="V693" s="243"/>
      <c r="W693" s="243"/>
      <c r="X693" s="243"/>
      <c r="Y693" s="243"/>
      <c r="Z693" s="243"/>
      <c r="AA693" s="243"/>
      <c r="AB693" s="243"/>
      <c r="AC693" s="243"/>
      <c r="AD693" s="243"/>
      <c r="AE693" s="243"/>
      <c r="AF693" s="243"/>
      <c r="AG693" s="243"/>
      <c r="AH693" s="243"/>
      <c r="AI693" s="243"/>
      <c r="AJ693" s="243"/>
      <c r="AK693" s="243"/>
      <c r="AL693" s="243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</row>
    <row r="694" ht="16.5" customHeight="1">
      <c r="A694" s="243"/>
      <c r="B694" s="243"/>
      <c r="C694" s="243"/>
      <c r="D694" s="243"/>
      <c r="E694" s="243"/>
      <c r="F694" s="243"/>
      <c r="G694" s="243"/>
      <c r="H694" s="243"/>
      <c r="I694" s="243"/>
      <c r="J694" s="243"/>
      <c r="K694" s="243"/>
      <c r="L694" s="243"/>
      <c r="M694" s="243"/>
      <c r="N694" s="243"/>
      <c r="O694" s="243"/>
      <c r="P694" s="243"/>
      <c r="Q694" s="243"/>
      <c r="R694" s="243"/>
      <c r="S694" s="243"/>
      <c r="T694" s="243"/>
      <c r="U694" s="243"/>
      <c r="V694" s="243"/>
      <c r="W694" s="243"/>
      <c r="X694" s="243"/>
      <c r="Y694" s="243"/>
      <c r="Z694" s="243"/>
      <c r="AA694" s="243"/>
      <c r="AB694" s="243"/>
      <c r="AC694" s="243"/>
      <c r="AD694" s="243"/>
      <c r="AE694" s="243"/>
      <c r="AF694" s="243"/>
      <c r="AG694" s="243"/>
      <c r="AH694" s="243"/>
      <c r="AI694" s="243"/>
      <c r="AJ694" s="243"/>
      <c r="AK694" s="243"/>
      <c r="AL694" s="243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</row>
    <row r="695" ht="16.5" customHeight="1">
      <c r="A695" s="243"/>
      <c r="B695" s="243"/>
      <c r="C695" s="243"/>
      <c r="D695" s="243"/>
      <c r="E695" s="243"/>
      <c r="F695" s="243"/>
      <c r="G695" s="243"/>
      <c r="H695" s="243"/>
      <c r="I695" s="243"/>
      <c r="J695" s="243"/>
      <c r="K695" s="243"/>
      <c r="L695" s="243"/>
      <c r="M695" s="243"/>
      <c r="N695" s="243"/>
      <c r="O695" s="243"/>
      <c r="P695" s="243"/>
      <c r="Q695" s="243"/>
      <c r="R695" s="243"/>
      <c r="S695" s="243"/>
      <c r="T695" s="243"/>
      <c r="U695" s="243"/>
      <c r="V695" s="243"/>
      <c r="W695" s="243"/>
      <c r="X695" s="243"/>
      <c r="Y695" s="243"/>
      <c r="Z695" s="243"/>
      <c r="AA695" s="243"/>
      <c r="AB695" s="243"/>
      <c r="AC695" s="243"/>
      <c r="AD695" s="243"/>
      <c r="AE695" s="243"/>
      <c r="AF695" s="243"/>
      <c r="AG695" s="243"/>
      <c r="AH695" s="243"/>
      <c r="AI695" s="243"/>
      <c r="AJ695" s="243"/>
      <c r="AK695" s="243"/>
      <c r="AL695" s="243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</row>
    <row r="696" ht="16.5" customHeight="1">
      <c r="A696" s="243"/>
      <c r="B696" s="243"/>
      <c r="C696" s="243"/>
      <c r="D696" s="243"/>
      <c r="E696" s="243"/>
      <c r="F696" s="243"/>
      <c r="G696" s="243"/>
      <c r="H696" s="243"/>
      <c r="I696" s="243"/>
      <c r="J696" s="243"/>
      <c r="K696" s="243"/>
      <c r="L696" s="243"/>
      <c r="M696" s="243"/>
      <c r="N696" s="243"/>
      <c r="O696" s="243"/>
      <c r="P696" s="243"/>
      <c r="Q696" s="243"/>
      <c r="R696" s="243"/>
      <c r="S696" s="243"/>
      <c r="T696" s="243"/>
      <c r="U696" s="243"/>
      <c r="V696" s="243"/>
      <c r="W696" s="243"/>
      <c r="X696" s="243"/>
      <c r="Y696" s="243"/>
      <c r="Z696" s="243"/>
      <c r="AA696" s="243"/>
      <c r="AB696" s="243"/>
      <c r="AC696" s="243"/>
      <c r="AD696" s="243"/>
      <c r="AE696" s="243"/>
      <c r="AF696" s="243"/>
      <c r="AG696" s="243"/>
      <c r="AH696" s="243"/>
      <c r="AI696" s="243"/>
      <c r="AJ696" s="243"/>
      <c r="AK696" s="243"/>
      <c r="AL696" s="243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</row>
    <row r="697" ht="16.5" customHeight="1">
      <c r="A697" s="243"/>
      <c r="B697" s="243"/>
      <c r="C697" s="243"/>
      <c r="D697" s="243"/>
      <c r="E697" s="243"/>
      <c r="F697" s="243"/>
      <c r="G697" s="243"/>
      <c r="H697" s="243"/>
      <c r="I697" s="243"/>
      <c r="J697" s="243"/>
      <c r="K697" s="243"/>
      <c r="L697" s="243"/>
      <c r="M697" s="243"/>
      <c r="N697" s="243"/>
      <c r="O697" s="243"/>
      <c r="P697" s="243"/>
      <c r="Q697" s="243"/>
      <c r="R697" s="243"/>
      <c r="S697" s="243"/>
      <c r="T697" s="243"/>
      <c r="U697" s="243"/>
      <c r="V697" s="243"/>
      <c r="W697" s="243"/>
      <c r="X697" s="243"/>
      <c r="Y697" s="243"/>
      <c r="Z697" s="243"/>
      <c r="AA697" s="243"/>
      <c r="AB697" s="243"/>
      <c r="AC697" s="243"/>
      <c r="AD697" s="243"/>
      <c r="AE697" s="243"/>
      <c r="AF697" s="243"/>
      <c r="AG697" s="243"/>
      <c r="AH697" s="243"/>
      <c r="AI697" s="243"/>
      <c r="AJ697" s="243"/>
      <c r="AK697" s="243"/>
      <c r="AL697" s="243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</row>
    <row r="698" ht="16.5" customHeight="1">
      <c r="A698" s="243"/>
      <c r="B698" s="243"/>
      <c r="C698" s="243"/>
      <c r="D698" s="243"/>
      <c r="E698" s="243"/>
      <c r="F698" s="243"/>
      <c r="G698" s="243"/>
      <c r="H698" s="243"/>
      <c r="I698" s="243"/>
      <c r="J698" s="243"/>
      <c r="K698" s="243"/>
      <c r="L698" s="243"/>
      <c r="M698" s="243"/>
      <c r="N698" s="243"/>
      <c r="O698" s="243"/>
      <c r="P698" s="243"/>
      <c r="Q698" s="243"/>
      <c r="R698" s="243"/>
      <c r="S698" s="243"/>
      <c r="T698" s="243"/>
      <c r="U698" s="243"/>
      <c r="V698" s="243"/>
      <c r="W698" s="243"/>
      <c r="X698" s="243"/>
      <c r="Y698" s="243"/>
      <c r="Z698" s="243"/>
      <c r="AA698" s="243"/>
      <c r="AB698" s="243"/>
      <c r="AC698" s="243"/>
      <c r="AD698" s="243"/>
      <c r="AE698" s="243"/>
      <c r="AF698" s="243"/>
      <c r="AG698" s="243"/>
      <c r="AH698" s="243"/>
      <c r="AI698" s="243"/>
      <c r="AJ698" s="243"/>
      <c r="AK698" s="243"/>
      <c r="AL698" s="243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</row>
    <row r="699" ht="16.5" customHeight="1">
      <c r="A699" s="243"/>
      <c r="B699" s="243"/>
      <c r="C699" s="243"/>
      <c r="D699" s="243"/>
      <c r="E699" s="243"/>
      <c r="F699" s="243"/>
      <c r="G699" s="243"/>
      <c r="H699" s="243"/>
      <c r="I699" s="243"/>
      <c r="J699" s="243"/>
      <c r="K699" s="243"/>
      <c r="L699" s="243"/>
      <c r="M699" s="243"/>
      <c r="N699" s="243"/>
      <c r="O699" s="243"/>
      <c r="P699" s="243"/>
      <c r="Q699" s="243"/>
      <c r="R699" s="243"/>
      <c r="S699" s="243"/>
      <c r="T699" s="243"/>
      <c r="U699" s="243"/>
      <c r="V699" s="243"/>
      <c r="W699" s="243"/>
      <c r="X699" s="243"/>
      <c r="Y699" s="243"/>
      <c r="Z699" s="243"/>
      <c r="AA699" s="243"/>
      <c r="AB699" s="243"/>
      <c r="AC699" s="243"/>
      <c r="AD699" s="243"/>
      <c r="AE699" s="243"/>
      <c r="AF699" s="243"/>
      <c r="AG699" s="243"/>
      <c r="AH699" s="243"/>
      <c r="AI699" s="243"/>
      <c r="AJ699" s="243"/>
      <c r="AK699" s="243"/>
      <c r="AL699" s="243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</row>
    <row r="700" ht="16.5" customHeight="1">
      <c r="A700" s="243"/>
      <c r="B700" s="243"/>
      <c r="C700" s="243"/>
      <c r="D700" s="243"/>
      <c r="E700" s="243"/>
      <c r="F700" s="243"/>
      <c r="G700" s="243"/>
      <c r="H700" s="243"/>
      <c r="I700" s="243"/>
      <c r="J700" s="243"/>
      <c r="K700" s="243"/>
      <c r="L700" s="243"/>
      <c r="M700" s="243"/>
      <c r="N700" s="243"/>
      <c r="O700" s="243"/>
      <c r="P700" s="243"/>
      <c r="Q700" s="243"/>
      <c r="R700" s="243"/>
      <c r="S700" s="243"/>
      <c r="T700" s="243"/>
      <c r="U700" s="243"/>
      <c r="V700" s="243"/>
      <c r="W700" s="243"/>
      <c r="X700" s="243"/>
      <c r="Y700" s="243"/>
      <c r="Z700" s="243"/>
      <c r="AA700" s="243"/>
      <c r="AB700" s="243"/>
      <c r="AC700" s="243"/>
      <c r="AD700" s="243"/>
      <c r="AE700" s="243"/>
      <c r="AF700" s="243"/>
      <c r="AG700" s="243"/>
      <c r="AH700" s="243"/>
      <c r="AI700" s="243"/>
      <c r="AJ700" s="243"/>
      <c r="AK700" s="243"/>
      <c r="AL700" s="243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</row>
    <row r="701" ht="16.5" customHeight="1">
      <c r="A701" s="243"/>
      <c r="B701" s="243"/>
      <c r="C701" s="243"/>
      <c r="D701" s="243"/>
      <c r="E701" s="243"/>
      <c r="F701" s="243"/>
      <c r="G701" s="243"/>
      <c r="H701" s="243"/>
      <c r="I701" s="243"/>
      <c r="J701" s="243"/>
      <c r="K701" s="243"/>
      <c r="L701" s="243"/>
      <c r="M701" s="243"/>
      <c r="N701" s="243"/>
      <c r="O701" s="243"/>
      <c r="P701" s="243"/>
      <c r="Q701" s="243"/>
      <c r="R701" s="243"/>
      <c r="S701" s="243"/>
      <c r="T701" s="243"/>
      <c r="U701" s="243"/>
      <c r="V701" s="243"/>
      <c r="W701" s="243"/>
      <c r="X701" s="243"/>
      <c r="Y701" s="243"/>
      <c r="Z701" s="243"/>
      <c r="AA701" s="243"/>
      <c r="AB701" s="243"/>
      <c r="AC701" s="243"/>
      <c r="AD701" s="243"/>
      <c r="AE701" s="243"/>
      <c r="AF701" s="243"/>
      <c r="AG701" s="243"/>
      <c r="AH701" s="243"/>
      <c r="AI701" s="243"/>
      <c r="AJ701" s="243"/>
      <c r="AK701" s="243"/>
      <c r="AL701" s="243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</row>
    <row r="702" ht="16.5" customHeight="1">
      <c r="A702" s="243"/>
      <c r="B702" s="243"/>
      <c r="C702" s="243"/>
      <c r="D702" s="243"/>
      <c r="E702" s="243"/>
      <c r="F702" s="243"/>
      <c r="G702" s="243"/>
      <c r="H702" s="243"/>
      <c r="I702" s="243"/>
      <c r="J702" s="243"/>
      <c r="K702" s="243"/>
      <c r="L702" s="243"/>
      <c r="M702" s="243"/>
      <c r="N702" s="243"/>
      <c r="O702" s="243"/>
      <c r="P702" s="243"/>
      <c r="Q702" s="243"/>
      <c r="R702" s="243"/>
      <c r="S702" s="243"/>
      <c r="T702" s="243"/>
      <c r="U702" s="243"/>
      <c r="V702" s="243"/>
      <c r="W702" s="243"/>
      <c r="X702" s="243"/>
      <c r="Y702" s="243"/>
      <c r="Z702" s="243"/>
      <c r="AA702" s="243"/>
      <c r="AB702" s="243"/>
      <c r="AC702" s="243"/>
      <c r="AD702" s="243"/>
      <c r="AE702" s="243"/>
      <c r="AF702" s="243"/>
      <c r="AG702" s="243"/>
      <c r="AH702" s="243"/>
      <c r="AI702" s="243"/>
      <c r="AJ702" s="243"/>
      <c r="AK702" s="243"/>
      <c r="AL702" s="243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</row>
    <row r="703" ht="16.5" customHeight="1">
      <c r="A703" s="243"/>
      <c r="B703" s="243"/>
      <c r="C703" s="243"/>
      <c r="D703" s="243"/>
      <c r="E703" s="243"/>
      <c r="F703" s="243"/>
      <c r="G703" s="243"/>
      <c r="H703" s="243"/>
      <c r="I703" s="243"/>
      <c r="J703" s="243"/>
      <c r="K703" s="243"/>
      <c r="L703" s="243"/>
      <c r="M703" s="243"/>
      <c r="N703" s="243"/>
      <c r="O703" s="243"/>
      <c r="P703" s="243"/>
      <c r="Q703" s="243"/>
      <c r="R703" s="243"/>
      <c r="S703" s="243"/>
      <c r="T703" s="243"/>
      <c r="U703" s="243"/>
      <c r="V703" s="243"/>
      <c r="W703" s="243"/>
      <c r="X703" s="243"/>
      <c r="Y703" s="243"/>
      <c r="Z703" s="243"/>
      <c r="AA703" s="243"/>
      <c r="AB703" s="243"/>
      <c r="AC703" s="243"/>
      <c r="AD703" s="243"/>
      <c r="AE703" s="243"/>
      <c r="AF703" s="243"/>
      <c r="AG703" s="243"/>
      <c r="AH703" s="243"/>
      <c r="AI703" s="243"/>
      <c r="AJ703" s="243"/>
      <c r="AK703" s="243"/>
      <c r="AL703" s="243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</row>
    <row r="704" ht="16.5" customHeight="1">
      <c r="A704" s="243"/>
      <c r="B704" s="243"/>
      <c r="C704" s="243"/>
      <c r="D704" s="243"/>
      <c r="E704" s="243"/>
      <c r="F704" s="243"/>
      <c r="G704" s="243"/>
      <c r="H704" s="243"/>
      <c r="I704" s="243"/>
      <c r="J704" s="243"/>
      <c r="K704" s="243"/>
      <c r="L704" s="243"/>
      <c r="M704" s="243"/>
      <c r="N704" s="243"/>
      <c r="O704" s="243"/>
      <c r="P704" s="243"/>
      <c r="Q704" s="243"/>
      <c r="R704" s="243"/>
      <c r="S704" s="243"/>
      <c r="T704" s="243"/>
      <c r="U704" s="243"/>
      <c r="V704" s="243"/>
      <c r="W704" s="243"/>
      <c r="X704" s="243"/>
      <c r="Y704" s="243"/>
      <c r="Z704" s="243"/>
      <c r="AA704" s="243"/>
      <c r="AB704" s="243"/>
      <c r="AC704" s="243"/>
      <c r="AD704" s="243"/>
      <c r="AE704" s="243"/>
      <c r="AF704" s="243"/>
      <c r="AG704" s="243"/>
      <c r="AH704" s="243"/>
      <c r="AI704" s="243"/>
      <c r="AJ704" s="243"/>
      <c r="AK704" s="243"/>
      <c r="AL704" s="243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</row>
    <row r="705" ht="16.5" customHeight="1">
      <c r="A705" s="243"/>
      <c r="B705" s="243"/>
      <c r="C705" s="243"/>
      <c r="D705" s="243"/>
      <c r="E705" s="243"/>
      <c r="F705" s="243"/>
      <c r="G705" s="243"/>
      <c r="H705" s="243"/>
      <c r="I705" s="243"/>
      <c r="J705" s="243"/>
      <c r="K705" s="243"/>
      <c r="L705" s="243"/>
      <c r="M705" s="243"/>
      <c r="N705" s="243"/>
      <c r="O705" s="243"/>
      <c r="P705" s="243"/>
      <c r="Q705" s="243"/>
      <c r="R705" s="243"/>
      <c r="S705" s="243"/>
      <c r="T705" s="243"/>
      <c r="U705" s="243"/>
      <c r="V705" s="243"/>
      <c r="W705" s="243"/>
      <c r="X705" s="243"/>
      <c r="Y705" s="243"/>
      <c r="Z705" s="243"/>
      <c r="AA705" s="243"/>
      <c r="AB705" s="243"/>
      <c r="AC705" s="243"/>
      <c r="AD705" s="243"/>
      <c r="AE705" s="243"/>
      <c r="AF705" s="243"/>
      <c r="AG705" s="243"/>
      <c r="AH705" s="243"/>
      <c r="AI705" s="243"/>
      <c r="AJ705" s="243"/>
      <c r="AK705" s="243"/>
      <c r="AL705" s="243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</row>
    <row r="706" ht="16.5" customHeight="1">
      <c r="A706" s="243"/>
      <c r="B706" s="243"/>
      <c r="C706" s="243"/>
      <c r="D706" s="243"/>
      <c r="E706" s="243"/>
      <c r="F706" s="243"/>
      <c r="G706" s="243"/>
      <c r="H706" s="243"/>
      <c r="I706" s="243"/>
      <c r="J706" s="243"/>
      <c r="K706" s="243"/>
      <c r="L706" s="243"/>
      <c r="M706" s="243"/>
      <c r="N706" s="243"/>
      <c r="O706" s="243"/>
      <c r="P706" s="243"/>
      <c r="Q706" s="243"/>
      <c r="R706" s="243"/>
      <c r="S706" s="243"/>
      <c r="T706" s="243"/>
      <c r="U706" s="243"/>
      <c r="V706" s="243"/>
      <c r="W706" s="243"/>
      <c r="X706" s="243"/>
      <c r="Y706" s="243"/>
      <c r="Z706" s="243"/>
      <c r="AA706" s="243"/>
      <c r="AB706" s="243"/>
      <c r="AC706" s="243"/>
      <c r="AD706" s="243"/>
      <c r="AE706" s="243"/>
      <c r="AF706" s="243"/>
      <c r="AG706" s="243"/>
      <c r="AH706" s="243"/>
      <c r="AI706" s="243"/>
      <c r="AJ706" s="243"/>
      <c r="AK706" s="243"/>
      <c r="AL706" s="243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</row>
    <row r="707" ht="16.5" customHeight="1">
      <c r="A707" s="243"/>
      <c r="B707" s="243"/>
      <c r="C707" s="243"/>
      <c r="D707" s="243"/>
      <c r="E707" s="243"/>
      <c r="F707" s="243"/>
      <c r="G707" s="243"/>
      <c r="H707" s="243"/>
      <c r="I707" s="243"/>
      <c r="J707" s="243"/>
      <c r="K707" s="243"/>
      <c r="L707" s="243"/>
      <c r="M707" s="243"/>
      <c r="N707" s="243"/>
      <c r="O707" s="243"/>
      <c r="P707" s="243"/>
      <c r="Q707" s="243"/>
      <c r="R707" s="243"/>
      <c r="S707" s="243"/>
      <c r="T707" s="243"/>
      <c r="U707" s="243"/>
      <c r="V707" s="243"/>
      <c r="W707" s="243"/>
      <c r="X707" s="243"/>
      <c r="Y707" s="243"/>
      <c r="Z707" s="243"/>
      <c r="AA707" s="243"/>
      <c r="AB707" s="243"/>
      <c r="AC707" s="243"/>
      <c r="AD707" s="243"/>
      <c r="AE707" s="243"/>
      <c r="AF707" s="243"/>
      <c r="AG707" s="243"/>
      <c r="AH707" s="243"/>
      <c r="AI707" s="243"/>
      <c r="AJ707" s="243"/>
      <c r="AK707" s="243"/>
      <c r="AL707" s="243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</row>
    <row r="708" ht="16.5" customHeight="1">
      <c r="A708" s="243"/>
      <c r="B708" s="243"/>
      <c r="C708" s="243"/>
      <c r="D708" s="243"/>
      <c r="E708" s="243"/>
      <c r="F708" s="243"/>
      <c r="G708" s="243"/>
      <c r="H708" s="243"/>
      <c r="I708" s="243"/>
      <c r="J708" s="243"/>
      <c r="K708" s="243"/>
      <c r="L708" s="243"/>
      <c r="M708" s="243"/>
      <c r="N708" s="243"/>
      <c r="O708" s="243"/>
      <c r="P708" s="243"/>
      <c r="Q708" s="243"/>
      <c r="R708" s="243"/>
      <c r="S708" s="243"/>
      <c r="T708" s="243"/>
      <c r="U708" s="243"/>
      <c r="V708" s="243"/>
      <c r="W708" s="243"/>
      <c r="X708" s="243"/>
      <c r="Y708" s="243"/>
      <c r="Z708" s="243"/>
      <c r="AA708" s="243"/>
      <c r="AB708" s="243"/>
      <c r="AC708" s="243"/>
      <c r="AD708" s="243"/>
      <c r="AE708" s="243"/>
      <c r="AF708" s="243"/>
      <c r="AG708" s="243"/>
      <c r="AH708" s="243"/>
      <c r="AI708" s="243"/>
      <c r="AJ708" s="243"/>
      <c r="AK708" s="243"/>
      <c r="AL708" s="243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</row>
    <row r="709" ht="16.5" customHeight="1">
      <c r="A709" s="243"/>
      <c r="B709" s="243"/>
      <c r="C709" s="243"/>
      <c r="D709" s="243"/>
      <c r="E709" s="243"/>
      <c r="F709" s="243"/>
      <c r="G709" s="243"/>
      <c r="H709" s="243"/>
      <c r="I709" s="243"/>
      <c r="J709" s="243"/>
      <c r="K709" s="243"/>
      <c r="L709" s="243"/>
      <c r="M709" s="243"/>
      <c r="N709" s="243"/>
      <c r="O709" s="243"/>
      <c r="P709" s="243"/>
      <c r="Q709" s="243"/>
      <c r="R709" s="243"/>
      <c r="S709" s="243"/>
      <c r="T709" s="243"/>
      <c r="U709" s="243"/>
      <c r="V709" s="243"/>
      <c r="W709" s="243"/>
      <c r="X709" s="243"/>
      <c r="Y709" s="243"/>
      <c r="Z709" s="243"/>
      <c r="AA709" s="243"/>
      <c r="AB709" s="243"/>
      <c r="AC709" s="243"/>
      <c r="AD709" s="243"/>
      <c r="AE709" s="243"/>
      <c r="AF709" s="243"/>
      <c r="AG709" s="243"/>
      <c r="AH709" s="243"/>
      <c r="AI709" s="243"/>
      <c r="AJ709" s="243"/>
      <c r="AK709" s="243"/>
      <c r="AL709" s="243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</row>
    <row r="710" ht="16.5" customHeight="1">
      <c r="A710" s="243"/>
      <c r="B710" s="243"/>
      <c r="C710" s="243"/>
      <c r="D710" s="243"/>
      <c r="E710" s="243"/>
      <c r="F710" s="243"/>
      <c r="G710" s="243"/>
      <c r="H710" s="243"/>
      <c r="I710" s="243"/>
      <c r="J710" s="243"/>
      <c r="K710" s="243"/>
      <c r="L710" s="243"/>
      <c r="M710" s="243"/>
      <c r="N710" s="243"/>
      <c r="O710" s="243"/>
      <c r="P710" s="243"/>
      <c r="Q710" s="243"/>
      <c r="R710" s="243"/>
      <c r="S710" s="243"/>
      <c r="T710" s="243"/>
      <c r="U710" s="243"/>
      <c r="V710" s="243"/>
      <c r="W710" s="243"/>
      <c r="X710" s="243"/>
      <c r="Y710" s="243"/>
      <c r="Z710" s="243"/>
      <c r="AA710" s="243"/>
      <c r="AB710" s="243"/>
      <c r="AC710" s="243"/>
      <c r="AD710" s="243"/>
      <c r="AE710" s="243"/>
      <c r="AF710" s="243"/>
      <c r="AG710" s="243"/>
      <c r="AH710" s="243"/>
      <c r="AI710" s="243"/>
      <c r="AJ710" s="243"/>
      <c r="AK710" s="243"/>
      <c r="AL710" s="243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</row>
    <row r="711" ht="16.5" customHeight="1">
      <c r="A711" s="243"/>
      <c r="B711" s="243"/>
      <c r="C711" s="243"/>
      <c r="D711" s="243"/>
      <c r="E711" s="243"/>
      <c r="F711" s="243"/>
      <c r="G711" s="243"/>
      <c r="H711" s="243"/>
      <c r="I711" s="243"/>
      <c r="J711" s="243"/>
      <c r="K711" s="243"/>
      <c r="L711" s="243"/>
      <c r="M711" s="243"/>
      <c r="N711" s="243"/>
      <c r="O711" s="243"/>
      <c r="P711" s="243"/>
      <c r="Q711" s="243"/>
      <c r="R711" s="243"/>
      <c r="S711" s="243"/>
      <c r="T711" s="243"/>
      <c r="U711" s="243"/>
      <c r="V711" s="243"/>
      <c r="W711" s="243"/>
      <c r="X711" s="243"/>
      <c r="Y711" s="243"/>
      <c r="Z711" s="243"/>
      <c r="AA711" s="243"/>
      <c r="AB711" s="243"/>
      <c r="AC711" s="243"/>
      <c r="AD711" s="243"/>
      <c r="AE711" s="243"/>
      <c r="AF711" s="243"/>
      <c r="AG711" s="243"/>
      <c r="AH711" s="243"/>
      <c r="AI711" s="243"/>
      <c r="AJ711" s="243"/>
      <c r="AK711" s="243"/>
      <c r="AL711" s="243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</row>
    <row r="712" ht="16.5" customHeight="1">
      <c r="A712" s="243"/>
      <c r="B712" s="243"/>
      <c r="C712" s="243"/>
      <c r="D712" s="243"/>
      <c r="E712" s="243"/>
      <c r="F712" s="243"/>
      <c r="G712" s="243"/>
      <c r="H712" s="243"/>
      <c r="I712" s="243"/>
      <c r="J712" s="243"/>
      <c r="K712" s="243"/>
      <c r="L712" s="243"/>
      <c r="M712" s="243"/>
      <c r="N712" s="243"/>
      <c r="O712" s="243"/>
      <c r="P712" s="243"/>
      <c r="Q712" s="243"/>
      <c r="R712" s="243"/>
      <c r="S712" s="243"/>
      <c r="T712" s="243"/>
      <c r="U712" s="243"/>
      <c r="V712" s="243"/>
      <c r="W712" s="243"/>
      <c r="X712" s="243"/>
      <c r="Y712" s="243"/>
      <c r="Z712" s="243"/>
      <c r="AA712" s="243"/>
      <c r="AB712" s="243"/>
      <c r="AC712" s="243"/>
      <c r="AD712" s="243"/>
      <c r="AE712" s="243"/>
      <c r="AF712" s="243"/>
      <c r="AG712" s="243"/>
      <c r="AH712" s="243"/>
      <c r="AI712" s="243"/>
      <c r="AJ712" s="243"/>
      <c r="AK712" s="243"/>
      <c r="AL712" s="243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</row>
    <row r="713" ht="16.5" customHeight="1">
      <c r="A713" s="243"/>
      <c r="B713" s="243"/>
      <c r="C713" s="243"/>
      <c r="D713" s="243"/>
      <c r="E713" s="243"/>
      <c r="F713" s="243"/>
      <c r="G713" s="243"/>
      <c r="H713" s="243"/>
      <c r="I713" s="243"/>
      <c r="J713" s="243"/>
      <c r="K713" s="243"/>
      <c r="L713" s="243"/>
      <c r="M713" s="243"/>
      <c r="N713" s="243"/>
      <c r="O713" s="243"/>
      <c r="P713" s="243"/>
      <c r="Q713" s="243"/>
      <c r="R713" s="243"/>
      <c r="S713" s="243"/>
      <c r="T713" s="243"/>
      <c r="U713" s="243"/>
      <c r="V713" s="243"/>
      <c r="W713" s="243"/>
      <c r="X713" s="243"/>
      <c r="Y713" s="243"/>
      <c r="Z713" s="243"/>
      <c r="AA713" s="243"/>
      <c r="AB713" s="243"/>
      <c r="AC713" s="243"/>
      <c r="AD713" s="243"/>
      <c r="AE713" s="243"/>
      <c r="AF713" s="243"/>
      <c r="AG713" s="243"/>
      <c r="AH713" s="243"/>
      <c r="AI713" s="243"/>
      <c r="AJ713" s="243"/>
      <c r="AK713" s="243"/>
      <c r="AL713" s="243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</row>
    <row r="714" ht="16.5" customHeight="1">
      <c r="A714" s="243"/>
      <c r="B714" s="243"/>
      <c r="C714" s="243"/>
      <c r="D714" s="243"/>
      <c r="E714" s="243"/>
      <c r="F714" s="243"/>
      <c r="G714" s="243"/>
      <c r="H714" s="243"/>
      <c r="I714" s="243"/>
      <c r="J714" s="243"/>
      <c r="K714" s="243"/>
      <c r="L714" s="243"/>
      <c r="M714" s="243"/>
      <c r="N714" s="243"/>
      <c r="O714" s="243"/>
      <c r="P714" s="243"/>
      <c r="Q714" s="243"/>
      <c r="R714" s="243"/>
      <c r="S714" s="243"/>
      <c r="T714" s="243"/>
      <c r="U714" s="243"/>
      <c r="V714" s="243"/>
      <c r="W714" s="243"/>
      <c r="X714" s="243"/>
      <c r="Y714" s="243"/>
      <c r="Z714" s="243"/>
      <c r="AA714" s="243"/>
      <c r="AB714" s="243"/>
      <c r="AC714" s="243"/>
      <c r="AD714" s="243"/>
      <c r="AE714" s="243"/>
      <c r="AF714" s="243"/>
      <c r="AG714" s="243"/>
      <c r="AH714" s="243"/>
      <c r="AI714" s="243"/>
      <c r="AJ714" s="243"/>
      <c r="AK714" s="243"/>
      <c r="AL714" s="243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</row>
    <row r="715" ht="16.5" customHeight="1">
      <c r="A715" s="243"/>
      <c r="B715" s="243"/>
      <c r="C715" s="243"/>
      <c r="D715" s="243"/>
      <c r="E715" s="243"/>
      <c r="F715" s="243"/>
      <c r="G715" s="243"/>
      <c r="H715" s="243"/>
      <c r="I715" s="243"/>
      <c r="J715" s="243"/>
      <c r="K715" s="243"/>
      <c r="L715" s="243"/>
      <c r="M715" s="243"/>
      <c r="N715" s="243"/>
      <c r="O715" s="243"/>
      <c r="P715" s="243"/>
      <c r="Q715" s="243"/>
      <c r="R715" s="243"/>
      <c r="S715" s="243"/>
      <c r="T715" s="243"/>
      <c r="U715" s="243"/>
      <c r="V715" s="243"/>
      <c r="W715" s="243"/>
      <c r="X715" s="243"/>
      <c r="Y715" s="243"/>
      <c r="Z715" s="243"/>
      <c r="AA715" s="243"/>
      <c r="AB715" s="243"/>
      <c r="AC715" s="243"/>
      <c r="AD715" s="243"/>
      <c r="AE715" s="243"/>
      <c r="AF715" s="243"/>
      <c r="AG715" s="243"/>
      <c r="AH715" s="243"/>
      <c r="AI715" s="243"/>
      <c r="AJ715" s="243"/>
      <c r="AK715" s="243"/>
      <c r="AL715" s="243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</row>
    <row r="716" ht="16.5" customHeight="1">
      <c r="A716" s="243"/>
      <c r="B716" s="243"/>
      <c r="C716" s="243"/>
      <c r="D716" s="243"/>
      <c r="E716" s="243"/>
      <c r="F716" s="243"/>
      <c r="G716" s="243"/>
      <c r="H716" s="243"/>
      <c r="I716" s="243"/>
      <c r="J716" s="243"/>
      <c r="K716" s="243"/>
      <c r="L716" s="243"/>
      <c r="M716" s="243"/>
      <c r="N716" s="243"/>
      <c r="O716" s="243"/>
      <c r="P716" s="243"/>
      <c r="Q716" s="243"/>
      <c r="R716" s="243"/>
      <c r="S716" s="243"/>
      <c r="T716" s="243"/>
      <c r="U716" s="243"/>
      <c r="V716" s="243"/>
      <c r="W716" s="243"/>
      <c r="X716" s="243"/>
      <c r="Y716" s="243"/>
      <c r="Z716" s="243"/>
      <c r="AA716" s="243"/>
      <c r="AB716" s="243"/>
      <c r="AC716" s="243"/>
      <c r="AD716" s="243"/>
      <c r="AE716" s="243"/>
      <c r="AF716" s="243"/>
      <c r="AG716" s="243"/>
      <c r="AH716" s="243"/>
      <c r="AI716" s="243"/>
      <c r="AJ716" s="243"/>
      <c r="AK716" s="243"/>
      <c r="AL716" s="243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</row>
    <row r="717" ht="16.5" customHeight="1">
      <c r="A717" s="243"/>
      <c r="B717" s="243"/>
      <c r="C717" s="243"/>
      <c r="D717" s="243"/>
      <c r="E717" s="243"/>
      <c r="F717" s="243"/>
      <c r="G717" s="243"/>
      <c r="H717" s="243"/>
      <c r="I717" s="243"/>
      <c r="J717" s="243"/>
      <c r="K717" s="243"/>
      <c r="L717" s="243"/>
      <c r="M717" s="243"/>
      <c r="N717" s="243"/>
      <c r="O717" s="243"/>
      <c r="P717" s="243"/>
      <c r="Q717" s="243"/>
      <c r="R717" s="243"/>
      <c r="S717" s="243"/>
      <c r="T717" s="243"/>
      <c r="U717" s="243"/>
      <c r="V717" s="243"/>
      <c r="W717" s="243"/>
      <c r="X717" s="243"/>
      <c r="Y717" s="243"/>
      <c r="Z717" s="243"/>
      <c r="AA717" s="243"/>
      <c r="AB717" s="243"/>
      <c r="AC717" s="243"/>
      <c r="AD717" s="243"/>
      <c r="AE717" s="243"/>
      <c r="AF717" s="243"/>
      <c r="AG717" s="243"/>
      <c r="AH717" s="243"/>
      <c r="AI717" s="243"/>
      <c r="AJ717" s="243"/>
      <c r="AK717" s="243"/>
      <c r="AL717" s="243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</row>
    <row r="718" ht="16.5" customHeight="1">
      <c r="A718" s="243"/>
      <c r="B718" s="243"/>
      <c r="C718" s="243"/>
      <c r="D718" s="243"/>
      <c r="E718" s="243"/>
      <c r="F718" s="243"/>
      <c r="G718" s="243"/>
      <c r="H718" s="243"/>
      <c r="I718" s="243"/>
      <c r="J718" s="243"/>
      <c r="K718" s="243"/>
      <c r="L718" s="243"/>
      <c r="M718" s="243"/>
      <c r="N718" s="243"/>
      <c r="O718" s="243"/>
      <c r="P718" s="243"/>
      <c r="Q718" s="243"/>
      <c r="R718" s="243"/>
      <c r="S718" s="243"/>
      <c r="T718" s="243"/>
      <c r="U718" s="243"/>
      <c r="V718" s="243"/>
      <c r="W718" s="243"/>
      <c r="X718" s="243"/>
      <c r="Y718" s="243"/>
      <c r="Z718" s="243"/>
      <c r="AA718" s="243"/>
      <c r="AB718" s="243"/>
      <c r="AC718" s="243"/>
      <c r="AD718" s="243"/>
      <c r="AE718" s="243"/>
      <c r="AF718" s="243"/>
      <c r="AG718" s="243"/>
      <c r="AH718" s="243"/>
      <c r="AI718" s="243"/>
      <c r="AJ718" s="243"/>
      <c r="AK718" s="243"/>
      <c r="AL718" s="243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</row>
    <row r="719" ht="16.5" customHeight="1">
      <c r="A719" s="243"/>
      <c r="B719" s="243"/>
      <c r="C719" s="243"/>
      <c r="D719" s="243"/>
      <c r="E719" s="243"/>
      <c r="F719" s="243"/>
      <c r="G719" s="243"/>
      <c r="H719" s="243"/>
      <c r="I719" s="243"/>
      <c r="J719" s="243"/>
      <c r="K719" s="243"/>
      <c r="L719" s="243"/>
      <c r="M719" s="243"/>
      <c r="N719" s="243"/>
      <c r="O719" s="243"/>
      <c r="P719" s="243"/>
      <c r="Q719" s="243"/>
      <c r="R719" s="243"/>
      <c r="S719" s="243"/>
      <c r="T719" s="243"/>
      <c r="U719" s="243"/>
      <c r="V719" s="243"/>
      <c r="W719" s="243"/>
      <c r="X719" s="243"/>
      <c r="Y719" s="243"/>
      <c r="Z719" s="243"/>
      <c r="AA719" s="243"/>
      <c r="AB719" s="243"/>
      <c r="AC719" s="243"/>
      <c r="AD719" s="243"/>
      <c r="AE719" s="243"/>
      <c r="AF719" s="243"/>
      <c r="AG719" s="243"/>
      <c r="AH719" s="243"/>
      <c r="AI719" s="243"/>
      <c r="AJ719" s="243"/>
      <c r="AK719" s="243"/>
      <c r="AL719" s="243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</row>
    <row r="720" ht="16.5" customHeight="1">
      <c r="A720" s="243"/>
      <c r="B720" s="243"/>
      <c r="C720" s="243"/>
      <c r="D720" s="243"/>
      <c r="E720" s="243"/>
      <c r="F720" s="243"/>
      <c r="G720" s="243"/>
      <c r="H720" s="243"/>
      <c r="I720" s="243"/>
      <c r="J720" s="243"/>
      <c r="K720" s="243"/>
      <c r="L720" s="243"/>
      <c r="M720" s="243"/>
      <c r="N720" s="243"/>
      <c r="O720" s="243"/>
      <c r="P720" s="243"/>
      <c r="Q720" s="243"/>
      <c r="R720" s="243"/>
      <c r="S720" s="243"/>
      <c r="T720" s="243"/>
      <c r="U720" s="243"/>
      <c r="V720" s="243"/>
      <c r="W720" s="243"/>
      <c r="X720" s="243"/>
      <c r="Y720" s="243"/>
      <c r="Z720" s="243"/>
      <c r="AA720" s="243"/>
      <c r="AB720" s="243"/>
      <c r="AC720" s="243"/>
      <c r="AD720" s="243"/>
      <c r="AE720" s="243"/>
      <c r="AF720" s="243"/>
      <c r="AG720" s="243"/>
      <c r="AH720" s="243"/>
      <c r="AI720" s="243"/>
      <c r="AJ720" s="243"/>
      <c r="AK720" s="243"/>
      <c r="AL720" s="243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</row>
    <row r="721" ht="16.5" customHeight="1">
      <c r="A721" s="243"/>
      <c r="B721" s="243"/>
      <c r="C721" s="243"/>
      <c r="D721" s="243"/>
      <c r="E721" s="243"/>
      <c r="F721" s="243"/>
      <c r="G721" s="243"/>
      <c r="H721" s="243"/>
      <c r="I721" s="243"/>
      <c r="J721" s="243"/>
      <c r="K721" s="243"/>
      <c r="L721" s="243"/>
      <c r="M721" s="243"/>
      <c r="N721" s="243"/>
      <c r="O721" s="243"/>
      <c r="P721" s="243"/>
      <c r="Q721" s="243"/>
      <c r="R721" s="243"/>
      <c r="S721" s="243"/>
      <c r="T721" s="243"/>
      <c r="U721" s="243"/>
      <c r="V721" s="243"/>
      <c r="W721" s="243"/>
      <c r="X721" s="243"/>
      <c r="Y721" s="243"/>
      <c r="Z721" s="243"/>
      <c r="AA721" s="243"/>
      <c r="AB721" s="243"/>
      <c r="AC721" s="243"/>
      <c r="AD721" s="243"/>
      <c r="AE721" s="243"/>
      <c r="AF721" s="243"/>
      <c r="AG721" s="243"/>
      <c r="AH721" s="243"/>
      <c r="AI721" s="243"/>
      <c r="AJ721" s="243"/>
      <c r="AK721" s="243"/>
      <c r="AL721" s="243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</row>
    <row r="722" ht="16.5" customHeight="1">
      <c r="A722" s="243"/>
      <c r="B722" s="243"/>
      <c r="C722" s="243"/>
      <c r="D722" s="243"/>
      <c r="E722" s="243"/>
      <c r="F722" s="243"/>
      <c r="G722" s="243"/>
      <c r="H722" s="243"/>
      <c r="I722" s="243"/>
      <c r="J722" s="243"/>
      <c r="K722" s="243"/>
      <c r="L722" s="243"/>
      <c r="M722" s="243"/>
      <c r="N722" s="243"/>
      <c r="O722" s="243"/>
      <c r="P722" s="243"/>
      <c r="Q722" s="243"/>
      <c r="R722" s="243"/>
      <c r="S722" s="243"/>
      <c r="T722" s="243"/>
      <c r="U722" s="243"/>
      <c r="V722" s="243"/>
      <c r="W722" s="243"/>
      <c r="X722" s="243"/>
      <c r="Y722" s="243"/>
      <c r="Z722" s="243"/>
      <c r="AA722" s="243"/>
      <c r="AB722" s="243"/>
      <c r="AC722" s="243"/>
      <c r="AD722" s="243"/>
      <c r="AE722" s="243"/>
      <c r="AF722" s="243"/>
      <c r="AG722" s="243"/>
      <c r="AH722" s="243"/>
      <c r="AI722" s="243"/>
      <c r="AJ722" s="243"/>
      <c r="AK722" s="243"/>
      <c r="AL722" s="243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</row>
    <row r="723" ht="16.5" customHeight="1">
      <c r="A723" s="243"/>
      <c r="B723" s="243"/>
      <c r="C723" s="243"/>
      <c r="D723" s="243"/>
      <c r="E723" s="243"/>
      <c r="F723" s="243"/>
      <c r="G723" s="243"/>
      <c r="H723" s="243"/>
      <c r="I723" s="243"/>
      <c r="J723" s="243"/>
      <c r="K723" s="243"/>
      <c r="L723" s="243"/>
      <c r="M723" s="243"/>
      <c r="N723" s="243"/>
      <c r="O723" s="243"/>
      <c r="P723" s="243"/>
      <c r="Q723" s="243"/>
      <c r="R723" s="243"/>
      <c r="S723" s="243"/>
      <c r="T723" s="243"/>
      <c r="U723" s="243"/>
      <c r="V723" s="243"/>
      <c r="W723" s="243"/>
      <c r="X723" s="243"/>
      <c r="Y723" s="243"/>
      <c r="Z723" s="243"/>
      <c r="AA723" s="243"/>
      <c r="AB723" s="243"/>
      <c r="AC723" s="243"/>
      <c r="AD723" s="243"/>
      <c r="AE723" s="243"/>
      <c r="AF723" s="243"/>
      <c r="AG723" s="243"/>
      <c r="AH723" s="243"/>
      <c r="AI723" s="243"/>
      <c r="AJ723" s="243"/>
      <c r="AK723" s="243"/>
      <c r="AL723" s="243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</row>
    <row r="724" ht="16.5" customHeight="1">
      <c r="A724" s="243"/>
      <c r="B724" s="243"/>
      <c r="C724" s="243"/>
      <c r="D724" s="243"/>
      <c r="E724" s="243"/>
      <c r="F724" s="243"/>
      <c r="G724" s="243"/>
      <c r="H724" s="243"/>
      <c r="I724" s="243"/>
      <c r="J724" s="243"/>
      <c r="K724" s="243"/>
      <c r="L724" s="243"/>
      <c r="M724" s="243"/>
      <c r="N724" s="243"/>
      <c r="O724" s="243"/>
      <c r="P724" s="243"/>
      <c r="Q724" s="243"/>
      <c r="R724" s="243"/>
      <c r="S724" s="243"/>
      <c r="T724" s="243"/>
      <c r="U724" s="243"/>
      <c r="V724" s="243"/>
      <c r="W724" s="243"/>
      <c r="X724" s="243"/>
      <c r="Y724" s="243"/>
      <c r="Z724" s="243"/>
      <c r="AA724" s="243"/>
      <c r="AB724" s="243"/>
      <c r="AC724" s="243"/>
      <c r="AD724" s="243"/>
      <c r="AE724" s="243"/>
      <c r="AF724" s="243"/>
      <c r="AG724" s="243"/>
      <c r="AH724" s="243"/>
      <c r="AI724" s="243"/>
      <c r="AJ724" s="243"/>
      <c r="AK724" s="243"/>
      <c r="AL724" s="243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</row>
    <row r="725" ht="16.5" customHeight="1">
      <c r="A725" s="243"/>
      <c r="B725" s="243"/>
      <c r="C725" s="243"/>
      <c r="D725" s="243"/>
      <c r="E725" s="243"/>
      <c r="F725" s="243"/>
      <c r="G725" s="243"/>
      <c r="H725" s="243"/>
      <c r="I725" s="243"/>
      <c r="J725" s="243"/>
      <c r="K725" s="243"/>
      <c r="L725" s="243"/>
      <c r="M725" s="243"/>
      <c r="N725" s="243"/>
      <c r="O725" s="243"/>
      <c r="P725" s="243"/>
      <c r="Q725" s="243"/>
      <c r="R725" s="243"/>
      <c r="S725" s="243"/>
      <c r="T725" s="243"/>
      <c r="U725" s="243"/>
      <c r="V725" s="243"/>
      <c r="W725" s="243"/>
      <c r="X725" s="243"/>
      <c r="Y725" s="243"/>
      <c r="Z725" s="243"/>
      <c r="AA725" s="243"/>
      <c r="AB725" s="243"/>
      <c r="AC725" s="243"/>
      <c r="AD725" s="243"/>
      <c r="AE725" s="243"/>
      <c r="AF725" s="243"/>
      <c r="AG725" s="243"/>
      <c r="AH725" s="243"/>
      <c r="AI725" s="243"/>
      <c r="AJ725" s="243"/>
      <c r="AK725" s="243"/>
      <c r="AL725" s="243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</row>
    <row r="726" ht="16.5" customHeight="1">
      <c r="A726" s="243"/>
      <c r="B726" s="243"/>
      <c r="C726" s="243"/>
      <c r="D726" s="243"/>
      <c r="E726" s="243"/>
      <c r="F726" s="243"/>
      <c r="G726" s="243"/>
      <c r="H726" s="243"/>
      <c r="I726" s="243"/>
      <c r="J726" s="243"/>
      <c r="K726" s="243"/>
      <c r="L726" s="243"/>
      <c r="M726" s="243"/>
      <c r="N726" s="243"/>
      <c r="O726" s="243"/>
      <c r="P726" s="243"/>
      <c r="Q726" s="243"/>
      <c r="R726" s="243"/>
      <c r="S726" s="243"/>
      <c r="T726" s="243"/>
      <c r="U726" s="243"/>
      <c r="V726" s="243"/>
      <c r="W726" s="243"/>
      <c r="X726" s="243"/>
      <c r="Y726" s="243"/>
      <c r="Z726" s="243"/>
      <c r="AA726" s="243"/>
      <c r="AB726" s="243"/>
      <c r="AC726" s="243"/>
      <c r="AD726" s="243"/>
      <c r="AE726" s="243"/>
      <c r="AF726" s="243"/>
      <c r="AG726" s="243"/>
      <c r="AH726" s="243"/>
      <c r="AI726" s="243"/>
      <c r="AJ726" s="243"/>
      <c r="AK726" s="243"/>
      <c r="AL726" s="243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</row>
    <row r="727" ht="16.5" customHeight="1">
      <c r="A727" s="243"/>
      <c r="B727" s="243"/>
      <c r="C727" s="243"/>
      <c r="D727" s="243"/>
      <c r="E727" s="243"/>
      <c r="F727" s="243"/>
      <c r="G727" s="243"/>
      <c r="H727" s="243"/>
      <c r="I727" s="243"/>
      <c r="J727" s="243"/>
      <c r="K727" s="243"/>
      <c r="L727" s="243"/>
      <c r="M727" s="243"/>
      <c r="N727" s="243"/>
      <c r="O727" s="243"/>
      <c r="P727" s="243"/>
      <c r="Q727" s="243"/>
      <c r="R727" s="243"/>
      <c r="S727" s="243"/>
      <c r="T727" s="243"/>
      <c r="U727" s="243"/>
      <c r="V727" s="243"/>
      <c r="W727" s="243"/>
      <c r="X727" s="243"/>
      <c r="Y727" s="243"/>
      <c r="Z727" s="243"/>
      <c r="AA727" s="243"/>
      <c r="AB727" s="243"/>
      <c r="AC727" s="243"/>
      <c r="AD727" s="243"/>
      <c r="AE727" s="243"/>
      <c r="AF727" s="243"/>
      <c r="AG727" s="243"/>
      <c r="AH727" s="243"/>
      <c r="AI727" s="243"/>
      <c r="AJ727" s="243"/>
      <c r="AK727" s="243"/>
      <c r="AL727" s="243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</row>
    <row r="728" ht="16.5" customHeight="1">
      <c r="A728" s="243"/>
      <c r="B728" s="243"/>
      <c r="C728" s="243"/>
      <c r="D728" s="243"/>
      <c r="E728" s="243"/>
      <c r="F728" s="243"/>
      <c r="G728" s="243"/>
      <c r="H728" s="243"/>
      <c r="I728" s="243"/>
      <c r="J728" s="243"/>
      <c r="K728" s="243"/>
      <c r="L728" s="243"/>
      <c r="M728" s="243"/>
      <c r="N728" s="243"/>
      <c r="O728" s="243"/>
      <c r="P728" s="243"/>
      <c r="Q728" s="243"/>
      <c r="R728" s="243"/>
      <c r="S728" s="243"/>
      <c r="T728" s="243"/>
      <c r="U728" s="243"/>
      <c r="V728" s="243"/>
      <c r="W728" s="243"/>
      <c r="X728" s="243"/>
      <c r="Y728" s="243"/>
      <c r="Z728" s="243"/>
      <c r="AA728" s="243"/>
      <c r="AB728" s="243"/>
      <c r="AC728" s="243"/>
      <c r="AD728" s="243"/>
      <c r="AE728" s="243"/>
      <c r="AF728" s="243"/>
      <c r="AG728" s="243"/>
      <c r="AH728" s="243"/>
      <c r="AI728" s="243"/>
      <c r="AJ728" s="243"/>
      <c r="AK728" s="243"/>
      <c r="AL728" s="243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</row>
    <row r="729" ht="16.5" customHeight="1">
      <c r="A729" s="243"/>
      <c r="B729" s="243"/>
      <c r="C729" s="243"/>
      <c r="D729" s="243"/>
      <c r="E729" s="243"/>
      <c r="F729" s="243"/>
      <c r="G729" s="243"/>
      <c r="H729" s="243"/>
      <c r="I729" s="243"/>
      <c r="J729" s="243"/>
      <c r="K729" s="243"/>
      <c r="L729" s="243"/>
      <c r="M729" s="243"/>
      <c r="N729" s="243"/>
      <c r="O729" s="243"/>
      <c r="P729" s="243"/>
      <c r="Q729" s="243"/>
      <c r="R729" s="243"/>
      <c r="S729" s="243"/>
      <c r="T729" s="243"/>
      <c r="U729" s="243"/>
      <c r="V729" s="243"/>
      <c r="W729" s="243"/>
      <c r="X729" s="243"/>
      <c r="Y729" s="243"/>
      <c r="Z729" s="243"/>
      <c r="AA729" s="243"/>
      <c r="AB729" s="243"/>
      <c r="AC729" s="243"/>
      <c r="AD729" s="243"/>
      <c r="AE729" s="243"/>
      <c r="AF729" s="243"/>
      <c r="AG729" s="243"/>
      <c r="AH729" s="243"/>
      <c r="AI729" s="243"/>
      <c r="AJ729" s="243"/>
      <c r="AK729" s="243"/>
      <c r="AL729" s="243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</row>
    <row r="730" ht="16.5" customHeight="1">
      <c r="A730" s="243"/>
      <c r="B730" s="243"/>
      <c r="C730" s="243"/>
      <c r="D730" s="243"/>
      <c r="E730" s="243"/>
      <c r="F730" s="243"/>
      <c r="G730" s="243"/>
      <c r="H730" s="243"/>
      <c r="I730" s="243"/>
      <c r="J730" s="243"/>
      <c r="K730" s="243"/>
      <c r="L730" s="243"/>
      <c r="M730" s="243"/>
      <c r="N730" s="243"/>
      <c r="O730" s="243"/>
      <c r="P730" s="243"/>
      <c r="Q730" s="243"/>
      <c r="R730" s="243"/>
      <c r="S730" s="243"/>
      <c r="T730" s="243"/>
      <c r="U730" s="243"/>
      <c r="V730" s="243"/>
      <c r="W730" s="243"/>
      <c r="X730" s="243"/>
      <c r="Y730" s="243"/>
      <c r="Z730" s="243"/>
      <c r="AA730" s="243"/>
      <c r="AB730" s="243"/>
      <c r="AC730" s="243"/>
      <c r="AD730" s="243"/>
      <c r="AE730" s="243"/>
      <c r="AF730" s="243"/>
      <c r="AG730" s="243"/>
      <c r="AH730" s="243"/>
      <c r="AI730" s="243"/>
      <c r="AJ730" s="243"/>
      <c r="AK730" s="243"/>
      <c r="AL730" s="243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</row>
    <row r="731" ht="16.5" customHeight="1">
      <c r="A731" s="243"/>
      <c r="B731" s="243"/>
      <c r="C731" s="243"/>
      <c r="D731" s="243"/>
      <c r="E731" s="243"/>
      <c r="F731" s="243"/>
      <c r="G731" s="243"/>
      <c r="H731" s="243"/>
      <c r="I731" s="243"/>
      <c r="J731" s="243"/>
      <c r="K731" s="243"/>
      <c r="L731" s="243"/>
      <c r="M731" s="243"/>
      <c r="N731" s="243"/>
      <c r="O731" s="243"/>
      <c r="P731" s="243"/>
      <c r="Q731" s="243"/>
      <c r="R731" s="243"/>
      <c r="S731" s="243"/>
      <c r="T731" s="243"/>
      <c r="U731" s="243"/>
      <c r="V731" s="243"/>
      <c r="W731" s="243"/>
      <c r="X731" s="243"/>
      <c r="Y731" s="243"/>
      <c r="Z731" s="243"/>
      <c r="AA731" s="243"/>
      <c r="AB731" s="243"/>
      <c r="AC731" s="243"/>
      <c r="AD731" s="243"/>
      <c r="AE731" s="243"/>
      <c r="AF731" s="243"/>
      <c r="AG731" s="243"/>
      <c r="AH731" s="243"/>
      <c r="AI731" s="243"/>
      <c r="AJ731" s="243"/>
      <c r="AK731" s="243"/>
      <c r="AL731" s="243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</row>
    <row r="732" ht="16.5" customHeight="1">
      <c r="A732" s="243"/>
      <c r="B732" s="243"/>
      <c r="C732" s="243"/>
      <c r="D732" s="243"/>
      <c r="E732" s="243"/>
      <c r="F732" s="243"/>
      <c r="G732" s="243"/>
      <c r="H732" s="243"/>
      <c r="I732" s="243"/>
      <c r="J732" s="243"/>
      <c r="K732" s="243"/>
      <c r="L732" s="243"/>
      <c r="M732" s="243"/>
      <c r="N732" s="243"/>
      <c r="O732" s="243"/>
      <c r="P732" s="243"/>
      <c r="Q732" s="243"/>
      <c r="R732" s="243"/>
      <c r="S732" s="243"/>
      <c r="T732" s="243"/>
      <c r="U732" s="243"/>
      <c r="V732" s="243"/>
      <c r="W732" s="243"/>
      <c r="X732" s="243"/>
      <c r="Y732" s="243"/>
      <c r="Z732" s="243"/>
      <c r="AA732" s="243"/>
      <c r="AB732" s="243"/>
      <c r="AC732" s="243"/>
      <c r="AD732" s="243"/>
      <c r="AE732" s="243"/>
      <c r="AF732" s="243"/>
      <c r="AG732" s="243"/>
      <c r="AH732" s="243"/>
      <c r="AI732" s="243"/>
      <c r="AJ732" s="243"/>
      <c r="AK732" s="243"/>
      <c r="AL732" s="243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</row>
    <row r="733" ht="16.5" customHeight="1">
      <c r="A733" s="243"/>
      <c r="B733" s="243"/>
      <c r="C733" s="243"/>
      <c r="D733" s="243"/>
      <c r="E733" s="243"/>
      <c r="F733" s="243"/>
      <c r="G733" s="243"/>
      <c r="H733" s="243"/>
      <c r="I733" s="243"/>
      <c r="J733" s="243"/>
      <c r="K733" s="243"/>
      <c r="L733" s="243"/>
      <c r="M733" s="243"/>
      <c r="N733" s="243"/>
      <c r="O733" s="243"/>
      <c r="P733" s="243"/>
      <c r="Q733" s="243"/>
      <c r="R733" s="243"/>
      <c r="S733" s="243"/>
      <c r="T733" s="243"/>
      <c r="U733" s="243"/>
      <c r="V733" s="243"/>
      <c r="W733" s="243"/>
      <c r="X733" s="243"/>
      <c r="Y733" s="243"/>
      <c r="Z733" s="243"/>
      <c r="AA733" s="243"/>
      <c r="AB733" s="243"/>
      <c r="AC733" s="243"/>
      <c r="AD733" s="243"/>
      <c r="AE733" s="243"/>
      <c r="AF733" s="243"/>
      <c r="AG733" s="243"/>
      <c r="AH733" s="243"/>
      <c r="AI733" s="243"/>
      <c r="AJ733" s="243"/>
      <c r="AK733" s="243"/>
      <c r="AL733" s="243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</row>
    <row r="734" ht="16.5" customHeight="1">
      <c r="A734" s="243"/>
      <c r="B734" s="243"/>
      <c r="C734" s="243"/>
      <c r="D734" s="243"/>
      <c r="E734" s="243"/>
      <c r="F734" s="243"/>
      <c r="G734" s="243"/>
      <c r="H734" s="243"/>
      <c r="I734" s="243"/>
      <c r="J734" s="243"/>
      <c r="K734" s="243"/>
      <c r="L734" s="243"/>
      <c r="M734" s="243"/>
      <c r="N734" s="243"/>
      <c r="O734" s="243"/>
      <c r="P734" s="243"/>
      <c r="Q734" s="243"/>
      <c r="R734" s="243"/>
      <c r="S734" s="243"/>
      <c r="T734" s="243"/>
      <c r="U734" s="243"/>
      <c r="V734" s="243"/>
      <c r="W734" s="243"/>
      <c r="X734" s="243"/>
      <c r="Y734" s="243"/>
      <c r="Z734" s="243"/>
      <c r="AA734" s="243"/>
      <c r="AB734" s="243"/>
      <c r="AC734" s="243"/>
      <c r="AD734" s="243"/>
      <c r="AE734" s="243"/>
      <c r="AF734" s="243"/>
      <c r="AG734" s="243"/>
      <c r="AH734" s="243"/>
      <c r="AI734" s="243"/>
      <c r="AJ734" s="243"/>
      <c r="AK734" s="243"/>
      <c r="AL734" s="243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</row>
    <row r="735" ht="16.5" customHeight="1">
      <c r="A735" s="243"/>
      <c r="B735" s="243"/>
      <c r="C735" s="243"/>
      <c r="D735" s="243"/>
      <c r="E735" s="243"/>
      <c r="F735" s="243"/>
      <c r="G735" s="243"/>
      <c r="H735" s="243"/>
      <c r="I735" s="243"/>
      <c r="J735" s="243"/>
      <c r="K735" s="243"/>
      <c r="L735" s="243"/>
      <c r="M735" s="243"/>
      <c r="N735" s="243"/>
      <c r="O735" s="243"/>
      <c r="P735" s="243"/>
      <c r="Q735" s="243"/>
      <c r="R735" s="243"/>
      <c r="S735" s="243"/>
      <c r="T735" s="243"/>
      <c r="U735" s="243"/>
      <c r="V735" s="243"/>
      <c r="W735" s="243"/>
      <c r="X735" s="243"/>
      <c r="Y735" s="243"/>
      <c r="Z735" s="243"/>
      <c r="AA735" s="243"/>
      <c r="AB735" s="243"/>
      <c r="AC735" s="243"/>
      <c r="AD735" s="243"/>
      <c r="AE735" s="243"/>
      <c r="AF735" s="243"/>
      <c r="AG735" s="243"/>
      <c r="AH735" s="243"/>
      <c r="AI735" s="243"/>
      <c r="AJ735" s="243"/>
      <c r="AK735" s="243"/>
      <c r="AL735" s="243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</row>
    <row r="736" ht="16.5" customHeight="1">
      <c r="A736" s="243"/>
      <c r="B736" s="243"/>
      <c r="C736" s="243"/>
      <c r="D736" s="243"/>
      <c r="E736" s="243"/>
      <c r="F736" s="243"/>
      <c r="G736" s="243"/>
      <c r="H736" s="243"/>
      <c r="I736" s="243"/>
      <c r="J736" s="243"/>
      <c r="K736" s="243"/>
      <c r="L736" s="243"/>
      <c r="M736" s="243"/>
      <c r="N736" s="243"/>
      <c r="O736" s="243"/>
      <c r="P736" s="243"/>
      <c r="Q736" s="243"/>
      <c r="R736" s="243"/>
      <c r="S736" s="243"/>
      <c r="T736" s="243"/>
      <c r="U736" s="243"/>
      <c r="V736" s="243"/>
      <c r="W736" s="243"/>
      <c r="X736" s="243"/>
      <c r="Y736" s="243"/>
      <c r="Z736" s="243"/>
      <c r="AA736" s="243"/>
      <c r="AB736" s="243"/>
      <c r="AC736" s="243"/>
      <c r="AD736" s="243"/>
      <c r="AE736" s="243"/>
      <c r="AF736" s="243"/>
      <c r="AG736" s="243"/>
      <c r="AH736" s="243"/>
      <c r="AI736" s="243"/>
      <c r="AJ736" s="243"/>
      <c r="AK736" s="243"/>
      <c r="AL736" s="243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</row>
    <row r="737" ht="16.5" customHeight="1">
      <c r="A737" s="243"/>
      <c r="B737" s="243"/>
      <c r="C737" s="243"/>
      <c r="D737" s="243"/>
      <c r="E737" s="243"/>
      <c r="F737" s="243"/>
      <c r="G737" s="243"/>
      <c r="H737" s="243"/>
      <c r="I737" s="243"/>
      <c r="J737" s="243"/>
      <c r="K737" s="243"/>
      <c r="L737" s="243"/>
      <c r="M737" s="243"/>
      <c r="N737" s="243"/>
      <c r="O737" s="243"/>
      <c r="P737" s="243"/>
      <c r="Q737" s="243"/>
      <c r="R737" s="243"/>
      <c r="S737" s="243"/>
      <c r="T737" s="243"/>
      <c r="U737" s="243"/>
      <c r="V737" s="243"/>
      <c r="W737" s="243"/>
      <c r="X737" s="243"/>
      <c r="Y737" s="243"/>
      <c r="Z737" s="243"/>
      <c r="AA737" s="243"/>
      <c r="AB737" s="243"/>
      <c r="AC737" s="243"/>
      <c r="AD737" s="243"/>
      <c r="AE737" s="243"/>
      <c r="AF737" s="243"/>
      <c r="AG737" s="243"/>
      <c r="AH737" s="243"/>
      <c r="AI737" s="243"/>
      <c r="AJ737" s="243"/>
      <c r="AK737" s="243"/>
      <c r="AL737" s="243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</row>
    <row r="738" ht="16.5" customHeight="1">
      <c r="A738" s="243"/>
      <c r="B738" s="243"/>
      <c r="C738" s="243"/>
      <c r="D738" s="243"/>
      <c r="E738" s="243"/>
      <c r="F738" s="243"/>
      <c r="G738" s="243"/>
      <c r="H738" s="243"/>
      <c r="I738" s="243"/>
      <c r="J738" s="243"/>
      <c r="K738" s="243"/>
      <c r="L738" s="243"/>
      <c r="M738" s="243"/>
      <c r="N738" s="243"/>
      <c r="O738" s="243"/>
      <c r="P738" s="243"/>
      <c r="Q738" s="243"/>
      <c r="R738" s="243"/>
      <c r="S738" s="243"/>
      <c r="T738" s="243"/>
      <c r="U738" s="243"/>
      <c r="V738" s="243"/>
      <c r="W738" s="243"/>
      <c r="X738" s="243"/>
      <c r="Y738" s="243"/>
      <c r="Z738" s="243"/>
      <c r="AA738" s="243"/>
      <c r="AB738" s="243"/>
      <c r="AC738" s="243"/>
      <c r="AD738" s="243"/>
      <c r="AE738" s="243"/>
      <c r="AF738" s="243"/>
      <c r="AG738" s="243"/>
      <c r="AH738" s="243"/>
      <c r="AI738" s="243"/>
      <c r="AJ738" s="243"/>
      <c r="AK738" s="243"/>
      <c r="AL738" s="243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</row>
    <row r="739" ht="16.5" customHeight="1">
      <c r="A739" s="243"/>
      <c r="B739" s="243"/>
      <c r="C739" s="243"/>
      <c r="D739" s="243"/>
      <c r="E739" s="243"/>
      <c r="F739" s="243"/>
      <c r="G739" s="243"/>
      <c r="H739" s="243"/>
      <c r="I739" s="243"/>
      <c r="J739" s="243"/>
      <c r="K739" s="243"/>
      <c r="L739" s="243"/>
      <c r="M739" s="243"/>
      <c r="N739" s="243"/>
      <c r="O739" s="243"/>
      <c r="P739" s="243"/>
      <c r="Q739" s="243"/>
      <c r="R739" s="243"/>
      <c r="S739" s="243"/>
      <c r="T739" s="243"/>
      <c r="U739" s="243"/>
      <c r="V739" s="243"/>
      <c r="W739" s="243"/>
      <c r="X739" s="243"/>
      <c r="Y739" s="243"/>
      <c r="Z739" s="243"/>
      <c r="AA739" s="243"/>
      <c r="AB739" s="243"/>
      <c r="AC739" s="243"/>
      <c r="AD739" s="243"/>
      <c r="AE739" s="243"/>
      <c r="AF739" s="243"/>
      <c r="AG739" s="243"/>
      <c r="AH739" s="243"/>
      <c r="AI739" s="243"/>
      <c r="AJ739" s="243"/>
      <c r="AK739" s="243"/>
      <c r="AL739" s="243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</row>
    <row r="740" ht="16.5" customHeight="1">
      <c r="A740" s="243"/>
      <c r="B740" s="243"/>
      <c r="C740" s="243"/>
      <c r="D740" s="243"/>
      <c r="E740" s="243"/>
      <c r="F740" s="243"/>
      <c r="G740" s="243"/>
      <c r="H740" s="243"/>
      <c r="I740" s="243"/>
      <c r="J740" s="243"/>
      <c r="K740" s="243"/>
      <c r="L740" s="243"/>
      <c r="M740" s="243"/>
      <c r="N740" s="243"/>
      <c r="O740" s="243"/>
      <c r="P740" s="243"/>
      <c r="Q740" s="243"/>
      <c r="R740" s="243"/>
      <c r="S740" s="243"/>
      <c r="T740" s="243"/>
      <c r="U740" s="243"/>
      <c r="V740" s="243"/>
      <c r="W740" s="243"/>
      <c r="X740" s="243"/>
      <c r="Y740" s="243"/>
      <c r="Z740" s="243"/>
      <c r="AA740" s="243"/>
      <c r="AB740" s="243"/>
      <c r="AC740" s="243"/>
      <c r="AD740" s="243"/>
      <c r="AE740" s="243"/>
      <c r="AF740" s="243"/>
      <c r="AG740" s="243"/>
      <c r="AH740" s="243"/>
      <c r="AI740" s="243"/>
      <c r="AJ740" s="243"/>
      <c r="AK740" s="243"/>
      <c r="AL740" s="243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</row>
    <row r="741" ht="16.5" customHeight="1">
      <c r="A741" s="243"/>
      <c r="B741" s="243"/>
      <c r="C741" s="243"/>
      <c r="D741" s="243"/>
      <c r="E741" s="243"/>
      <c r="F741" s="243"/>
      <c r="G741" s="243"/>
      <c r="H741" s="243"/>
      <c r="I741" s="243"/>
      <c r="J741" s="243"/>
      <c r="K741" s="243"/>
      <c r="L741" s="243"/>
      <c r="M741" s="243"/>
      <c r="N741" s="243"/>
      <c r="O741" s="243"/>
      <c r="P741" s="243"/>
      <c r="Q741" s="243"/>
      <c r="R741" s="243"/>
      <c r="S741" s="243"/>
      <c r="T741" s="243"/>
      <c r="U741" s="243"/>
      <c r="V741" s="243"/>
      <c r="W741" s="243"/>
      <c r="X741" s="243"/>
      <c r="Y741" s="243"/>
      <c r="Z741" s="243"/>
      <c r="AA741" s="243"/>
      <c r="AB741" s="243"/>
      <c r="AC741" s="243"/>
      <c r="AD741" s="243"/>
      <c r="AE741" s="243"/>
      <c r="AF741" s="243"/>
      <c r="AG741" s="243"/>
      <c r="AH741" s="243"/>
      <c r="AI741" s="243"/>
      <c r="AJ741" s="243"/>
      <c r="AK741" s="243"/>
      <c r="AL741" s="243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</row>
    <row r="742" ht="16.5" customHeight="1">
      <c r="A742" s="243"/>
      <c r="B742" s="243"/>
      <c r="C742" s="243"/>
      <c r="D742" s="243"/>
      <c r="E742" s="243"/>
      <c r="F742" s="243"/>
      <c r="G742" s="243"/>
      <c r="H742" s="243"/>
      <c r="I742" s="243"/>
      <c r="J742" s="243"/>
      <c r="K742" s="243"/>
      <c r="L742" s="243"/>
      <c r="M742" s="243"/>
      <c r="N742" s="243"/>
      <c r="O742" s="243"/>
      <c r="P742" s="243"/>
      <c r="Q742" s="243"/>
      <c r="R742" s="243"/>
      <c r="S742" s="243"/>
      <c r="T742" s="243"/>
      <c r="U742" s="243"/>
      <c r="V742" s="243"/>
      <c r="W742" s="243"/>
      <c r="X742" s="243"/>
      <c r="Y742" s="243"/>
      <c r="Z742" s="243"/>
      <c r="AA742" s="243"/>
      <c r="AB742" s="243"/>
      <c r="AC742" s="243"/>
      <c r="AD742" s="243"/>
      <c r="AE742" s="243"/>
      <c r="AF742" s="243"/>
      <c r="AG742" s="243"/>
      <c r="AH742" s="243"/>
      <c r="AI742" s="243"/>
      <c r="AJ742" s="243"/>
      <c r="AK742" s="243"/>
      <c r="AL742" s="243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</row>
    <row r="743" ht="16.5" customHeight="1">
      <c r="A743" s="243"/>
      <c r="B743" s="243"/>
      <c r="C743" s="243"/>
      <c r="D743" s="243"/>
      <c r="E743" s="243"/>
      <c r="F743" s="243"/>
      <c r="G743" s="243"/>
      <c r="H743" s="243"/>
      <c r="I743" s="243"/>
      <c r="J743" s="243"/>
      <c r="K743" s="243"/>
      <c r="L743" s="243"/>
      <c r="M743" s="243"/>
      <c r="N743" s="243"/>
      <c r="O743" s="243"/>
      <c r="P743" s="243"/>
      <c r="Q743" s="243"/>
      <c r="R743" s="243"/>
      <c r="S743" s="243"/>
      <c r="T743" s="243"/>
      <c r="U743" s="243"/>
      <c r="V743" s="243"/>
      <c r="W743" s="243"/>
      <c r="X743" s="243"/>
      <c r="Y743" s="243"/>
      <c r="Z743" s="243"/>
      <c r="AA743" s="243"/>
      <c r="AB743" s="243"/>
      <c r="AC743" s="243"/>
      <c r="AD743" s="243"/>
      <c r="AE743" s="243"/>
      <c r="AF743" s="243"/>
      <c r="AG743" s="243"/>
      <c r="AH743" s="243"/>
      <c r="AI743" s="243"/>
      <c r="AJ743" s="243"/>
      <c r="AK743" s="243"/>
      <c r="AL743" s="243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</row>
    <row r="744" ht="16.5" customHeight="1">
      <c r="A744" s="243"/>
      <c r="B744" s="243"/>
      <c r="C744" s="243"/>
      <c r="D744" s="243"/>
      <c r="E744" s="243"/>
      <c r="F744" s="243"/>
      <c r="G744" s="243"/>
      <c r="H744" s="243"/>
      <c r="I744" s="243"/>
      <c r="J744" s="243"/>
      <c r="K744" s="243"/>
      <c r="L744" s="243"/>
      <c r="M744" s="243"/>
      <c r="N744" s="243"/>
      <c r="O744" s="243"/>
      <c r="P744" s="243"/>
      <c r="Q744" s="243"/>
      <c r="R744" s="243"/>
      <c r="S744" s="243"/>
      <c r="T744" s="243"/>
      <c r="U744" s="243"/>
      <c r="V744" s="243"/>
      <c r="W744" s="243"/>
      <c r="X744" s="243"/>
      <c r="Y744" s="243"/>
      <c r="Z744" s="243"/>
      <c r="AA744" s="243"/>
      <c r="AB744" s="243"/>
      <c r="AC744" s="243"/>
      <c r="AD744" s="243"/>
      <c r="AE744" s="243"/>
      <c r="AF744" s="243"/>
      <c r="AG744" s="243"/>
      <c r="AH744" s="243"/>
      <c r="AI744" s="243"/>
      <c r="AJ744" s="243"/>
      <c r="AK744" s="243"/>
      <c r="AL744" s="243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</row>
    <row r="745" ht="16.5" customHeight="1">
      <c r="A745" s="243"/>
      <c r="B745" s="243"/>
      <c r="C745" s="243"/>
      <c r="D745" s="243"/>
      <c r="E745" s="243"/>
      <c r="F745" s="243"/>
      <c r="G745" s="243"/>
      <c r="H745" s="243"/>
      <c r="I745" s="243"/>
      <c r="J745" s="243"/>
      <c r="K745" s="243"/>
      <c r="L745" s="243"/>
      <c r="M745" s="243"/>
      <c r="N745" s="243"/>
      <c r="O745" s="243"/>
      <c r="P745" s="243"/>
      <c r="Q745" s="243"/>
      <c r="R745" s="243"/>
      <c r="S745" s="243"/>
      <c r="T745" s="243"/>
      <c r="U745" s="243"/>
      <c r="V745" s="243"/>
      <c r="W745" s="243"/>
      <c r="X745" s="243"/>
      <c r="Y745" s="243"/>
      <c r="Z745" s="243"/>
      <c r="AA745" s="243"/>
      <c r="AB745" s="243"/>
      <c r="AC745" s="243"/>
      <c r="AD745" s="243"/>
      <c r="AE745" s="243"/>
      <c r="AF745" s="243"/>
      <c r="AG745" s="243"/>
      <c r="AH745" s="243"/>
      <c r="AI745" s="243"/>
      <c r="AJ745" s="243"/>
      <c r="AK745" s="243"/>
      <c r="AL745" s="243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</row>
    <row r="746" ht="16.5" customHeight="1">
      <c r="A746" s="243"/>
      <c r="B746" s="243"/>
      <c r="C746" s="243"/>
      <c r="D746" s="243"/>
      <c r="E746" s="243"/>
      <c r="F746" s="243"/>
      <c r="G746" s="243"/>
      <c r="H746" s="243"/>
      <c r="I746" s="243"/>
      <c r="J746" s="243"/>
      <c r="K746" s="243"/>
      <c r="L746" s="243"/>
      <c r="M746" s="243"/>
      <c r="N746" s="243"/>
      <c r="O746" s="243"/>
      <c r="P746" s="243"/>
      <c r="Q746" s="243"/>
      <c r="R746" s="243"/>
      <c r="S746" s="243"/>
      <c r="T746" s="243"/>
      <c r="U746" s="243"/>
      <c r="V746" s="243"/>
      <c r="W746" s="243"/>
      <c r="X746" s="243"/>
      <c r="Y746" s="243"/>
      <c r="Z746" s="243"/>
      <c r="AA746" s="243"/>
      <c r="AB746" s="243"/>
      <c r="AC746" s="243"/>
      <c r="AD746" s="243"/>
      <c r="AE746" s="243"/>
      <c r="AF746" s="243"/>
      <c r="AG746" s="243"/>
      <c r="AH746" s="243"/>
      <c r="AI746" s="243"/>
      <c r="AJ746" s="243"/>
      <c r="AK746" s="243"/>
      <c r="AL746" s="243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</row>
    <row r="747" ht="16.5" customHeight="1">
      <c r="A747" s="243"/>
      <c r="B747" s="243"/>
      <c r="C747" s="243"/>
      <c r="D747" s="243"/>
      <c r="E747" s="243"/>
      <c r="F747" s="243"/>
      <c r="G747" s="243"/>
      <c r="H747" s="243"/>
      <c r="I747" s="243"/>
      <c r="J747" s="243"/>
      <c r="K747" s="243"/>
      <c r="L747" s="243"/>
      <c r="M747" s="243"/>
      <c r="N747" s="243"/>
      <c r="O747" s="243"/>
      <c r="P747" s="243"/>
      <c r="Q747" s="243"/>
      <c r="R747" s="243"/>
      <c r="S747" s="243"/>
      <c r="T747" s="243"/>
      <c r="U747" s="243"/>
      <c r="V747" s="243"/>
      <c r="W747" s="243"/>
      <c r="X747" s="243"/>
      <c r="Y747" s="243"/>
      <c r="Z747" s="243"/>
      <c r="AA747" s="243"/>
      <c r="AB747" s="243"/>
      <c r="AC747" s="243"/>
      <c r="AD747" s="243"/>
      <c r="AE747" s="243"/>
      <c r="AF747" s="243"/>
      <c r="AG747" s="243"/>
      <c r="AH747" s="243"/>
      <c r="AI747" s="243"/>
      <c r="AJ747" s="243"/>
      <c r="AK747" s="243"/>
      <c r="AL747" s="243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</row>
    <row r="748" ht="16.5" customHeight="1">
      <c r="A748" s="243"/>
      <c r="B748" s="243"/>
      <c r="C748" s="243"/>
      <c r="D748" s="243"/>
      <c r="E748" s="243"/>
      <c r="F748" s="243"/>
      <c r="G748" s="243"/>
      <c r="H748" s="243"/>
      <c r="I748" s="243"/>
      <c r="J748" s="243"/>
      <c r="K748" s="243"/>
      <c r="L748" s="243"/>
      <c r="M748" s="243"/>
      <c r="N748" s="243"/>
      <c r="O748" s="243"/>
      <c r="P748" s="243"/>
      <c r="Q748" s="243"/>
      <c r="R748" s="243"/>
      <c r="S748" s="243"/>
      <c r="T748" s="243"/>
      <c r="U748" s="243"/>
      <c r="V748" s="243"/>
      <c r="W748" s="243"/>
      <c r="X748" s="243"/>
      <c r="Y748" s="243"/>
      <c r="Z748" s="243"/>
      <c r="AA748" s="243"/>
      <c r="AB748" s="243"/>
      <c r="AC748" s="243"/>
      <c r="AD748" s="243"/>
      <c r="AE748" s="243"/>
      <c r="AF748" s="243"/>
      <c r="AG748" s="243"/>
      <c r="AH748" s="243"/>
      <c r="AI748" s="243"/>
      <c r="AJ748" s="243"/>
      <c r="AK748" s="243"/>
      <c r="AL748" s="243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</row>
    <row r="749" ht="16.5" customHeight="1">
      <c r="A749" s="243"/>
      <c r="B749" s="243"/>
      <c r="C749" s="243"/>
      <c r="D749" s="243"/>
      <c r="E749" s="243"/>
      <c r="F749" s="243"/>
      <c r="G749" s="243"/>
      <c r="H749" s="243"/>
      <c r="I749" s="243"/>
      <c r="J749" s="243"/>
      <c r="K749" s="243"/>
      <c r="L749" s="243"/>
      <c r="M749" s="243"/>
      <c r="N749" s="243"/>
      <c r="O749" s="243"/>
      <c r="P749" s="243"/>
      <c r="Q749" s="243"/>
      <c r="R749" s="243"/>
      <c r="S749" s="243"/>
      <c r="T749" s="243"/>
      <c r="U749" s="243"/>
      <c r="V749" s="243"/>
      <c r="W749" s="243"/>
      <c r="X749" s="243"/>
      <c r="Y749" s="243"/>
      <c r="Z749" s="243"/>
      <c r="AA749" s="243"/>
      <c r="AB749" s="243"/>
      <c r="AC749" s="243"/>
      <c r="AD749" s="243"/>
      <c r="AE749" s="243"/>
      <c r="AF749" s="243"/>
      <c r="AG749" s="243"/>
      <c r="AH749" s="243"/>
      <c r="AI749" s="243"/>
      <c r="AJ749" s="243"/>
      <c r="AK749" s="243"/>
      <c r="AL749" s="243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</row>
    <row r="750" ht="16.5" customHeight="1">
      <c r="A750" s="243"/>
      <c r="B750" s="243"/>
      <c r="C750" s="243"/>
      <c r="D750" s="243"/>
      <c r="E750" s="243"/>
      <c r="F750" s="243"/>
      <c r="G750" s="243"/>
      <c r="H750" s="243"/>
      <c r="I750" s="243"/>
      <c r="J750" s="243"/>
      <c r="K750" s="243"/>
      <c r="L750" s="243"/>
      <c r="M750" s="243"/>
      <c r="N750" s="243"/>
      <c r="O750" s="243"/>
      <c r="P750" s="243"/>
      <c r="Q750" s="243"/>
      <c r="R750" s="243"/>
      <c r="S750" s="243"/>
      <c r="T750" s="243"/>
      <c r="U750" s="243"/>
      <c r="V750" s="243"/>
      <c r="W750" s="243"/>
      <c r="X750" s="243"/>
      <c r="Y750" s="243"/>
      <c r="Z750" s="243"/>
      <c r="AA750" s="243"/>
      <c r="AB750" s="243"/>
      <c r="AC750" s="243"/>
      <c r="AD750" s="243"/>
      <c r="AE750" s="243"/>
      <c r="AF750" s="243"/>
      <c r="AG750" s="243"/>
      <c r="AH750" s="243"/>
      <c r="AI750" s="243"/>
      <c r="AJ750" s="243"/>
      <c r="AK750" s="243"/>
      <c r="AL750" s="243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</row>
    <row r="751" ht="16.5" customHeight="1">
      <c r="A751" s="243"/>
      <c r="B751" s="243"/>
      <c r="C751" s="243"/>
      <c r="D751" s="243"/>
      <c r="E751" s="243"/>
      <c r="F751" s="243"/>
      <c r="G751" s="243"/>
      <c r="H751" s="243"/>
      <c r="I751" s="243"/>
      <c r="J751" s="243"/>
      <c r="K751" s="243"/>
      <c r="L751" s="243"/>
      <c r="M751" s="243"/>
      <c r="N751" s="243"/>
      <c r="O751" s="243"/>
      <c r="P751" s="243"/>
      <c r="Q751" s="243"/>
      <c r="R751" s="243"/>
      <c r="S751" s="243"/>
      <c r="T751" s="243"/>
      <c r="U751" s="243"/>
      <c r="V751" s="243"/>
      <c r="W751" s="243"/>
      <c r="X751" s="243"/>
      <c r="Y751" s="243"/>
      <c r="Z751" s="243"/>
      <c r="AA751" s="243"/>
      <c r="AB751" s="243"/>
      <c r="AC751" s="243"/>
      <c r="AD751" s="243"/>
      <c r="AE751" s="243"/>
      <c r="AF751" s="243"/>
      <c r="AG751" s="243"/>
      <c r="AH751" s="243"/>
      <c r="AI751" s="243"/>
      <c r="AJ751" s="243"/>
      <c r="AK751" s="243"/>
      <c r="AL751" s="243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</row>
    <row r="752" ht="16.5" customHeight="1">
      <c r="A752" s="243"/>
      <c r="B752" s="243"/>
      <c r="C752" s="243"/>
      <c r="D752" s="243"/>
      <c r="E752" s="243"/>
      <c r="F752" s="243"/>
      <c r="G752" s="243"/>
      <c r="H752" s="243"/>
      <c r="I752" s="243"/>
      <c r="J752" s="243"/>
      <c r="K752" s="243"/>
      <c r="L752" s="243"/>
      <c r="M752" s="243"/>
      <c r="N752" s="243"/>
      <c r="O752" s="243"/>
      <c r="P752" s="243"/>
      <c r="Q752" s="243"/>
      <c r="R752" s="243"/>
      <c r="S752" s="243"/>
      <c r="T752" s="243"/>
      <c r="U752" s="243"/>
      <c r="V752" s="243"/>
      <c r="W752" s="243"/>
      <c r="X752" s="243"/>
      <c r="Y752" s="243"/>
      <c r="Z752" s="243"/>
      <c r="AA752" s="243"/>
      <c r="AB752" s="243"/>
      <c r="AC752" s="243"/>
      <c r="AD752" s="243"/>
      <c r="AE752" s="243"/>
      <c r="AF752" s="243"/>
      <c r="AG752" s="243"/>
      <c r="AH752" s="243"/>
      <c r="AI752" s="243"/>
      <c r="AJ752" s="243"/>
      <c r="AK752" s="243"/>
      <c r="AL752" s="243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</row>
    <row r="753" ht="16.5" customHeight="1">
      <c r="A753" s="243"/>
      <c r="B753" s="243"/>
      <c r="C753" s="243"/>
      <c r="D753" s="243"/>
      <c r="E753" s="243"/>
      <c r="F753" s="243"/>
      <c r="G753" s="243"/>
      <c r="H753" s="243"/>
      <c r="I753" s="243"/>
      <c r="J753" s="243"/>
      <c r="K753" s="243"/>
      <c r="L753" s="243"/>
      <c r="M753" s="243"/>
      <c r="N753" s="243"/>
      <c r="O753" s="243"/>
      <c r="P753" s="243"/>
      <c r="Q753" s="243"/>
      <c r="R753" s="243"/>
      <c r="S753" s="243"/>
      <c r="T753" s="243"/>
      <c r="U753" s="243"/>
      <c r="V753" s="243"/>
      <c r="W753" s="243"/>
      <c r="X753" s="243"/>
      <c r="Y753" s="243"/>
      <c r="Z753" s="243"/>
      <c r="AA753" s="243"/>
      <c r="AB753" s="243"/>
      <c r="AC753" s="243"/>
      <c r="AD753" s="243"/>
      <c r="AE753" s="243"/>
      <c r="AF753" s="243"/>
      <c r="AG753" s="243"/>
      <c r="AH753" s="243"/>
      <c r="AI753" s="243"/>
      <c r="AJ753" s="243"/>
      <c r="AK753" s="243"/>
      <c r="AL753" s="243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</row>
    <row r="754" ht="16.5" customHeight="1">
      <c r="A754" s="243"/>
      <c r="B754" s="243"/>
      <c r="C754" s="243"/>
      <c r="D754" s="243"/>
      <c r="E754" s="243"/>
      <c r="F754" s="243"/>
      <c r="G754" s="243"/>
      <c r="H754" s="243"/>
      <c r="I754" s="243"/>
      <c r="J754" s="243"/>
      <c r="K754" s="243"/>
      <c r="L754" s="243"/>
      <c r="M754" s="243"/>
      <c r="N754" s="243"/>
      <c r="O754" s="243"/>
      <c r="P754" s="243"/>
      <c r="Q754" s="243"/>
      <c r="R754" s="243"/>
      <c r="S754" s="243"/>
      <c r="T754" s="243"/>
      <c r="U754" s="243"/>
      <c r="V754" s="243"/>
      <c r="W754" s="243"/>
      <c r="X754" s="243"/>
      <c r="Y754" s="243"/>
      <c r="Z754" s="243"/>
      <c r="AA754" s="243"/>
      <c r="AB754" s="243"/>
      <c r="AC754" s="243"/>
      <c r="AD754" s="243"/>
      <c r="AE754" s="243"/>
      <c r="AF754" s="243"/>
      <c r="AG754" s="243"/>
      <c r="AH754" s="243"/>
      <c r="AI754" s="243"/>
      <c r="AJ754" s="243"/>
      <c r="AK754" s="243"/>
      <c r="AL754" s="243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</row>
    <row r="755" ht="16.5" customHeight="1">
      <c r="A755" s="243"/>
      <c r="B755" s="243"/>
      <c r="C755" s="243"/>
      <c r="D755" s="243"/>
      <c r="E755" s="243"/>
      <c r="F755" s="243"/>
      <c r="G755" s="243"/>
      <c r="H755" s="243"/>
      <c r="I755" s="243"/>
      <c r="J755" s="243"/>
      <c r="K755" s="243"/>
      <c r="L755" s="243"/>
      <c r="M755" s="243"/>
      <c r="N755" s="243"/>
      <c r="O755" s="243"/>
      <c r="P755" s="243"/>
      <c r="Q755" s="243"/>
      <c r="R755" s="243"/>
      <c r="S755" s="243"/>
      <c r="T755" s="243"/>
      <c r="U755" s="243"/>
      <c r="V755" s="243"/>
      <c r="W755" s="243"/>
      <c r="X755" s="243"/>
      <c r="Y755" s="243"/>
      <c r="Z755" s="243"/>
      <c r="AA755" s="243"/>
      <c r="AB755" s="243"/>
      <c r="AC755" s="243"/>
      <c r="AD755" s="243"/>
      <c r="AE755" s="243"/>
      <c r="AF755" s="243"/>
      <c r="AG755" s="243"/>
      <c r="AH755" s="243"/>
      <c r="AI755" s="243"/>
      <c r="AJ755" s="243"/>
      <c r="AK755" s="243"/>
      <c r="AL755" s="243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</row>
    <row r="756" ht="16.5" customHeight="1">
      <c r="A756" s="243"/>
      <c r="B756" s="243"/>
      <c r="C756" s="243"/>
      <c r="D756" s="243"/>
      <c r="E756" s="243"/>
      <c r="F756" s="243"/>
      <c r="G756" s="243"/>
      <c r="H756" s="243"/>
      <c r="I756" s="243"/>
      <c r="J756" s="243"/>
      <c r="K756" s="243"/>
      <c r="L756" s="243"/>
      <c r="M756" s="243"/>
      <c r="N756" s="243"/>
      <c r="O756" s="243"/>
      <c r="P756" s="243"/>
      <c r="Q756" s="243"/>
      <c r="R756" s="243"/>
      <c r="S756" s="243"/>
      <c r="T756" s="243"/>
      <c r="U756" s="243"/>
      <c r="V756" s="243"/>
      <c r="W756" s="243"/>
      <c r="X756" s="243"/>
      <c r="Y756" s="243"/>
      <c r="Z756" s="243"/>
      <c r="AA756" s="243"/>
      <c r="AB756" s="243"/>
      <c r="AC756" s="243"/>
      <c r="AD756" s="243"/>
      <c r="AE756" s="243"/>
      <c r="AF756" s="243"/>
      <c r="AG756" s="243"/>
      <c r="AH756" s="243"/>
      <c r="AI756" s="243"/>
      <c r="AJ756" s="243"/>
      <c r="AK756" s="243"/>
      <c r="AL756" s="243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</row>
    <row r="757" ht="16.5" customHeight="1">
      <c r="A757" s="243"/>
      <c r="B757" s="243"/>
      <c r="C757" s="243"/>
      <c r="D757" s="243"/>
      <c r="E757" s="243"/>
      <c r="F757" s="243"/>
      <c r="G757" s="243"/>
      <c r="H757" s="243"/>
      <c r="I757" s="243"/>
      <c r="J757" s="243"/>
      <c r="K757" s="243"/>
      <c r="L757" s="243"/>
      <c r="M757" s="243"/>
      <c r="N757" s="243"/>
      <c r="O757" s="243"/>
      <c r="P757" s="243"/>
      <c r="Q757" s="243"/>
      <c r="R757" s="243"/>
      <c r="S757" s="243"/>
      <c r="T757" s="243"/>
      <c r="U757" s="243"/>
      <c r="V757" s="243"/>
      <c r="W757" s="243"/>
      <c r="X757" s="243"/>
      <c r="Y757" s="243"/>
      <c r="Z757" s="243"/>
      <c r="AA757" s="243"/>
      <c r="AB757" s="243"/>
      <c r="AC757" s="243"/>
      <c r="AD757" s="243"/>
      <c r="AE757" s="243"/>
      <c r="AF757" s="243"/>
      <c r="AG757" s="243"/>
      <c r="AH757" s="243"/>
      <c r="AI757" s="243"/>
      <c r="AJ757" s="243"/>
      <c r="AK757" s="243"/>
      <c r="AL757" s="243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</row>
    <row r="758" ht="16.5" customHeight="1">
      <c r="A758" s="243"/>
      <c r="B758" s="243"/>
      <c r="C758" s="243"/>
      <c r="D758" s="243"/>
      <c r="E758" s="243"/>
      <c r="F758" s="243"/>
      <c r="G758" s="243"/>
      <c r="H758" s="243"/>
      <c r="I758" s="243"/>
      <c r="J758" s="243"/>
      <c r="K758" s="243"/>
      <c r="L758" s="243"/>
      <c r="M758" s="243"/>
      <c r="N758" s="243"/>
      <c r="O758" s="243"/>
      <c r="P758" s="243"/>
      <c r="Q758" s="243"/>
      <c r="R758" s="243"/>
      <c r="S758" s="243"/>
      <c r="T758" s="243"/>
      <c r="U758" s="243"/>
      <c r="V758" s="243"/>
      <c r="W758" s="243"/>
      <c r="X758" s="243"/>
      <c r="Y758" s="243"/>
      <c r="Z758" s="243"/>
      <c r="AA758" s="243"/>
      <c r="AB758" s="243"/>
      <c r="AC758" s="243"/>
      <c r="AD758" s="243"/>
      <c r="AE758" s="243"/>
      <c r="AF758" s="243"/>
      <c r="AG758" s="243"/>
      <c r="AH758" s="243"/>
      <c r="AI758" s="243"/>
      <c r="AJ758" s="243"/>
      <c r="AK758" s="243"/>
      <c r="AL758" s="243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</row>
    <row r="759" ht="16.5" customHeight="1">
      <c r="A759" s="243"/>
      <c r="B759" s="243"/>
      <c r="C759" s="243"/>
      <c r="D759" s="243"/>
      <c r="E759" s="243"/>
      <c r="F759" s="243"/>
      <c r="G759" s="243"/>
      <c r="H759" s="243"/>
      <c r="I759" s="243"/>
      <c r="J759" s="243"/>
      <c r="K759" s="243"/>
      <c r="L759" s="243"/>
      <c r="M759" s="243"/>
      <c r="N759" s="243"/>
      <c r="O759" s="243"/>
      <c r="P759" s="243"/>
      <c r="Q759" s="243"/>
      <c r="R759" s="243"/>
      <c r="S759" s="243"/>
      <c r="T759" s="243"/>
      <c r="U759" s="243"/>
      <c r="V759" s="243"/>
      <c r="W759" s="243"/>
      <c r="X759" s="243"/>
      <c r="Y759" s="243"/>
      <c r="Z759" s="243"/>
      <c r="AA759" s="243"/>
      <c r="AB759" s="243"/>
      <c r="AC759" s="243"/>
      <c r="AD759" s="243"/>
      <c r="AE759" s="243"/>
      <c r="AF759" s="243"/>
      <c r="AG759" s="243"/>
      <c r="AH759" s="243"/>
      <c r="AI759" s="243"/>
      <c r="AJ759" s="243"/>
      <c r="AK759" s="243"/>
      <c r="AL759" s="243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</row>
    <row r="760" ht="16.5" customHeight="1">
      <c r="A760" s="243"/>
      <c r="B760" s="243"/>
      <c r="C760" s="243"/>
      <c r="D760" s="243"/>
      <c r="E760" s="243"/>
      <c r="F760" s="243"/>
      <c r="G760" s="243"/>
      <c r="H760" s="243"/>
      <c r="I760" s="243"/>
      <c r="J760" s="243"/>
      <c r="K760" s="243"/>
      <c r="L760" s="243"/>
      <c r="M760" s="243"/>
      <c r="N760" s="243"/>
      <c r="O760" s="243"/>
      <c r="P760" s="243"/>
      <c r="Q760" s="243"/>
      <c r="R760" s="243"/>
      <c r="S760" s="243"/>
      <c r="T760" s="243"/>
      <c r="U760" s="243"/>
      <c r="V760" s="243"/>
      <c r="W760" s="243"/>
      <c r="X760" s="243"/>
      <c r="Y760" s="243"/>
      <c r="Z760" s="243"/>
      <c r="AA760" s="243"/>
      <c r="AB760" s="243"/>
      <c r="AC760" s="243"/>
      <c r="AD760" s="243"/>
      <c r="AE760" s="243"/>
      <c r="AF760" s="243"/>
      <c r="AG760" s="243"/>
      <c r="AH760" s="243"/>
      <c r="AI760" s="243"/>
      <c r="AJ760" s="243"/>
      <c r="AK760" s="243"/>
      <c r="AL760" s="243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</row>
    <row r="761" ht="16.5" customHeight="1">
      <c r="A761" s="243"/>
      <c r="B761" s="243"/>
      <c r="C761" s="243"/>
      <c r="D761" s="243"/>
      <c r="E761" s="243"/>
      <c r="F761" s="243"/>
      <c r="G761" s="243"/>
      <c r="H761" s="243"/>
      <c r="I761" s="243"/>
      <c r="J761" s="243"/>
      <c r="K761" s="243"/>
      <c r="L761" s="243"/>
      <c r="M761" s="243"/>
      <c r="N761" s="243"/>
      <c r="O761" s="243"/>
      <c r="P761" s="243"/>
      <c r="Q761" s="243"/>
      <c r="R761" s="243"/>
      <c r="S761" s="243"/>
      <c r="T761" s="243"/>
      <c r="U761" s="243"/>
      <c r="V761" s="243"/>
      <c r="W761" s="243"/>
      <c r="X761" s="243"/>
      <c r="Y761" s="243"/>
      <c r="Z761" s="243"/>
      <c r="AA761" s="243"/>
      <c r="AB761" s="243"/>
      <c r="AC761" s="243"/>
      <c r="AD761" s="243"/>
      <c r="AE761" s="243"/>
      <c r="AF761" s="243"/>
      <c r="AG761" s="243"/>
      <c r="AH761" s="243"/>
      <c r="AI761" s="243"/>
      <c r="AJ761" s="243"/>
      <c r="AK761" s="243"/>
      <c r="AL761" s="243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</row>
    <row r="762" ht="16.5" customHeight="1">
      <c r="A762" s="243"/>
      <c r="B762" s="243"/>
      <c r="C762" s="243"/>
      <c r="D762" s="243"/>
      <c r="E762" s="243"/>
      <c r="F762" s="243"/>
      <c r="G762" s="243"/>
      <c r="H762" s="243"/>
      <c r="I762" s="243"/>
      <c r="J762" s="243"/>
      <c r="K762" s="243"/>
      <c r="L762" s="243"/>
      <c r="M762" s="243"/>
      <c r="N762" s="243"/>
      <c r="O762" s="243"/>
      <c r="P762" s="243"/>
      <c r="Q762" s="243"/>
      <c r="R762" s="243"/>
      <c r="S762" s="243"/>
      <c r="T762" s="243"/>
      <c r="U762" s="243"/>
      <c r="V762" s="243"/>
      <c r="W762" s="243"/>
      <c r="X762" s="243"/>
      <c r="Y762" s="243"/>
      <c r="Z762" s="243"/>
      <c r="AA762" s="243"/>
      <c r="AB762" s="243"/>
      <c r="AC762" s="243"/>
      <c r="AD762" s="243"/>
      <c r="AE762" s="243"/>
      <c r="AF762" s="243"/>
      <c r="AG762" s="243"/>
      <c r="AH762" s="243"/>
      <c r="AI762" s="243"/>
      <c r="AJ762" s="243"/>
      <c r="AK762" s="243"/>
      <c r="AL762" s="243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</row>
    <row r="763" ht="16.5" customHeight="1">
      <c r="A763" s="243"/>
      <c r="B763" s="243"/>
      <c r="C763" s="243"/>
      <c r="D763" s="243"/>
      <c r="E763" s="243"/>
      <c r="F763" s="243"/>
      <c r="G763" s="243"/>
      <c r="H763" s="243"/>
      <c r="I763" s="243"/>
      <c r="J763" s="243"/>
      <c r="K763" s="243"/>
      <c r="L763" s="243"/>
      <c r="M763" s="243"/>
      <c r="N763" s="243"/>
      <c r="O763" s="243"/>
      <c r="P763" s="243"/>
      <c r="Q763" s="243"/>
      <c r="R763" s="243"/>
      <c r="S763" s="243"/>
      <c r="T763" s="243"/>
      <c r="U763" s="243"/>
      <c r="V763" s="243"/>
      <c r="W763" s="243"/>
      <c r="X763" s="243"/>
      <c r="Y763" s="243"/>
      <c r="Z763" s="243"/>
      <c r="AA763" s="243"/>
      <c r="AB763" s="243"/>
      <c r="AC763" s="243"/>
      <c r="AD763" s="243"/>
      <c r="AE763" s="243"/>
      <c r="AF763" s="243"/>
      <c r="AG763" s="243"/>
      <c r="AH763" s="243"/>
      <c r="AI763" s="243"/>
      <c r="AJ763" s="243"/>
      <c r="AK763" s="243"/>
      <c r="AL763" s="243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</row>
    <row r="764" ht="16.5" customHeight="1">
      <c r="A764" s="243"/>
      <c r="B764" s="243"/>
      <c r="C764" s="243"/>
      <c r="D764" s="243"/>
      <c r="E764" s="243"/>
      <c r="F764" s="243"/>
      <c r="G764" s="243"/>
      <c r="H764" s="243"/>
      <c r="I764" s="243"/>
      <c r="J764" s="243"/>
      <c r="K764" s="243"/>
      <c r="L764" s="243"/>
      <c r="M764" s="243"/>
      <c r="N764" s="243"/>
      <c r="O764" s="243"/>
      <c r="P764" s="243"/>
      <c r="Q764" s="243"/>
      <c r="R764" s="243"/>
      <c r="S764" s="243"/>
      <c r="T764" s="243"/>
      <c r="U764" s="243"/>
      <c r="V764" s="243"/>
      <c r="W764" s="243"/>
      <c r="X764" s="243"/>
      <c r="Y764" s="243"/>
      <c r="Z764" s="243"/>
      <c r="AA764" s="243"/>
      <c r="AB764" s="243"/>
      <c r="AC764" s="243"/>
      <c r="AD764" s="243"/>
      <c r="AE764" s="243"/>
      <c r="AF764" s="243"/>
      <c r="AG764" s="243"/>
      <c r="AH764" s="243"/>
      <c r="AI764" s="243"/>
      <c r="AJ764" s="243"/>
      <c r="AK764" s="243"/>
      <c r="AL764" s="243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</row>
    <row r="765" ht="16.5" customHeight="1">
      <c r="A765" s="243"/>
      <c r="B765" s="243"/>
      <c r="C765" s="243"/>
      <c r="D765" s="243"/>
      <c r="E765" s="243"/>
      <c r="F765" s="243"/>
      <c r="G765" s="243"/>
      <c r="H765" s="243"/>
      <c r="I765" s="243"/>
      <c r="J765" s="243"/>
      <c r="K765" s="243"/>
      <c r="L765" s="243"/>
      <c r="M765" s="243"/>
      <c r="N765" s="243"/>
      <c r="O765" s="243"/>
      <c r="P765" s="243"/>
      <c r="Q765" s="243"/>
      <c r="R765" s="243"/>
      <c r="S765" s="243"/>
      <c r="T765" s="243"/>
      <c r="U765" s="243"/>
      <c r="V765" s="243"/>
      <c r="W765" s="243"/>
      <c r="X765" s="243"/>
      <c r="Y765" s="243"/>
      <c r="Z765" s="243"/>
      <c r="AA765" s="243"/>
      <c r="AB765" s="243"/>
      <c r="AC765" s="243"/>
      <c r="AD765" s="243"/>
      <c r="AE765" s="243"/>
      <c r="AF765" s="243"/>
      <c r="AG765" s="243"/>
      <c r="AH765" s="243"/>
      <c r="AI765" s="243"/>
      <c r="AJ765" s="243"/>
      <c r="AK765" s="243"/>
      <c r="AL765" s="243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</row>
    <row r="766" ht="16.5" customHeight="1">
      <c r="A766" s="243"/>
      <c r="B766" s="243"/>
      <c r="C766" s="243"/>
      <c r="D766" s="243"/>
      <c r="E766" s="243"/>
      <c r="F766" s="243"/>
      <c r="G766" s="243"/>
      <c r="H766" s="243"/>
      <c r="I766" s="243"/>
      <c r="J766" s="243"/>
      <c r="K766" s="243"/>
      <c r="L766" s="243"/>
      <c r="M766" s="243"/>
      <c r="N766" s="243"/>
      <c r="O766" s="243"/>
      <c r="P766" s="243"/>
      <c r="Q766" s="243"/>
      <c r="R766" s="243"/>
      <c r="S766" s="243"/>
      <c r="T766" s="243"/>
      <c r="U766" s="243"/>
      <c r="V766" s="243"/>
      <c r="W766" s="243"/>
      <c r="X766" s="243"/>
      <c r="Y766" s="243"/>
      <c r="Z766" s="243"/>
      <c r="AA766" s="243"/>
      <c r="AB766" s="243"/>
      <c r="AC766" s="243"/>
      <c r="AD766" s="243"/>
      <c r="AE766" s="243"/>
      <c r="AF766" s="243"/>
      <c r="AG766" s="243"/>
      <c r="AH766" s="243"/>
      <c r="AI766" s="243"/>
      <c r="AJ766" s="243"/>
      <c r="AK766" s="243"/>
      <c r="AL766" s="243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</row>
    <row r="767" ht="16.5" customHeight="1">
      <c r="A767" s="243"/>
      <c r="B767" s="243"/>
      <c r="C767" s="243"/>
      <c r="D767" s="243"/>
      <c r="E767" s="243"/>
      <c r="F767" s="243"/>
      <c r="G767" s="243"/>
      <c r="H767" s="243"/>
      <c r="I767" s="243"/>
      <c r="J767" s="243"/>
      <c r="K767" s="243"/>
      <c r="L767" s="243"/>
      <c r="M767" s="243"/>
      <c r="N767" s="243"/>
      <c r="O767" s="243"/>
      <c r="P767" s="243"/>
      <c r="Q767" s="243"/>
      <c r="R767" s="243"/>
      <c r="S767" s="243"/>
      <c r="T767" s="243"/>
      <c r="U767" s="243"/>
      <c r="V767" s="243"/>
      <c r="W767" s="243"/>
      <c r="X767" s="243"/>
      <c r="Y767" s="243"/>
      <c r="Z767" s="243"/>
      <c r="AA767" s="243"/>
      <c r="AB767" s="243"/>
      <c r="AC767" s="243"/>
      <c r="AD767" s="243"/>
      <c r="AE767" s="243"/>
      <c r="AF767" s="243"/>
      <c r="AG767" s="243"/>
      <c r="AH767" s="243"/>
      <c r="AI767" s="243"/>
      <c r="AJ767" s="243"/>
      <c r="AK767" s="243"/>
      <c r="AL767" s="243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</row>
    <row r="768" ht="16.5" customHeight="1">
      <c r="A768" s="243"/>
      <c r="B768" s="243"/>
      <c r="C768" s="243"/>
      <c r="D768" s="243"/>
      <c r="E768" s="243"/>
      <c r="F768" s="243"/>
      <c r="G768" s="243"/>
      <c r="H768" s="243"/>
      <c r="I768" s="243"/>
      <c r="J768" s="243"/>
      <c r="K768" s="243"/>
      <c r="L768" s="243"/>
      <c r="M768" s="243"/>
      <c r="N768" s="243"/>
      <c r="O768" s="243"/>
      <c r="P768" s="243"/>
      <c r="Q768" s="243"/>
      <c r="R768" s="243"/>
      <c r="S768" s="243"/>
      <c r="T768" s="243"/>
      <c r="U768" s="243"/>
      <c r="V768" s="243"/>
      <c r="W768" s="243"/>
      <c r="X768" s="243"/>
      <c r="Y768" s="243"/>
      <c r="Z768" s="243"/>
      <c r="AA768" s="243"/>
      <c r="AB768" s="243"/>
      <c r="AC768" s="243"/>
      <c r="AD768" s="243"/>
      <c r="AE768" s="243"/>
      <c r="AF768" s="243"/>
      <c r="AG768" s="243"/>
      <c r="AH768" s="243"/>
      <c r="AI768" s="243"/>
      <c r="AJ768" s="243"/>
      <c r="AK768" s="243"/>
      <c r="AL768" s="243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</row>
    <row r="769" ht="16.5" customHeight="1">
      <c r="A769" s="243"/>
      <c r="B769" s="243"/>
      <c r="C769" s="243"/>
      <c r="D769" s="243"/>
      <c r="E769" s="243"/>
      <c r="F769" s="243"/>
      <c r="G769" s="243"/>
      <c r="H769" s="243"/>
      <c r="I769" s="243"/>
      <c r="J769" s="243"/>
      <c r="K769" s="243"/>
      <c r="L769" s="243"/>
      <c r="M769" s="243"/>
      <c r="N769" s="243"/>
      <c r="O769" s="243"/>
      <c r="P769" s="243"/>
      <c r="Q769" s="243"/>
      <c r="R769" s="243"/>
      <c r="S769" s="243"/>
      <c r="T769" s="243"/>
      <c r="U769" s="243"/>
      <c r="V769" s="243"/>
      <c r="W769" s="243"/>
      <c r="X769" s="243"/>
      <c r="Y769" s="243"/>
      <c r="Z769" s="243"/>
      <c r="AA769" s="243"/>
      <c r="AB769" s="243"/>
      <c r="AC769" s="243"/>
      <c r="AD769" s="243"/>
      <c r="AE769" s="243"/>
      <c r="AF769" s="243"/>
      <c r="AG769" s="243"/>
      <c r="AH769" s="243"/>
      <c r="AI769" s="243"/>
      <c r="AJ769" s="243"/>
      <c r="AK769" s="243"/>
      <c r="AL769" s="243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</row>
    <row r="770" ht="16.5" customHeight="1">
      <c r="A770" s="243"/>
      <c r="B770" s="243"/>
      <c r="C770" s="243"/>
      <c r="D770" s="243"/>
      <c r="E770" s="243"/>
      <c r="F770" s="243"/>
      <c r="G770" s="243"/>
      <c r="H770" s="243"/>
      <c r="I770" s="243"/>
      <c r="J770" s="243"/>
      <c r="K770" s="243"/>
      <c r="L770" s="243"/>
      <c r="M770" s="243"/>
      <c r="N770" s="243"/>
      <c r="O770" s="243"/>
      <c r="P770" s="243"/>
      <c r="Q770" s="243"/>
      <c r="R770" s="243"/>
      <c r="S770" s="243"/>
      <c r="T770" s="243"/>
      <c r="U770" s="243"/>
      <c r="V770" s="243"/>
      <c r="W770" s="243"/>
      <c r="X770" s="243"/>
      <c r="Y770" s="243"/>
      <c r="Z770" s="243"/>
      <c r="AA770" s="243"/>
      <c r="AB770" s="243"/>
      <c r="AC770" s="243"/>
      <c r="AD770" s="243"/>
      <c r="AE770" s="243"/>
      <c r="AF770" s="243"/>
      <c r="AG770" s="243"/>
      <c r="AH770" s="243"/>
      <c r="AI770" s="243"/>
      <c r="AJ770" s="243"/>
      <c r="AK770" s="243"/>
      <c r="AL770" s="243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</row>
    <row r="771" ht="16.5" customHeight="1">
      <c r="A771" s="243"/>
      <c r="B771" s="243"/>
      <c r="C771" s="243"/>
      <c r="D771" s="243"/>
      <c r="E771" s="243"/>
      <c r="F771" s="243"/>
      <c r="G771" s="243"/>
      <c r="H771" s="243"/>
      <c r="I771" s="243"/>
      <c r="J771" s="243"/>
      <c r="K771" s="243"/>
      <c r="L771" s="243"/>
      <c r="M771" s="243"/>
      <c r="N771" s="243"/>
      <c r="O771" s="243"/>
      <c r="P771" s="243"/>
      <c r="Q771" s="243"/>
      <c r="R771" s="243"/>
      <c r="S771" s="243"/>
      <c r="T771" s="243"/>
      <c r="U771" s="243"/>
      <c r="V771" s="243"/>
      <c r="W771" s="243"/>
      <c r="X771" s="243"/>
      <c r="Y771" s="243"/>
      <c r="Z771" s="243"/>
      <c r="AA771" s="243"/>
      <c r="AB771" s="243"/>
      <c r="AC771" s="243"/>
      <c r="AD771" s="243"/>
      <c r="AE771" s="243"/>
      <c r="AF771" s="243"/>
      <c r="AG771" s="243"/>
      <c r="AH771" s="243"/>
      <c r="AI771" s="243"/>
      <c r="AJ771" s="243"/>
      <c r="AK771" s="243"/>
      <c r="AL771" s="243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</row>
    <row r="772" ht="16.5" customHeight="1">
      <c r="A772" s="243"/>
      <c r="B772" s="243"/>
      <c r="C772" s="243"/>
      <c r="D772" s="243"/>
      <c r="E772" s="243"/>
      <c r="F772" s="243"/>
      <c r="G772" s="243"/>
      <c r="H772" s="243"/>
      <c r="I772" s="243"/>
      <c r="J772" s="243"/>
      <c r="K772" s="243"/>
      <c r="L772" s="243"/>
      <c r="M772" s="243"/>
      <c r="N772" s="243"/>
      <c r="O772" s="243"/>
      <c r="P772" s="243"/>
      <c r="Q772" s="243"/>
      <c r="R772" s="243"/>
      <c r="S772" s="243"/>
      <c r="T772" s="243"/>
      <c r="U772" s="243"/>
      <c r="V772" s="243"/>
      <c r="W772" s="243"/>
      <c r="X772" s="243"/>
      <c r="Y772" s="243"/>
      <c r="Z772" s="243"/>
      <c r="AA772" s="243"/>
      <c r="AB772" s="243"/>
      <c r="AC772" s="243"/>
      <c r="AD772" s="243"/>
      <c r="AE772" s="243"/>
      <c r="AF772" s="243"/>
      <c r="AG772" s="243"/>
      <c r="AH772" s="243"/>
      <c r="AI772" s="243"/>
      <c r="AJ772" s="243"/>
      <c r="AK772" s="243"/>
      <c r="AL772" s="243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</row>
    <row r="773" ht="16.5" customHeight="1">
      <c r="A773" s="243"/>
      <c r="B773" s="243"/>
      <c r="C773" s="243"/>
      <c r="D773" s="243"/>
      <c r="E773" s="243"/>
      <c r="F773" s="243"/>
      <c r="G773" s="243"/>
      <c r="H773" s="243"/>
      <c r="I773" s="243"/>
      <c r="J773" s="243"/>
      <c r="K773" s="243"/>
      <c r="L773" s="243"/>
      <c r="M773" s="243"/>
      <c r="N773" s="243"/>
      <c r="O773" s="243"/>
      <c r="P773" s="243"/>
      <c r="Q773" s="243"/>
      <c r="R773" s="243"/>
      <c r="S773" s="243"/>
      <c r="T773" s="243"/>
      <c r="U773" s="243"/>
      <c r="V773" s="243"/>
      <c r="W773" s="243"/>
      <c r="X773" s="243"/>
      <c r="Y773" s="243"/>
      <c r="Z773" s="243"/>
      <c r="AA773" s="243"/>
      <c r="AB773" s="243"/>
      <c r="AC773" s="243"/>
      <c r="AD773" s="243"/>
      <c r="AE773" s="243"/>
      <c r="AF773" s="243"/>
      <c r="AG773" s="243"/>
      <c r="AH773" s="243"/>
      <c r="AI773" s="243"/>
      <c r="AJ773" s="243"/>
      <c r="AK773" s="243"/>
      <c r="AL773" s="243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</row>
    <row r="774" ht="16.5" customHeight="1">
      <c r="A774" s="243"/>
      <c r="B774" s="243"/>
      <c r="C774" s="243"/>
      <c r="D774" s="243"/>
      <c r="E774" s="243"/>
      <c r="F774" s="243"/>
      <c r="G774" s="243"/>
      <c r="H774" s="243"/>
      <c r="I774" s="243"/>
      <c r="J774" s="243"/>
      <c r="K774" s="243"/>
      <c r="L774" s="243"/>
      <c r="M774" s="243"/>
      <c r="N774" s="243"/>
      <c r="O774" s="243"/>
      <c r="P774" s="243"/>
      <c r="Q774" s="243"/>
      <c r="R774" s="243"/>
      <c r="S774" s="243"/>
      <c r="T774" s="243"/>
      <c r="U774" s="243"/>
      <c r="V774" s="243"/>
      <c r="W774" s="243"/>
      <c r="X774" s="243"/>
      <c r="Y774" s="243"/>
      <c r="Z774" s="243"/>
      <c r="AA774" s="243"/>
      <c r="AB774" s="243"/>
      <c r="AC774" s="243"/>
      <c r="AD774" s="243"/>
      <c r="AE774" s="243"/>
      <c r="AF774" s="243"/>
      <c r="AG774" s="243"/>
      <c r="AH774" s="243"/>
      <c r="AI774" s="243"/>
      <c r="AJ774" s="243"/>
      <c r="AK774" s="243"/>
      <c r="AL774" s="243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</row>
    <row r="775" ht="16.5" customHeight="1">
      <c r="A775" s="243"/>
      <c r="B775" s="243"/>
      <c r="C775" s="243"/>
      <c r="D775" s="243"/>
      <c r="E775" s="243"/>
      <c r="F775" s="243"/>
      <c r="G775" s="243"/>
      <c r="H775" s="243"/>
      <c r="I775" s="243"/>
      <c r="J775" s="243"/>
      <c r="K775" s="243"/>
      <c r="L775" s="243"/>
      <c r="M775" s="243"/>
      <c r="N775" s="243"/>
      <c r="O775" s="243"/>
      <c r="P775" s="243"/>
      <c r="Q775" s="243"/>
      <c r="R775" s="243"/>
      <c r="S775" s="243"/>
      <c r="T775" s="243"/>
      <c r="U775" s="243"/>
      <c r="V775" s="243"/>
      <c r="W775" s="243"/>
      <c r="X775" s="243"/>
      <c r="Y775" s="243"/>
      <c r="Z775" s="243"/>
      <c r="AA775" s="243"/>
      <c r="AB775" s="243"/>
      <c r="AC775" s="243"/>
      <c r="AD775" s="243"/>
      <c r="AE775" s="243"/>
      <c r="AF775" s="243"/>
      <c r="AG775" s="243"/>
      <c r="AH775" s="243"/>
      <c r="AI775" s="243"/>
      <c r="AJ775" s="243"/>
      <c r="AK775" s="243"/>
      <c r="AL775" s="243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</row>
    <row r="776" ht="16.5" customHeight="1">
      <c r="A776" s="243"/>
      <c r="B776" s="243"/>
      <c r="C776" s="243"/>
      <c r="D776" s="243"/>
      <c r="E776" s="243"/>
      <c r="F776" s="243"/>
      <c r="G776" s="243"/>
      <c r="H776" s="243"/>
      <c r="I776" s="243"/>
      <c r="J776" s="243"/>
      <c r="K776" s="243"/>
      <c r="L776" s="243"/>
      <c r="M776" s="243"/>
      <c r="N776" s="243"/>
      <c r="O776" s="243"/>
      <c r="P776" s="243"/>
      <c r="Q776" s="243"/>
      <c r="R776" s="243"/>
      <c r="S776" s="243"/>
      <c r="T776" s="243"/>
      <c r="U776" s="243"/>
      <c r="V776" s="243"/>
      <c r="W776" s="243"/>
      <c r="X776" s="243"/>
      <c r="Y776" s="243"/>
      <c r="Z776" s="243"/>
      <c r="AA776" s="243"/>
      <c r="AB776" s="243"/>
      <c r="AC776" s="243"/>
      <c r="AD776" s="243"/>
      <c r="AE776" s="243"/>
      <c r="AF776" s="243"/>
      <c r="AG776" s="243"/>
      <c r="AH776" s="243"/>
      <c r="AI776" s="243"/>
      <c r="AJ776" s="243"/>
      <c r="AK776" s="243"/>
      <c r="AL776" s="243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</row>
    <row r="777" ht="16.5" customHeight="1">
      <c r="A777" s="243"/>
      <c r="B777" s="243"/>
      <c r="C777" s="243"/>
      <c r="D777" s="243"/>
      <c r="E777" s="243"/>
      <c r="F777" s="243"/>
      <c r="G777" s="243"/>
      <c r="H777" s="243"/>
      <c r="I777" s="243"/>
      <c r="J777" s="243"/>
      <c r="K777" s="243"/>
      <c r="L777" s="243"/>
      <c r="M777" s="243"/>
      <c r="N777" s="243"/>
      <c r="O777" s="243"/>
      <c r="P777" s="243"/>
      <c r="Q777" s="243"/>
      <c r="R777" s="243"/>
      <c r="S777" s="243"/>
      <c r="T777" s="243"/>
      <c r="U777" s="243"/>
      <c r="V777" s="243"/>
      <c r="W777" s="243"/>
      <c r="X777" s="243"/>
      <c r="Y777" s="243"/>
      <c r="Z777" s="243"/>
      <c r="AA777" s="243"/>
      <c r="AB777" s="243"/>
      <c r="AC777" s="243"/>
      <c r="AD777" s="243"/>
      <c r="AE777" s="243"/>
      <c r="AF777" s="243"/>
      <c r="AG777" s="243"/>
      <c r="AH777" s="243"/>
      <c r="AI777" s="243"/>
      <c r="AJ777" s="243"/>
      <c r="AK777" s="243"/>
      <c r="AL777" s="243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</row>
    <row r="778" ht="16.5" customHeight="1">
      <c r="A778" s="243"/>
      <c r="B778" s="243"/>
      <c r="C778" s="243"/>
      <c r="D778" s="243"/>
      <c r="E778" s="243"/>
      <c r="F778" s="243"/>
      <c r="G778" s="243"/>
      <c r="H778" s="243"/>
      <c r="I778" s="243"/>
      <c r="J778" s="243"/>
      <c r="K778" s="243"/>
      <c r="L778" s="243"/>
      <c r="M778" s="243"/>
      <c r="N778" s="243"/>
      <c r="O778" s="243"/>
      <c r="P778" s="243"/>
      <c r="Q778" s="243"/>
      <c r="R778" s="243"/>
      <c r="S778" s="243"/>
      <c r="T778" s="243"/>
      <c r="U778" s="243"/>
      <c r="V778" s="243"/>
      <c r="W778" s="243"/>
      <c r="X778" s="243"/>
      <c r="Y778" s="243"/>
      <c r="Z778" s="243"/>
      <c r="AA778" s="243"/>
      <c r="AB778" s="243"/>
      <c r="AC778" s="243"/>
      <c r="AD778" s="243"/>
      <c r="AE778" s="243"/>
      <c r="AF778" s="243"/>
      <c r="AG778" s="243"/>
      <c r="AH778" s="243"/>
      <c r="AI778" s="243"/>
      <c r="AJ778" s="243"/>
      <c r="AK778" s="243"/>
      <c r="AL778" s="243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</row>
    <row r="779" ht="16.5" customHeight="1">
      <c r="A779" s="243"/>
      <c r="B779" s="243"/>
      <c r="C779" s="243"/>
      <c r="D779" s="243"/>
      <c r="E779" s="243"/>
      <c r="F779" s="243"/>
      <c r="G779" s="243"/>
      <c r="H779" s="243"/>
      <c r="I779" s="243"/>
      <c r="J779" s="243"/>
      <c r="K779" s="243"/>
      <c r="L779" s="243"/>
      <c r="M779" s="243"/>
      <c r="N779" s="243"/>
      <c r="O779" s="243"/>
      <c r="P779" s="243"/>
      <c r="Q779" s="243"/>
      <c r="R779" s="243"/>
      <c r="S779" s="243"/>
      <c r="T779" s="243"/>
      <c r="U779" s="243"/>
      <c r="V779" s="243"/>
      <c r="W779" s="243"/>
      <c r="X779" s="243"/>
      <c r="Y779" s="243"/>
      <c r="Z779" s="243"/>
      <c r="AA779" s="243"/>
      <c r="AB779" s="243"/>
      <c r="AC779" s="243"/>
      <c r="AD779" s="243"/>
      <c r="AE779" s="243"/>
      <c r="AF779" s="243"/>
      <c r="AG779" s="243"/>
      <c r="AH779" s="243"/>
      <c r="AI779" s="243"/>
      <c r="AJ779" s="243"/>
      <c r="AK779" s="243"/>
      <c r="AL779" s="243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</row>
    <row r="780" ht="16.5" customHeight="1">
      <c r="A780" s="243"/>
      <c r="B780" s="243"/>
      <c r="C780" s="243"/>
      <c r="D780" s="243"/>
      <c r="E780" s="243"/>
      <c r="F780" s="243"/>
      <c r="G780" s="243"/>
      <c r="H780" s="243"/>
      <c r="I780" s="243"/>
      <c r="J780" s="243"/>
      <c r="K780" s="243"/>
      <c r="L780" s="243"/>
      <c r="M780" s="243"/>
      <c r="N780" s="243"/>
      <c r="O780" s="243"/>
      <c r="P780" s="243"/>
      <c r="Q780" s="243"/>
      <c r="R780" s="243"/>
      <c r="S780" s="243"/>
      <c r="T780" s="243"/>
      <c r="U780" s="243"/>
      <c r="V780" s="243"/>
      <c r="W780" s="243"/>
      <c r="X780" s="243"/>
      <c r="Y780" s="243"/>
      <c r="Z780" s="243"/>
      <c r="AA780" s="243"/>
      <c r="AB780" s="243"/>
      <c r="AC780" s="243"/>
      <c r="AD780" s="243"/>
      <c r="AE780" s="243"/>
      <c r="AF780" s="243"/>
      <c r="AG780" s="243"/>
      <c r="AH780" s="243"/>
      <c r="AI780" s="243"/>
      <c r="AJ780" s="243"/>
      <c r="AK780" s="243"/>
      <c r="AL780" s="243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</row>
    <row r="781" ht="16.5" customHeight="1">
      <c r="A781" s="243"/>
      <c r="B781" s="243"/>
      <c r="C781" s="243"/>
      <c r="D781" s="243"/>
      <c r="E781" s="243"/>
      <c r="F781" s="243"/>
      <c r="G781" s="243"/>
      <c r="H781" s="243"/>
      <c r="I781" s="243"/>
      <c r="J781" s="243"/>
      <c r="K781" s="243"/>
      <c r="L781" s="243"/>
      <c r="M781" s="243"/>
      <c r="N781" s="243"/>
      <c r="O781" s="243"/>
      <c r="P781" s="243"/>
      <c r="Q781" s="243"/>
      <c r="R781" s="243"/>
      <c r="S781" s="243"/>
      <c r="T781" s="243"/>
      <c r="U781" s="243"/>
      <c r="V781" s="243"/>
      <c r="W781" s="243"/>
      <c r="X781" s="243"/>
      <c r="Y781" s="243"/>
      <c r="Z781" s="243"/>
      <c r="AA781" s="243"/>
      <c r="AB781" s="243"/>
      <c r="AC781" s="243"/>
      <c r="AD781" s="243"/>
      <c r="AE781" s="243"/>
      <c r="AF781" s="243"/>
      <c r="AG781" s="243"/>
      <c r="AH781" s="243"/>
      <c r="AI781" s="243"/>
      <c r="AJ781" s="243"/>
      <c r="AK781" s="243"/>
      <c r="AL781" s="243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</row>
    <row r="782" ht="16.5" customHeight="1">
      <c r="A782" s="243"/>
      <c r="B782" s="243"/>
      <c r="C782" s="243"/>
      <c r="D782" s="243"/>
      <c r="E782" s="243"/>
      <c r="F782" s="243"/>
      <c r="G782" s="243"/>
      <c r="H782" s="243"/>
      <c r="I782" s="243"/>
      <c r="J782" s="243"/>
      <c r="K782" s="243"/>
      <c r="L782" s="243"/>
      <c r="M782" s="243"/>
      <c r="N782" s="243"/>
      <c r="O782" s="243"/>
      <c r="P782" s="243"/>
      <c r="Q782" s="243"/>
      <c r="R782" s="243"/>
      <c r="S782" s="243"/>
      <c r="T782" s="243"/>
      <c r="U782" s="243"/>
      <c r="V782" s="243"/>
      <c r="W782" s="243"/>
      <c r="X782" s="243"/>
      <c r="Y782" s="243"/>
      <c r="Z782" s="243"/>
      <c r="AA782" s="243"/>
      <c r="AB782" s="243"/>
      <c r="AC782" s="243"/>
      <c r="AD782" s="243"/>
      <c r="AE782" s="243"/>
      <c r="AF782" s="243"/>
      <c r="AG782" s="243"/>
      <c r="AH782" s="243"/>
      <c r="AI782" s="243"/>
      <c r="AJ782" s="243"/>
      <c r="AK782" s="243"/>
      <c r="AL782" s="243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</row>
    <row r="783" ht="16.5" customHeight="1">
      <c r="A783" s="243"/>
      <c r="B783" s="243"/>
      <c r="C783" s="243"/>
      <c r="D783" s="243"/>
      <c r="E783" s="243"/>
      <c r="F783" s="243"/>
      <c r="G783" s="243"/>
      <c r="H783" s="243"/>
      <c r="I783" s="243"/>
      <c r="J783" s="243"/>
      <c r="K783" s="243"/>
      <c r="L783" s="243"/>
      <c r="M783" s="243"/>
      <c r="N783" s="243"/>
      <c r="O783" s="243"/>
      <c r="P783" s="243"/>
      <c r="Q783" s="243"/>
      <c r="R783" s="243"/>
      <c r="S783" s="243"/>
      <c r="T783" s="243"/>
      <c r="U783" s="243"/>
      <c r="V783" s="243"/>
      <c r="W783" s="243"/>
      <c r="X783" s="243"/>
      <c r="Y783" s="243"/>
      <c r="Z783" s="243"/>
      <c r="AA783" s="243"/>
      <c r="AB783" s="243"/>
      <c r="AC783" s="243"/>
      <c r="AD783" s="243"/>
      <c r="AE783" s="243"/>
      <c r="AF783" s="243"/>
      <c r="AG783" s="243"/>
      <c r="AH783" s="243"/>
      <c r="AI783" s="243"/>
      <c r="AJ783" s="243"/>
      <c r="AK783" s="243"/>
      <c r="AL783" s="243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</row>
    <row r="784" ht="16.5" customHeight="1">
      <c r="A784" s="243"/>
      <c r="B784" s="243"/>
      <c r="C784" s="243"/>
      <c r="D784" s="243"/>
      <c r="E784" s="243"/>
      <c r="F784" s="243"/>
      <c r="G784" s="243"/>
      <c r="H784" s="243"/>
      <c r="I784" s="243"/>
      <c r="J784" s="243"/>
      <c r="K784" s="243"/>
      <c r="L784" s="243"/>
      <c r="M784" s="243"/>
      <c r="N784" s="243"/>
      <c r="O784" s="243"/>
      <c r="P784" s="243"/>
      <c r="Q784" s="243"/>
      <c r="R784" s="243"/>
      <c r="S784" s="243"/>
      <c r="T784" s="243"/>
      <c r="U784" s="243"/>
      <c r="V784" s="243"/>
      <c r="W784" s="243"/>
      <c r="X784" s="243"/>
      <c r="Y784" s="243"/>
      <c r="Z784" s="243"/>
      <c r="AA784" s="243"/>
      <c r="AB784" s="243"/>
      <c r="AC784" s="243"/>
      <c r="AD784" s="243"/>
      <c r="AE784" s="243"/>
      <c r="AF784" s="243"/>
      <c r="AG784" s="243"/>
      <c r="AH784" s="243"/>
      <c r="AI784" s="243"/>
      <c r="AJ784" s="243"/>
      <c r="AK784" s="243"/>
      <c r="AL784" s="243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</row>
    <row r="785" ht="16.5" customHeight="1">
      <c r="A785" s="243"/>
      <c r="B785" s="243"/>
      <c r="C785" s="243"/>
      <c r="D785" s="243"/>
      <c r="E785" s="243"/>
      <c r="F785" s="243"/>
      <c r="G785" s="243"/>
      <c r="H785" s="243"/>
      <c r="I785" s="243"/>
      <c r="J785" s="243"/>
      <c r="K785" s="243"/>
      <c r="L785" s="243"/>
      <c r="M785" s="243"/>
      <c r="N785" s="243"/>
      <c r="O785" s="243"/>
      <c r="P785" s="243"/>
      <c r="Q785" s="243"/>
      <c r="R785" s="243"/>
      <c r="S785" s="243"/>
      <c r="T785" s="243"/>
      <c r="U785" s="243"/>
      <c r="V785" s="243"/>
      <c r="W785" s="243"/>
      <c r="X785" s="243"/>
      <c r="Y785" s="243"/>
      <c r="Z785" s="243"/>
      <c r="AA785" s="243"/>
      <c r="AB785" s="243"/>
      <c r="AC785" s="243"/>
      <c r="AD785" s="243"/>
      <c r="AE785" s="243"/>
      <c r="AF785" s="243"/>
      <c r="AG785" s="243"/>
      <c r="AH785" s="243"/>
      <c r="AI785" s="243"/>
      <c r="AJ785" s="243"/>
      <c r="AK785" s="243"/>
      <c r="AL785" s="243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</row>
    <row r="786" ht="16.5" customHeight="1">
      <c r="A786" s="243"/>
      <c r="B786" s="243"/>
      <c r="C786" s="243"/>
      <c r="D786" s="243"/>
      <c r="E786" s="243"/>
      <c r="F786" s="243"/>
      <c r="G786" s="243"/>
      <c r="H786" s="243"/>
      <c r="I786" s="243"/>
      <c r="J786" s="243"/>
      <c r="K786" s="243"/>
      <c r="L786" s="243"/>
      <c r="M786" s="243"/>
      <c r="N786" s="243"/>
      <c r="O786" s="243"/>
      <c r="P786" s="243"/>
      <c r="Q786" s="243"/>
      <c r="R786" s="243"/>
      <c r="S786" s="243"/>
      <c r="T786" s="243"/>
      <c r="U786" s="243"/>
      <c r="V786" s="243"/>
      <c r="W786" s="243"/>
      <c r="X786" s="243"/>
      <c r="Y786" s="243"/>
      <c r="Z786" s="243"/>
      <c r="AA786" s="243"/>
      <c r="AB786" s="243"/>
      <c r="AC786" s="243"/>
      <c r="AD786" s="243"/>
      <c r="AE786" s="243"/>
      <c r="AF786" s="243"/>
      <c r="AG786" s="243"/>
      <c r="AH786" s="243"/>
      <c r="AI786" s="243"/>
      <c r="AJ786" s="243"/>
      <c r="AK786" s="243"/>
      <c r="AL786" s="243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</row>
    <row r="787" ht="16.5" customHeight="1">
      <c r="A787" s="243"/>
      <c r="B787" s="243"/>
      <c r="C787" s="243"/>
      <c r="D787" s="243"/>
      <c r="E787" s="243"/>
      <c r="F787" s="243"/>
      <c r="G787" s="243"/>
      <c r="H787" s="243"/>
      <c r="I787" s="243"/>
      <c r="J787" s="243"/>
      <c r="K787" s="243"/>
      <c r="L787" s="243"/>
      <c r="M787" s="243"/>
      <c r="N787" s="243"/>
      <c r="O787" s="243"/>
      <c r="P787" s="243"/>
      <c r="Q787" s="243"/>
      <c r="R787" s="243"/>
      <c r="S787" s="243"/>
      <c r="T787" s="243"/>
      <c r="U787" s="243"/>
      <c r="V787" s="243"/>
      <c r="W787" s="243"/>
      <c r="X787" s="243"/>
      <c r="Y787" s="243"/>
      <c r="Z787" s="243"/>
      <c r="AA787" s="243"/>
      <c r="AB787" s="243"/>
      <c r="AC787" s="243"/>
      <c r="AD787" s="243"/>
      <c r="AE787" s="243"/>
      <c r="AF787" s="243"/>
      <c r="AG787" s="243"/>
      <c r="AH787" s="243"/>
      <c r="AI787" s="243"/>
      <c r="AJ787" s="243"/>
      <c r="AK787" s="243"/>
      <c r="AL787" s="243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</row>
    <row r="788" ht="16.5" customHeight="1">
      <c r="A788" s="243"/>
      <c r="B788" s="243"/>
      <c r="C788" s="243"/>
      <c r="D788" s="243"/>
      <c r="E788" s="243"/>
      <c r="F788" s="243"/>
      <c r="G788" s="243"/>
      <c r="H788" s="243"/>
      <c r="I788" s="243"/>
      <c r="J788" s="243"/>
      <c r="K788" s="243"/>
      <c r="L788" s="243"/>
      <c r="M788" s="243"/>
      <c r="N788" s="243"/>
      <c r="O788" s="243"/>
      <c r="P788" s="243"/>
      <c r="Q788" s="243"/>
      <c r="R788" s="243"/>
      <c r="S788" s="243"/>
      <c r="T788" s="243"/>
      <c r="U788" s="243"/>
      <c r="V788" s="243"/>
      <c r="W788" s="243"/>
      <c r="X788" s="243"/>
      <c r="Y788" s="243"/>
      <c r="Z788" s="243"/>
      <c r="AA788" s="243"/>
      <c r="AB788" s="243"/>
      <c r="AC788" s="243"/>
      <c r="AD788" s="243"/>
      <c r="AE788" s="243"/>
      <c r="AF788" s="243"/>
      <c r="AG788" s="243"/>
      <c r="AH788" s="243"/>
      <c r="AI788" s="243"/>
      <c r="AJ788" s="243"/>
      <c r="AK788" s="243"/>
      <c r="AL788" s="243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</row>
    <row r="789" ht="16.5" customHeight="1">
      <c r="A789" s="243"/>
      <c r="B789" s="243"/>
      <c r="C789" s="243"/>
      <c r="D789" s="243"/>
      <c r="E789" s="243"/>
      <c r="F789" s="243"/>
      <c r="G789" s="243"/>
      <c r="H789" s="243"/>
      <c r="I789" s="243"/>
      <c r="J789" s="243"/>
      <c r="K789" s="243"/>
      <c r="L789" s="243"/>
      <c r="M789" s="243"/>
      <c r="N789" s="243"/>
      <c r="O789" s="243"/>
      <c r="P789" s="243"/>
      <c r="Q789" s="243"/>
      <c r="R789" s="243"/>
      <c r="S789" s="243"/>
      <c r="T789" s="243"/>
      <c r="U789" s="243"/>
      <c r="V789" s="243"/>
      <c r="W789" s="243"/>
      <c r="X789" s="243"/>
      <c r="Y789" s="243"/>
      <c r="Z789" s="243"/>
      <c r="AA789" s="243"/>
      <c r="AB789" s="243"/>
      <c r="AC789" s="243"/>
      <c r="AD789" s="243"/>
      <c r="AE789" s="243"/>
      <c r="AF789" s="243"/>
      <c r="AG789" s="243"/>
      <c r="AH789" s="243"/>
      <c r="AI789" s="243"/>
      <c r="AJ789" s="243"/>
      <c r="AK789" s="243"/>
      <c r="AL789" s="243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</row>
    <row r="790" ht="16.5" customHeight="1">
      <c r="A790" s="243"/>
      <c r="B790" s="243"/>
      <c r="C790" s="243"/>
      <c r="D790" s="243"/>
      <c r="E790" s="243"/>
      <c r="F790" s="243"/>
      <c r="G790" s="243"/>
      <c r="H790" s="243"/>
      <c r="I790" s="243"/>
      <c r="J790" s="243"/>
      <c r="K790" s="243"/>
      <c r="L790" s="243"/>
      <c r="M790" s="243"/>
      <c r="N790" s="243"/>
      <c r="O790" s="243"/>
      <c r="P790" s="243"/>
      <c r="Q790" s="243"/>
      <c r="R790" s="243"/>
      <c r="S790" s="243"/>
      <c r="T790" s="243"/>
      <c r="U790" s="243"/>
      <c r="V790" s="243"/>
      <c r="W790" s="243"/>
      <c r="X790" s="243"/>
      <c r="Y790" s="243"/>
      <c r="Z790" s="243"/>
      <c r="AA790" s="243"/>
      <c r="AB790" s="243"/>
      <c r="AC790" s="243"/>
      <c r="AD790" s="243"/>
      <c r="AE790" s="243"/>
      <c r="AF790" s="243"/>
      <c r="AG790" s="243"/>
      <c r="AH790" s="243"/>
      <c r="AI790" s="243"/>
      <c r="AJ790" s="243"/>
      <c r="AK790" s="243"/>
      <c r="AL790" s="243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</row>
    <row r="791" ht="16.5" customHeight="1">
      <c r="A791" s="243"/>
      <c r="B791" s="243"/>
      <c r="C791" s="243"/>
      <c r="D791" s="243"/>
      <c r="E791" s="243"/>
      <c r="F791" s="243"/>
      <c r="G791" s="243"/>
      <c r="H791" s="243"/>
      <c r="I791" s="243"/>
      <c r="J791" s="243"/>
      <c r="K791" s="243"/>
      <c r="L791" s="243"/>
      <c r="M791" s="243"/>
      <c r="N791" s="243"/>
      <c r="O791" s="243"/>
      <c r="P791" s="243"/>
      <c r="Q791" s="243"/>
      <c r="R791" s="243"/>
      <c r="S791" s="243"/>
      <c r="T791" s="243"/>
      <c r="U791" s="243"/>
      <c r="V791" s="243"/>
      <c r="W791" s="243"/>
      <c r="X791" s="243"/>
      <c r="Y791" s="243"/>
      <c r="Z791" s="243"/>
      <c r="AA791" s="243"/>
      <c r="AB791" s="243"/>
      <c r="AC791" s="243"/>
      <c r="AD791" s="243"/>
      <c r="AE791" s="243"/>
      <c r="AF791" s="243"/>
      <c r="AG791" s="243"/>
      <c r="AH791" s="243"/>
      <c r="AI791" s="243"/>
      <c r="AJ791" s="243"/>
      <c r="AK791" s="243"/>
      <c r="AL791" s="243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</row>
    <row r="792" ht="16.5" customHeight="1">
      <c r="A792" s="243"/>
      <c r="B792" s="243"/>
      <c r="C792" s="243"/>
      <c r="D792" s="243"/>
      <c r="E792" s="243"/>
      <c r="F792" s="243"/>
      <c r="G792" s="243"/>
      <c r="H792" s="243"/>
      <c r="I792" s="243"/>
      <c r="J792" s="243"/>
      <c r="K792" s="243"/>
      <c r="L792" s="243"/>
      <c r="M792" s="243"/>
      <c r="N792" s="243"/>
      <c r="O792" s="243"/>
      <c r="P792" s="243"/>
      <c r="Q792" s="243"/>
      <c r="R792" s="243"/>
      <c r="S792" s="243"/>
      <c r="T792" s="243"/>
      <c r="U792" s="243"/>
      <c r="V792" s="243"/>
      <c r="W792" s="243"/>
      <c r="X792" s="243"/>
      <c r="Y792" s="243"/>
      <c r="Z792" s="243"/>
      <c r="AA792" s="243"/>
      <c r="AB792" s="243"/>
      <c r="AC792" s="243"/>
      <c r="AD792" s="243"/>
      <c r="AE792" s="243"/>
      <c r="AF792" s="243"/>
      <c r="AG792" s="243"/>
      <c r="AH792" s="243"/>
      <c r="AI792" s="243"/>
      <c r="AJ792" s="243"/>
      <c r="AK792" s="243"/>
      <c r="AL792" s="243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</row>
    <row r="793" ht="16.5" customHeight="1">
      <c r="A793" s="243"/>
      <c r="B793" s="243"/>
      <c r="C793" s="243"/>
      <c r="D793" s="243"/>
      <c r="E793" s="243"/>
      <c r="F793" s="243"/>
      <c r="G793" s="243"/>
      <c r="H793" s="243"/>
      <c r="I793" s="243"/>
      <c r="J793" s="243"/>
      <c r="K793" s="243"/>
      <c r="L793" s="243"/>
      <c r="M793" s="243"/>
      <c r="N793" s="243"/>
      <c r="O793" s="243"/>
      <c r="P793" s="243"/>
      <c r="Q793" s="243"/>
      <c r="R793" s="243"/>
      <c r="S793" s="243"/>
      <c r="T793" s="243"/>
      <c r="U793" s="243"/>
      <c r="V793" s="243"/>
      <c r="W793" s="243"/>
      <c r="X793" s="243"/>
      <c r="Y793" s="243"/>
      <c r="Z793" s="243"/>
      <c r="AA793" s="243"/>
      <c r="AB793" s="243"/>
      <c r="AC793" s="243"/>
      <c r="AD793" s="243"/>
      <c r="AE793" s="243"/>
      <c r="AF793" s="243"/>
      <c r="AG793" s="243"/>
      <c r="AH793" s="243"/>
      <c r="AI793" s="243"/>
      <c r="AJ793" s="243"/>
      <c r="AK793" s="243"/>
      <c r="AL793" s="243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</row>
    <row r="794" ht="16.5" customHeight="1">
      <c r="A794" s="243"/>
      <c r="B794" s="243"/>
      <c r="C794" s="243"/>
      <c r="D794" s="243"/>
      <c r="E794" s="243"/>
      <c r="F794" s="243"/>
      <c r="G794" s="243"/>
      <c r="H794" s="243"/>
      <c r="I794" s="243"/>
      <c r="J794" s="243"/>
      <c r="K794" s="243"/>
      <c r="L794" s="243"/>
      <c r="M794" s="243"/>
      <c r="N794" s="243"/>
      <c r="O794" s="243"/>
      <c r="P794" s="243"/>
      <c r="Q794" s="243"/>
      <c r="R794" s="243"/>
      <c r="S794" s="243"/>
      <c r="T794" s="243"/>
      <c r="U794" s="243"/>
      <c r="V794" s="243"/>
      <c r="W794" s="243"/>
      <c r="X794" s="243"/>
      <c r="Y794" s="243"/>
      <c r="Z794" s="243"/>
      <c r="AA794" s="243"/>
      <c r="AB794" s="243"/>
      <c r="AC794" s="243"/>
      <c r="AD794" s="243"/>
      <c r="AE794" s="243"/>
      <c r="AF794" s="243"/>
      <c r="AG794" s="243"/>
      <c r="AH794" s="243"/>
      <c r="AI794" s="243"/>
      <c r="AJ794" s="243"/>
      <c r="AK794" s="243"/>
      <c r="AL794" s="243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</row>
    <row r="795" ht="16.5" customHeight="1">
      <c r="A795" s="243"/>
      <c r="B795" s="243"/>
      <c r="C795" s="243"/>
      <c r="D795" s="243"/>
      <c r="E795" s="243"/>
      <c r="F795" s="243"/>
      <c r="G795" s="243"/>
      <c r="H795" s="243"/>
      <c r="I795" s="243"/>
      <c r="J795" s="243"/>
      <c r="K795" s="243"/>
      <c r="L795" s="243"/>
      <c r="M795" s="243"/>
      <c r="N795" s="243"/>
      <c r="O795" s="243"/>
      <c r="P795" s="243"/>
      <c r="Q795" s="243"/>
      <c r="R795" s="243"/>
      <c r="S795" s="243"/>
      <c r="T795" s="243"/>
      <c r="U795" s="243"/>
      <c r="V795" s="243"/>
      <c r="W795" s="243"/>
      <c r="X795" s="243"/>
      <c r="Y795" s="243"/>
      <c r="Z795" s="243"/>
      <c r="AA795" s="243"/>
      <c r="AB795" s="243"/>
      <c r="AC795" s="243"/>
      <c r="AD795" s="243"/>
      <c r="AE795" s="243"/>
      <c r="AF795" s="243"/>
      <c r="AG795" s="243"/>
      <c r="AH795" s="243"/>
      <c r="AI795" s="243"/>
      <c r="AJ795" s="243"/>
      <c r="AK795" s="243"/>
      <c r="AL795" s="243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</row>
    <row r="796" ht="16.5" customHeight="1">
      <c r="A796" s="243"/>
      <c r="B796" s="243"/>
      <c r="C796" s="243"/>
      <c r="D796" s="243"/>
      <c r="E796" s="243"/>
      <c r="F796" s="243"/>
      <c r="G796" s="243"/>
      <c r="H796" s="243"/>
      <c r="I796" s="243"/>
      <c r="J796" s="243"/>
      <c r="K796" s="243"/>
      <c r="L796" s="243"/>
      <c r="M796" s="243"/>
      <c r="N796" s="243"/>
      <c r="O796" s="243"/>
      <c r="P796" s="243"/>
      <c r="Q796" s="243"/>
      <c r="R796" s="243"/>
      <c r="S796" s="243"/>
      <c r="T796" s="243"/>
      <c r="U796" s="243"/>
      <c r="V796" s="243"/>
      <c r="W796" s="243"/>
      <c r="X796" s="243"/>
      <c r="Y796" s="243"/>
      <c r="Z796" s="243"/>
      <c r="AA796" s="243"/>
      <c r="AB796" s="243"/>
      <c r="AC796" s="243"/>
      <c r="AD796" s="243"/>
      <c r="AE796" s="243"/>
      <c r="AF796" s="243"/>
      <c r="AG796" s="243"/>
      <c r="AH796" s="243"/>
      <c r="AI796" s="243"/>
      <c r="AJ796" s="243"/>
      <c r="AK796" s="243"/>
      <c r="AL796" s="243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</row>
    <row r="797" ht="16.5" customHeight="1">
      <c r="A797" s="243"/>
      <c r="B797" s="243"/>
      <c r="C797" s="243"/>
      <c r="D797" s="243"/>
      <c r="E797" s="243"/>
      <c r="F797" s="243"/>
      <c r="G797" s="243"/>
      <c r="H797" s="243"/>
      <c r="I797" s="243"/>
      <c r="J797" s="243"/>
      <c r="K797" s="243"/>
      <c r="L797" s="243"/>
      <c r="M797" s="243"/>
      <c r="N797" s="243"/>
      <c r="O797" s="243"/>
      <c r="P797" s="243"/>
      <c r="Q797" s="243"/>
      <c r="R797" s="243"/>
      <c r="S797" s="243"/>
      <c r="T797" s="243"/>
      <c r="U797" s="243"/>
      <c r="V797" s="243"/>
      <c r="W797" s="243"/>
      <c r="X797" s="243"/>
      <c r="Y797" s="243"/>
      <c r="Z797" s="243"/>
      <c r="AA797" s="243"/>
      <c r="AB797" s="243"/>
      <c r="AC797" s="243"/>
      <c r="AD797" s="243"/>
      <c r="AE797" s="243"/>
      <c r="AF797" s="243"/>
      <c r="AG797" s="243"/>
      <c r="AH797" s="243"/>
      <c r="AI797" s="243"/>
      <c r="AJ797" s="243"/>
      <c r="AK797" s="243"/>
      <c r="AL797" s="243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</row>
    <row r="798" ht="16.5" customHeight="1">
      <c r="A798" s="243"/>
      <c r="B798" s="243"/>
      <c r="C798" s="243"/>
      <c r="D798" s="243"/>
      <c r="E798" s="243"/>
      <c r="F798" s="243"/>
      <c r="G798" s="243"/>
      <c r="H798" s="243"/>
      <c r="I798" s="243"/>
      <c r="J798" s="243"/>
      <c r="K798" s="243"/>
      <c r="L798" s="243"/>
      <c r="M798" s="243"/>
      <c r="N798" s="243"/>
      <c r="O798" s="243"/>
      <c r="P798" s="243"/>
      <c r="Q798" s="243"/>
      <c r="R798" s="243"/>
      <c r="S798" s="243"/>
      <c r="T798" s="243"/>
      <c r="U798" s="243"/>
      <c r="V798" s="243"/>
      <c r="W798" s="243"/>
      <c r="X798" s="243"/>
      <c r="Y798" s="243"/>
      <c r="Z798" s="243"/>
      <c r="AA798" s="243"/>
      <c r="AB798" s="243"/>
      <c r="AC798" s="243"/>
      <c r="AD798" s="243"/>
      <c r="AE798" s="243"/>
      <c r="AF798" s="243"/>
      <c r="AG798" s="243"/>
      <c r="AH798" s="243"/>
      <c r="AI798" s="243"/>
      <c r="AJ798" s="243"/>
      <c r="AK798" s="243"/>
      <c r="AL798" s="243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</row>
    <row r="799" ht="16.5" customHeight="1">
      <c r="A799" s="243"/>
      <c r="B799" s="243"/>
      <c r="C799" s="243"/>
      <c r="D799" s="243"/>
      <c r="E799" s="243"/>
      <c r="F799" s="243"/>
      <c r="G799" s="243"/>
      <c r="H799" s="243"/>
      <c r="I799" s="243"/>
      <c r="J799" s="243"/>
      <c r="K799" s="243"/>
      <c r="L799" s="243"/>
      <c r="M799" s="243"/>
      <c r="N799" s="243"/>
      <c r="O799" s="243"/>
      <c r="P799" s="243"/>
      <c r="Q799" s="243"/>
      <c r="R799" s="243"/>
      <c r="S799" s="243"/>
      <c r="T799" s="243"/>
      <c r="U799" s="243"/>
      <c r="V799" s="243"/>
      <c r="W799" s="243"/>
      <c r="X799" s="243"/>
      <c r="Y799" s="243"/>
      <c r="Z799" s="243"/>
      <c r="AA799" s="243"/>
      <c r="AB799" s="243"/>
      <c r="AC799" s="243"/>
      <c r="AD799" s="243"/>
      <c r="AE799" s="243"/>
      <c r="AF799" s="243"/>
      <c r="AG799" s="243"/>
      <c r="AH799" s="243"/>
      <c r="AI799" s="243"/>
      <c r="AJ799" s="243"/>
      <c r="AK799" s="243"/>
      <c r="AL799" s="243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</row>
    <row r="800" ht="16.5" customHeight="1">
      <c r="A800" s="243"/>
      <c r="B800" s="243"/>
      <c r="C800" s="243"/>
      <c r="D800" s="243"/>
      <c r="E800" s="243"/>
      <c r="F800" s="243"/>
      <c r="G800" s="243"/>
      <c r="H800" s="243"/>
      <c r="I800" s="243"/>
      <c r="J800" s="243"/>
      <c r="K800" s="243"/>
      <c r="L800" s="243"/>
      <c r="M800" s="243"/>
      <c r="N800" s="243"/>
      <c r="O800" s="243"/>
      <c r="P800" s="243"/>
      <c r="Q800" s="243"/>
      <c r="R800" s="243"/>
      <c r="S800" s="243"/>
      <c r="T800" s="243"/>
      <c r="U800" s="243"/>
      <c r="V800" s="243"/>
      <c r="W800" s="243"/>
      <c r="X800" s="243"/>
      <c r="Y800" s="243"/>
      <c r="Z800" s="243"/>
      <c r="AA800" s="243"/>
      <c r="AB800" s="243"/>
      <c r="AC800" s="243"/>
      <c r="AD800" s="243"/>
      <c r="AE800" s="243"/>
      <c r="AF800" s="243"/>
      <c r="AG800" s="243"/>
      <c r="AH800" s="243"/>
      <c r="AI800" s="243"/>
      <c r="AJ800" s="243"/>
      <c r="AK800" s="243"/>
      <c r="AL800" s="243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</row>
    <row r="801" ht="16.5" customHeight="1">
      <c r="A801" s="243"/>
      <c r="B801" s="243"/>
      <c r="C801" s="243"/>
      <c r="D801" s="243"/>
      <c r="E801" s="243"/>
      <c r="F801" s="243"/>
      <c r="G801" s="243"/>
      <c r="H801" s="243"/>
      <c r="I801" s="243"/>
      <c r="J801" s="243"/>
      <c r="K801" s="243"/>
      <c r="L801" s="243"/>
      <c r="M801" s="243"/>
      <c r="N801" s="243"/>
      <c r="O801" s="243"/>
      <c r="P801" s="243"/>
      <c r="Q801" s="243"/>
      <c r="R801" s="243"/>
      <c r="S801" s="243"/>
      <c r="T801" s="243"/>
      <c r="U801" s="243"/>
      <c r="V801" s="243"/>
      <c r="W801" s="243"/>
      <c r="X801" s="243"/>
      <c r="Y801" s="243"/>
      <c r="Z801" s="243"/>
      <c r="AA801" s="243"/>
      <c r="AB801" s="243"/>
      <c r="AC801" s="243"/>
      <c r="AD801" s="243"/>
      <c r="AE801" s="243"/>
      <c r="AF801" s="243"/>
      <c r="AG801" s="243"/>
      <c r="AH801" s="243"/>
      <c r="AI801" s="243"/>
      <c r="AJ801" s="243"/>
      <c r="AK801" s="243"/>
      <c r="AL801" s="243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</row>
    <row r="802" ht="16.5" customHeight="1">
      <c r="A802" s="243"/>
      <c r="B802" s="243"/>
      <c r="C802" s="243"/>
      <c r="D802" s="243"/>
      <c r="E802" s="243"/>
      <c r="F802" s="243"/>
      <c r="G802" s="243"/>
      <c r="H802" s="243"/>
      <c r="I802" s="243"/>
      <c r="J802" s="243"/>
      <c r="K802" s="243"/>
      <c r="L802" s="243"/>
      <c r="M802" s="243"/>
      <c r="N802" s="243"/>
      <c r="O802" s="243"/>
      <c r="P802" s="243"/>
      <c r="Q802" s="243"/>
      <c r="R802" s="243"/>
      <c r="S802" s="243"/>
      <c r="T802" s="243"/>
      <c r="U802" s="243"/>
      <c r="V802" s="243"/>
      <c r="W802" s="243"/>
      <c r="X802" s="243"/>
      <c r="Y802" s="243"/>
      <c r="Z802" s="243"/>
      <c r="AA802" s="243"/>
      <c r="AB802" s="243"/>
      <c r="AC802" s="243"/>
      <c r="AD802" s="243"/>
      <c r="AE802" s="243"/>
      <c r="AF802" s="243"/>
      <c r="AG802" s="243"/>
      <c r="AH802" s="243"/>
      <c r="AI802" s="243"/>
      <c r="AJ802" s="243"/>
      <c r="AK802" s="243"/>
      <c r="AL802" s="243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</row>
    <row r="803" ht="16.5" customHeight="1">
      <c r="A803" s="243"/>
      <c r="B803" s="243"/>
      <c r="C803" s="243"/>
      <c r="D803" s="243"/>
      <c r="E803" s="243"/>
      <c r="F803" s="243"/>
      <c r="G803" s="243"/>
      <c r="H803" s="243"/>
      <c r="I803" s="243"/>
      <c r="J803" s="243"/>
      <c r="K803" s="243"/>
      <c r="L803" s="243"/>
      <c r="M803" s="243"/>
      <c r="N803" s="243"/>
      <c r="O803" s="243"/>
      <c r="P803" s="243"/>
      <c r="Q803" s="243"/>
      <c r="R803" s="243"/>
      <c r="S803" s="243"/>
      <c r="T803" s="243"/>
      <c r="U803" s="243"/>
      <c r="V803" s="243"/>
      <c r="W803" s="243"/>
      <c r="X803" s="243"/>
      <c r="Y803" s="243"/>
      <c r="Z803" s="243"/>
      <c r="AA803" s="243"/>
      <c r="AB803" s="243"/>
      <c r="AC803" s="243"/>
      <c r="AD803" s="243"/>
      <c r="AE803" s="243"/>
      <c r="AF803" s="243"/>
      <c r="AG803" s="243"/>
      <c r="AH803" s="243"/>
      <c r="AI803" s="243"/>
      <c r="AJ803" s="243"/>
      <c r="AK803" s="243"/>
      <c r="AL803" s="243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</row>
    <row r="804" ht="16.5" customHeight="1">
      <c r="A804" s="243"/>
      <c r="B804" s="243"/>
      <c r="C804" s="243"/>
      <c r="D804" s="243"/>
      <c r="E804" s="243"/>
      <c r="F804" s="243"/>
      <c r="G804" s="243"/>
      <c r="H804" s="243"/>
      <c r="I804" s="243"/>
      <c r="J804" s="243"/>
      <c r="K804" s="243"/>
      <c r="L804" s="243"/>
      <c r="M804" s="243"/>
      <c r="N804" s="243"/>
      <c r="O804" s="243"/>
      <c r="P804" s="243"/>
      <c r="Q804" s="243"/>
      <c r="R804" s="243"/>
      <c r="S804" s="243"/>
      <c r="T804" s="243"/>
      <c r="U804" s="243"/>
      <c r="V804" s="243"/>
      <c r="W804" s="243"/>
      <c r="X804" s="243"/>
      <c r="Y804" s="243"/>
      <c r="Z804" s="243"/>
      <c r="AA804" s="243"/>
      <c r="AB804" s="243"/>
      <c r="AC804" s="243"/>
      <c r="AD804" s="243"/>
      <c r="AE804" s="243"/>
      <c r="AF804" s="243"/>
      <c r="AG804" s="243"/>
      <c r="AH804" s="243"/>
      <c r="AI804" s="243"/>
      <c r="AJ804" s="243"/>
      <c r="AK804" s="243"/>
      <c r="AL804" s="243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</row>
    <row r="805" ht="16.5" customHeight="1">
      <c r="A805" s="243"/>
      <c r="B805" s="243"/>
      <c r="C805" s="243"/>
      <c r="D805" s="243"/>
      <c r="E805" s="243"/>
      <c r="F805" s="243"/>
      <c r="G805" s="243"/>
      <c r="H805" s="243"/>
      <c r="I805" s="243"/>
      <c r="J805" s="243"/>
      <c r="K805" s="243"/>
      <c r="L805" s="243"/>
      <c r="M805" s="243"/>
      <c r="N805" s="243"/>
      <c r="O805" s="243"/>
      <c r="P805" s="243"/>
      <c r="Q805" s="243"/>
      <c r="R805" s="243"/>
      <c r="S805" s="243"/>
      <c r="T805" s="243"/>
      <c r="U805" s="243"/>
      <c r="V805" s="243"/>
      <c r="W805" s="243"/>
      <c r="X805" s="243"/>
      <c r="Y805" s="243"/>
      <c r="Z805" s="243"/>
      <c r="AA805" s="243"/>
      <c r="AB805" s="243"/>
      <c r="AC805" s="243"/>
      <c r="AD805" s="243"/>
      <c r="AE805" s="243"/>
      <c r="AF805" s="243"/>
      <c r="AG805" s="243"/>
      <c r="AH805" s="243"/>
      <c r="AI805" s="243"/>
      <c r="AJ805" s="243"/>
      <c r="AK805" s="243"/>
      <c r="AL805" s="243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</row>
    <row r="806" ht="16.5" customHeight="1">
      <c r="A806" s="243"/>
      <c r="B806" s="243"/>
      <c r="C806" s="243"/>
      <c r="D806" s="243"/>
      <c r="E806" s="243"/>
      <c r="F806" s="243"/>
      <c r="G806" s="243"/>
      <c r="H806" s="243"/>
      <c r="I806" s="243"/>
      <c r="J806" s="243"/>
      <c r="K806" s="243"/>
      <c r="L806" s="243"/>
      <c r="M806" s="243"/>
      <c r="N806" s="243"/>
      <c r="O806" s="243"/>
      <c r="P806" s="243"/>
      <c r="Q806" s="243"/>
      <c r="R806" s="243"/>
      <c r="S806" s="243"/>
      <c r="T806" s="243"/>
      <c r="U806" s="243"/>
      <c r="V806" s="243"/>
      <c r="W806" s="243"/>
      <c r="X806" s="243"/>
      <c r="Y806" s="243"/>
      <c r="Z806" s="243"/>
      <c r="AA806" s="243"/>
      <c r="AB806" s="243"/>
      <c r="AC806" s="243"/>
      <c r="AD806" s="243"/>
      <c r="AE806" s="243"/>
      <c r="AF806" s="243"/>
      <c r="AG806" s="243"/>
      <c r="AH806" s="243"/>
      <c r="AI806" s="243"/>
      <c r="AJ806" s="243"/>
      <c r="AK806" s="243"/>
      <c r="AL806" s="243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</row>
    <row r="807" ht="16.5" customHeight="1">
      <c r="A807" s="243"/>
      <c r="B807" s="243"/>
      <c r="C807" s="243"/>
      <c r="D807" s="243"/>
      <c r="E807" s="243"/>
      <c r="F807" s="243"/>
      <c r="G807" s="243"/>
      <c r="H807" s="243"/>
      <c r="I807" s="243"/>
      <c r="J807" s="243"/>
      <c r="K807" s="243"/>
      <c r="L807" s="243"/>
      <c r="M807" s="243"/>
      <c r="N807" s="243"/>
      <c r="O807" s="243"/>
      <c r="P807" s="243"/>
      <c r="Q807" s="243"/>
      <c r="R807" s="243"/>
      <c r="S807" s="243"/>
      <c r="T807" s="243"/>
      <c r="U807" s="243"/>
      <c r="V807" s="243"/>
      <c r="W807" s="243"/>
      <c r="X807" s="243"/>
      <c r="Y807" s="243"/>
      <c r="Z807" s="243"/>
      <c r="AA807" s="243"/>
      <c r="AB807" s="243"/>
      <c r="AC807" s="243"/>
      <c r="AD807" s="243"/>
      <c r="AE807" s="243"/>
      <c r="AF807" s="243"/>
      <c r="AG807" s="243"/>
      <c r="AH807" s="243"/>
      <c r="AI807" s="243"/>
      <c r="AJ807" s="243"/>
      <c r="AK807" s="243"/>
      <c r="AL807" s="243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</row>
    <row r="808" ht="16.5" customHeight="1">
      <c r="A808" s="243"/>
      <c r="B808" s="243"/>
      <c r="C808" s="243"/>
      <c r="D808" s="243"/>
      <c r="E808" s="243"/>
      <c r="F808" s="243"/>
      <c r="G808" s="243"/>
      <c r="H808" s="243"/>
      <c r="I808" s="243"/>
      <c r="J808" s="243"/>
      <c r="K808" s="243"/>
      <c r="L808" s="243"/>
      <c r="M808" s="243"/>
      <c r="N808" s="243"/>
      <c r="O808" s="243"/>
      <c r="P808" s="243"/>
      <c r="Q808" s="243"/>
      <c r="R808" s="243"/>
      <c r="S808" s="243"/>
      <c r="T808" s="243"/>
      <c r="U808" s="243"/>
      <c r="V808" s="243"/>
      <c r="W808" s="243"/>
      <c r="X808" s="243"/>
      <c r="Y808" s="243"/>
      <c r="Z808" s="243"/>
      <c r="AA808" s="243"/>
      <c r="AB808" s="243"/>
      <c r="AC808" s="243"/>
      <c r="AD808" s="243"/>
      <c r="AE808" s="243"/>
      <c r="AF808" s="243"/>
      <c r="AG808" s="243"/>
      <c r="AH808" s="243"/>
      <c r="AI808" s="243"/>
      <c r="AJ808" s="243"/>
      <c r="AK808" s="243"/>
      <c r="AL808" s="243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</row>
    <row r="809" ht="16.5" customHeight="1">
      <c r="A809" s="243"/>
      <c r="B809" s="243"/>
      <c r="C809" s="243"/>
      <c r="D809" s="243"/>
      <c r="E809" s="243"/>
      <c r="F809" s="243"/>
      <c r="G809" s="243"/>
      <c r="H809" s="243"/>
      <c r="I809" s="243"/>
      <c r="J809" s="243"/>
      <c r="K809" s="243"/>
      <c r="L809" s="243"/>
      <c r="M809" s="243"/>
      <c r="N809" s="243"/>
      <c r="O809" s="243"/>
      <c r="P809" s="243"/>
      <c r="Q809" s="243"/>
      <c r="R809" s="243"/>
      <c r="S809" s="243"/>
      <c r="T809" s="243"/>
      <c r="U809" s="243"/>
      <c r="V809" s="243"/>
      <c r="W809" s="243"/>
      <c r="X809" s="243"/>
      <c r="Y809" s="243"/>
      <c r="Z809" s="243"/>
      <c r="AA809" s="243"/>
      <c r="AB809" s="243"/>
      <c r="AC809" s="243"/>
      <c r="AD809" s="243"/>
      <c r="AE809" s="243"/>
      <c r="AF809" s="243"/>
      <c r="AG809" s="243"/>
      <c r="AH809" s="243"/>
      <c r="AI809" s="243"/>
      <c r="AJ809" s="243"/>
      <c r="AK809" s="243"/>
      <c r="AL809" s="243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</row>
    <row r="810" ht="16.5" customHeight="1">
      <c r="A810" s="243"/>
      <c r="B810" s="243"/>
      <c r="C810" s="243"/>
      <c r="D810" s="243"/>
      <c r="E810" s="243"/>
      <c r="F810" s="243"/>
      <c r="G810" s="243"/>
      <c r="H810" s="243"/>
      <c r="I810" s="243"/>
      <c r="J810" s="243"/>
      <c r="K810" s="243"/>
      <c r="L810" s="243"/>
      <c r="M810" s="243"/>
      <c r="N810" s="243"/>
      <c r="O810" s="243"/>
      <c r="P810" s="243"/>
      <c r="Q810" s="243"/>
      <c r="R810" s="243"/>
      <c r="S810" s="243"/>
      <c r="T810" s="243"/>
      <c r="U810" s="243"/>
      <c r="V810" s="243"/>
      <c r="W810" s="243"/>
      <c r="X810" s="243"/>
      <c r="Y810" s="243"/>
      <c r="Z810" s="243"/>
      <c r="AA810" s="243"/>
      <c r="AB810" s="243"/>
      <c r="AC810" s="243"/>
      <c r="AD810" s="243"/>
      <c r="AE810" s="243"/>
      <c r="AF810" s="243"/>
      <c r="AG810" s="243"/>
      <c r="AH810" s="243"/>
      <c r="AI810" s="243"/>
      <c r="AJ810" s="243"/>
      <c r="AK810" s="243"/>
      <c r="AL810" s="243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</row>
    <row r="811" ht="16.5" customHeight="1">
      <c r="A811" s="243"/>
      <c r="B811" s="243"/>
      <c r="C811" s="243"/>
      <c r="D811" s="243"/>
      <c r="E811" s="243"/>
      <c r="F811" s="243"/>
      <c r="G811" s="243"/>
      <c r="H811" s="243"/>
      <c r="I811" s="243"/>
      <c r="J811" s="243"/>
      <c r="K811" s="243"/>
      <c r="L811" s="243"/>
      <c r="M811" s="243"/>
      <c r="N811" s="243"/>
      <c r="O811" s="243"/>
      <c r="P811" s="243"/>
      <c r="Q811" s="243"/>
      <c r="R811" s="243"/>
      <c r="S811" s="243"/>
      <c r="T811" s="243"/>
      <c r="U811" s="243"/>
      <c r="V811" s="243"/>
      <c r="W811" s="243"/>
      <c r="X811" s="243"/>
      <c r="Y811" s="243"/>
      <c r="Z811" s="243"/>
      <c r="AA811" s="243"/>
      <c r="AB811" s="243"/>
      <c r="AC811" s="243"/>
      <c r="AD811" s="243"/>
      <c r="AE811" s="243"/>
      <c r="AF811" s="243"/>
      <c r="AG811" s="243"/>
      <c r="AH811" s="243"/>
      <c r="AI811" s="243"/>
      <c r="AJ811" s="243"/>
      <c r="AK811" s="243"/>
      <c r="AL811" s="243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</row>
    <row r="812" ht="16.5" customHeight="1">
      <c r="A812" s="243"/>
      <c r="B812" s="243"/>
      <c r="C812" s="243"/>
      <c r="D812" s="243"/>
      <c r="E812" s="243"/>
      <c r="F812" s="243"/>
      <c r="G812" s="243"/>
      <c r="H812" s="243"/>
      <c r="I812" s="243"/>
      <c r="J812" s="243"/>
      <c r="K812" s="243"/>
      <c r="L812" s="243"/>
      <c r="M812" s="243"/>
      <c r="N812" s="243"/>
      <c r="O812" s="243"/>
      <c r="P812" s="243"/>
      <c r="Q812" s="243"/>
      <c r="R812" s="243"/>
      <c r="S812" s="243"/>
      <c r="T812" s="243"/>
      <c r="U812" s="243"/>
      <c r="V812" s="243"/>
      <c r="W812" s="243"/>
      <c r="X812" s="243"/>
      <c r="Y812" s="243"/>
      <c r="Z812" s="243"/>
      <c r="AA812" s="243"/>
      <c r="AB812" s="243"/>
      <c r="AC812" s="243"/>
      <c r="AD812" s="243"/>
      <c r="AE812" s="243"/>
      <c r="AF812" s="243"/>
      <c r="AG812" s="243"/>
      <c r="AH812" s="243"/>
      <c r="AI812" s="243"/>
      <c r="AJ812" s="243"/>
      <c r="AK812" s="243"/>
      <c r="AL812" s="243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</row>
    <row r="813" ht="16.5" customHeight="1">
      <c r="A813" s="243"/>
      <c r="B813" s="243"/>
      <c r="C813" s="243"/>
      <c r="D813" s="243"/>
      <c r="E813" s="243"/>
      <c r="F813" s="243"/>
      <c r="G813" s="243"/>
      <c r="H813" s="243"/>
      <c r="I813" s="243"/>
      <c r="J813" s="243"/>
      <c r="K813" s="243"/>
      <c r="L813" s="243"/>
      <c r="M813" s="243"/>
      <c r="N813" s="243"/>
      <c r="O813" s="243"/>
      <c r="P813" s="243"/>
      <c r="Q813" s="243"/>
      <c r="R813" s="243"/>
      <c r="S813" s="243"/>
      <c r="T813" s="243"/>
      <c r="U813" s="243"/>
      <c r="V813" s="243"/>
      <c r="W813" s="243"/>
      <c r="X813" s="243"/>
      <c r="Y813" s="243"/>
      <c r="Z813" s="243"/>
      <c r="AA813" s="243"/>
      <c r="AB813" s="243"/>
      <c r="AC813" s="243"/>
      <c r="AD813" s="243"/>
      <c r="AE813" s="243"/>
      <c r="AF813" s="243"/>
      <c r="AG813" s="243"/>
      <c r="AH813" s="243"/>
      <c r="AI813" s="243"/>
      <c r="AJ813" s="243"/>
      <c r="AK813" s="243"/>
      <c r="AL813" s="243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</row>
    <row r="814" ht="16.5" customHeight="1">
      <c r="A814" s="243"/>
      <c r="B814" s="243"/>
      <c r="C814" s="243"/>
      <c r="D814" s="243"/>
      <c r="E814" s="243"/>
      <c r="F814" s="243"/>
      <c r="G814" s="243"/>
      <c r="H814" s="243"/>
      <c r="I814" s="243"/>
      <c r="J814" s="243"/>
      <c r="K814" s="243"/>
      <c r="L814" s="243"/>
      <c r="M814" s="243"/>
      <c r="N814" s="243"/>
      <c r="O814" s="243"/>
      <c r="P814" s="243"/>
      <c r="Q814" s="243"/>
      <c r="R814" s="243"/>
      <c r="S814" s="243"/>
      <c r="T814" s="243"/>
      <c r="U814" s="243"/>
      <c r="V814" s="243"/>
      <c r="W814" s="243"/>
      <c r="X814" s="243"/>
      <c r="Y814" s="243"/>
      <c r="Z814" s="243"/>
      <c r="AA814" s="243"/>
      <c r="AB814" s="243"/>
      <c r="AC814" s="243"/>
      <c r="AD814" s="243"/>
      <c r="AE814" s="243"/>
      <c r="AF814" s="243"/>
      <c r="AG814" s="243"/>
      <c r="AH814" s="243"/>
      <c r="AI814" s="243"/>
      <c r="AJ814" s="243"/>
      <c r="AK814" s="243"/>
      <c r="AL814" s="243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</row>
    <row r="815" ht="16.5" customHeight="1">
      <c r="A815" s="243"/>
      <c r="B815" s="243"/>
      <c r="C815" s="243"/>
      <c r="D815" s="243"/>
      <c r="E815" s="243"/>
      <c r="F815" s="243"/>
      <c r="G815" s="243"/>
      <c r="H815" s="243"/>
      <c r="I815" s="243"/>
      <c r="J815" s="243"/>
      <c r="K815" s="243"/>
      <c r="L815" s="243"/>
      <c r="M815" s="243"/>
      <c r="N815" s="243"/>
      <c r="O815" s="243"/>
      <c r="P815" s="243"/>
      <c r="Q815" s="243"/>
      <c r="R815" s="243"/>
      <c r="S815" s="243"/>
      <c r="T815" s="243"/>
      <c r="U815" s="243"/>
      <c r="V815" s="243"/>
      <c r="W815" s="243"/>
      <c r="X815" s="243"/>
      <c r="Y815" s="243"/>
      <c r="Z815" s="243"/>
      <c r="AA815" s="243"/>
      <c r="AB815" s="243"/>
      <c r="AC815" s="243"/>
      <c r="AD815" s="243"/>
      <c r="AE815" s="243"/>
      <c r="AF815" s="243"/>
      <c r="AG815" s="243"/>
      <c r="AH815" s="243"/>
      <c r="AI815" s="243"/>
      <c r="AJ815" s="243"/>
      <c r="AK815" s="243"/>
      <c r="AL815" s="243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</row>
    <row r="816" ht="16.5" customHeight="1">
      <c r="A816" s="243"/>
      <c r="B816" s="243"/>
      <c r="C816" s="243"/>
      <c r="D816" s="243"/>
      <c r="E816" s="243"/>
      <c r="F816" s="243"/>
      <c r="G816" s="243"/>
      <c r="H816" s="243"/>
      <c r="I816" s="243"/>
      <c r="J816" s="243"/>
      <c r="K816" s="243"/>
      <c r="L816" s="243"/>
      <c r="M816" s="243"/>
      <c r="N816" s="243"/>
      <c r="O816" s="243"/>
      <c r="P816" s="243"/>
      <c r="Q816" s="243"/>
      <c r="R816" s="243"/>
      <c r="S816" s="243"/>
      <c r="T816" s="243"/>
      <c r="U816" s="243"/>
      <c r="V816" s="243"/>
      <c r="W816" s="243"/>
      <c r="X816" s="243"/>
      <c r="Y816" s="243"/>
      <c r="Z816" s="243"/>
      <c r="AA816" s="243"/>
      <c r="AB816" s="243"/>
      <c r="AC816" s="243"/>
      <c r="AD816" s="243"/>
      <c r="AE816" s="243"/>
      <c r="AF816" s="243"/>
      <c r="AG816" s="243"/>
      <c r="AH816" s="243"/>
      <c r="AI816" s="243"/>
      <c r="AJ816" s="243"/>
      <c r="AK816" s="243"/>
      <c r="AL816" s="243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</row>
    <row r="817" ht="16.5" customHeight="1">
      <c r="A817" s="243"/>
      <c r="B817" s="243"/>
      <c r="C817" s="243"/>
      <c r="D817" s="243"/>
      <c r="E817" s="243"/>
      <c r="F817" s="243"/>
      <c r="G817" s="243"/>
      <c r="H817" s="243"/>
      <c r="I817" s="243"/>
      <c r="J817" s="243"/>
      <c r="K817" s="243"/>
      <c r="L817" s="243"/>
      <c r="M817" s="243"/>
      <c r="N817" s="243"/>
      <c r="O817" s="243"/>
      <c r="P817" s="243"/>
      <c r="Q817" s="243"/>
      <c r="R817" s="243"/>
      <c r="S817" s="243"/>
      <c r="T817" s="243"/>
      <c r="U817" s="243"/>
      <c r="V817" s="243"/>
      <c r="W817" s="243"/>
      <c r="X817" s="243"/>
      <c r="Y817" s="243"/>
      <c r="Z817" s="243"/>
      <c r="AA817" s="243"/>
      <c r="AB817" s="243"/>
      <c r="AC817" s="243"/>
      <c r="AD817" s="243"/>
      <c r="AE817" s="243"/>
      <c r="AF817" s="243"/>
      <c r="AG817" s="243"/>
      <c r="AH817" s="243"/>
      <c r="AI817" s="243"/>
      <c r="AJ817" s="243"/>
      <c r="AK817" s="243"/>
      <c r="AL817" s="243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</row>
    <row r="818" ht="16.5" customHeight="1">
      <c r="A818" s="243"/>
      <c r="B818" s="243"/>
      <c r="C818" s="243"/>
      <c r="D818" s="243"/>
      <c r="E818" s="243"/>
      <c r="F818" s="243"/>
      <c r="G818" s="243"/>
      <c r="H818" s="243"/>
      <c r="I818" s="243"/>
      <c r="J818" s="243"/>
      <c r="K818" s="243"/>
      <c r="L818" s="243"/>
      <c r="M818" s="243"/>
      <c r="N818" s="243"/>
      <c r="O818" s="243"/>
      <c r="P818" s="243"/>
      <c r="Q818" s="243"/>
      <c r="R818" s="243"/>
      <c r="S818" s="243"/>
      <c r="T818" s="243"/>
      <c r="U818" s="243"/>
      <c r="V818" s="243"/>
      <c r="W818" s="243"/>
      <c r="X818" s="243"/>
      <c r="Y818" s="243"/>
      <c r="Z818" s="243"/>
      <c r="AA818" s="243"/>
      <c r="AB818" s="243"/>
      <c r="AC818" s="243"/>
      <c r="AD818" s="243"/>
      <c r="AE818" s="243"/>
      <c r="AF818" s="243"/>
      <c r="AG818" s="243"/>
      <c r="AH818" s="243"/>
      <c r="AI818" s="243"/>
      <c r="AJ818" s="243"/>
      <c r="AK818" s="243"/>
      <c r="AL818" s="243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</row>
    <row r="819" ht="16.5" customHeight="1">
      <c r="A819" s="243"/>
      <c r="B819" s="243"/>
      <c r="C819" s="243"/>
      <c r="D819" s="243"/>
      <c r="E819" s="243"/>
      <c r="F819" s="243"/>
      <c r="G819" s="243"/>
      <c r="H819" s="243"/>
      <c r="I819" s="243"/>
      <c r="J819" s="243"/>
      <c r="K819" s="243"/>
      <c r="L819" s="243"/>
      <c r="M819" s="243"/>
      <c r="N819" s="243"/>
      <c r="O819" s="243"/>
      <c r="P819" s="243"/>
      <c r="Q819" s="243"/>
      <c r="R819" s="243"/>
      <c r="S819" s="243"/>
      <c r="T819" s="243"/>
      <c r="U819" s="243"/>
      <c r="V819" s="243"/>
      <c r="W819" s="243"/>
      <c r="X819" s="243"/>
      <c r="Y819" s="243"/>
      <c r="Z819" s="243"/>
      <c r="AA819" s="243"/>
      <c r="AB819" s="243"/>
      <c r="AC819" s="243"/>
      <c r="AD819" s="243"/>
      <c r="AE819" s="243"/>
      <c r="AF819" s="243"/>
      <c r="AG819" s="243"/>
      <c r="AH819" s="243"/>
      <c r="AI819" s="243"/>
      <c r="AJ819" s="243"/>
      <c r="AK819" s="243"/>
      <c r="AL819" s="243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</row>
    <row r="820" ht="16.5" customHeight="1">
      <c r="A820" s="243"/>
      <c r="B820" s="243"/>
      <c r="C820" s="243"/>
      <c r="D820" s="243"/>
      <c r="E820" s="243"/>
      <c r="F820" s="243"/>
      <c r="G820" s="243"/>
      <c r="H820" s="243"/>
      <c r="I820" s="243"/>
      <c r="J820" s="243"/>
      <c r="K820" s="243"/>
      <c r="L820" s="243"/>
      <c r="M820" s="243"/>
      <c r="N820" s="243"/>
      <c r="O820" s="243"/>
      <c r="P820" s="243"/>
      <c r="Q820" s="243"/>
      <c r="R820" s="243"/>
      <c r="S820" s="243"/>
      <c r="T820" s="243"/>
      <c r="U820" s="243"/>
      <c r="V820" s="243"/>
      <c r="W820" s="243"/>
      <c r="X820" s="243"/>
      <c r="Y820" s="243"/>
      <c r="Z820" s="243"/>
      <c r="AA820" s="243"/>
      <c r="AB820" s="243"/>
      <c r="AC820" s="243"/>
      <c r="AD820" s="243"/>
      <c r="AE820" s="243"/>
      <c r="AF820" s="243"/>
      <c r="AG820" s="243"/>
      <c r="AH820" s="243"/>
      <c r="AI820" s="243"/>
      <c r="AJ820" s="243"/>
      <c r="AK820" s="243"/>
      <c r="AL820" s="243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</row>
    <row r="821" ht="16.5" customHeight="1">
      <c r="A821" s="243"/>
      <c r="B821" s="243"/>
      <c r="C821" s="243"/>
      <c r="D821" s="243"/>
      <c r="E821" s="243"/>
      <c r="F821" s="243"/>
      <c r="G821" s="243"/>
      <c r="H821" s="243"/>
      <c r="I821" s="243"/>
      <c r="J821" s="243"/>
      <c r="K821" s="243"/>
      <c r="L821" s="243"/>
      <c r="M821" s="243"/>
      <c r="N821" s="243"/>
      <c r="O821" s="243"/>
      <c r="P821" s="243"/>
      <c r="Q821" s="243"/>
      <c r="R821" s="243"/>
      <c r="S821" s="243"/>
      <c r="T821" s="243"/>
      <c r="U821" s="243"/>
      <c r="V821" s="243"/>
      <c r="W821" s="243"/>
      <c r="X821" s="243"/>
      <c r="Y821" s="243"/>
      <c r="Z821" s="243"/>
      <c r="AA821" s="243"/>
      <c r="AB821" s="243"/>
      <c r="AC821" s="243"/>
      <c r="AD821" s="243"/>
      <c r="AE821" s="243"/>
      <c r="AF821" s="243"/>
      <c r="AG821" s="243"/>
      <c r="AH821" s="243"/>
      <c r="AI821" s="243"/>
      <c r="AJ821" s="243"/>
      <c r="AK821" s="243"/>
      <c r="AL821" s="243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</row>
    <row r="822" ht="16.5" customHeight="1">
      <c r="A822" s="243"/>
      <c r="B822" s="243"/>
      <c r="C822" s="243"/>
      <c r="D822" s="243"/>
      <c r="E822" s="243"/>
      <c r="F822" s="243"/>
      <c r="G822" s="243"/>
      <c r="H822" s="243"/>
      <c r="I822" s="243"/>
      <c r="J822" s="243"/>
      <c r="K822" s="243"/>
      <c r="L822" s="243"/>
      <c r="M822" s="243"/>
      <c r="N822" s="243"/>
      <c r="O822" s="243"/>
      <c r="P822" s="243"/>
      <c r="Q822" s="243"/>
      <c r="R822" s="243"/>
      <c r="S822" s="243"/>
      <c r="T822" s="243"/>
      <c r="U822" s="243"/>
      <c r="V822" s="243"/>
      <c r="W822" s="243"/>
      <c r="X822" s="243"/>
      <c r="Y822" s="243"/>
      <c r="Z822" s="243"/>
      <c r="AA822" s="243"/>
      <c r="AB822" s="243"/>
      <c r="AC822" s="243"/>
      <c r="AD822" s="243"/>
      <c r="AE822" s="243"/>
      <c r="AF822" s="243"/>
      <c r="AG822" s="243"/>
      <c r="AH822" s="243"/>
      <c r="AI822" s="243"/>
      <c r="AJ822" s="243"/>
      <c r="AK822" s="243"/>
      <c r="AL822" s="243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</row>
    <row r="823" ht="16.5" customHeight="1">
      <c r="A823" s="243"/>
      <c r="B823" s="243"/>
      <c r="C823" s="243"/>
      <c r="D823" s="243"/>
      <c r="E823" s="243"/>
      <c r="F823" s="243"/>
      <c r="G823" s="243"/>
      <c r="H823" s="243"/>
      <c r="I823" s="243"/>
      <c r="J823" s="243"/>
      <c r="K823" s="243"/>
      <c r="L823" s="243"/>
      <c r="M823" s="243"/>
      <c r="N823" s="243"/>
      <c r="O823" s="243"/>
      <c r="P823" s="243"/>
      <c r="Q823" s="243"/>
      <c r="R823" s="243"/>
      <c r="S823" s="243"/>
      <c r="T823" s="243"/>
      <c r="U823" s="243"/>
      <c r="V823" s="243"/>
      <c r="W823" s="243"/>
      <c r="X823" s="243"/>
      <c r="Y823" s="243"/>
      <c r="Z823" s="243"/>
      <c r="AA823" s="243"/>
      <c r="AB823" s="243"/>
      <c r="AC823" s="243"/>
      <c r="AD823" s="243"/>
      <c r="AE823" s="243"/>
      <c r="AF823" s="243"/>
      <c r="AG823" s="243"/>
      <c r="AH823" s="243"/>
      <c r="AI823" s="243"/>
      <c r="AJ823" s="243"/>
      <c r="AK823" s="243"/>
      <c r="AL823" s="243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</row>
    <row r="824" ht="16.5" customHeight="1">
      <c r="A824" s="243"/>
      <c r="B824" s="243"/>
      <c r="C824" s="243"/>
      <c r="D824" s="243"/>
      <c r="E824" s="243"/>
      <c r="F824" s="243"/>
      <c r="G824" s="243"/>
      <c r="H824" s="243"/>
      <c r="I824" s="243"/>
      <c r="J824" s="243"/>
      <c r="K824" s="243"/>
      <c r="L824" s="243"/>
      <c r="M824" s="243"/>
      <c r="N824" s="243"/>
      <c r="O824" s="243"/>
      <c r="P824" s="243"/>
      <c r="Q824" s="243"/>
      <c r="R824" s="243"/>
      <c r="S824" s="243"/>
      <c r="T824" s="243"/>
      <c r="U824" s="243"/>
      <c r="V824" s="243"/>
      <c r="W824" s="243"/>
      <c r="X824" s="243"/>
      <c r="Y824" s="243"/>
      <c r="Z824" s="243"/>
      <c r="AA824" s="243"/>
      <c r="AB824" s="243"/>
      <c r="AC824" s="243"/>
      <c r="AD824" s="243"/>
      <c r="AE824" s="243"/>
      <c r="AF824" s="243"/>
      <c r="AG824" s="243"/>
      <c r="AH824" s="243"/>
      <c r="AI824" s="243"/>
      <c r="AJ824" s="243"/>
      <c r="AK824" s="243"/>
      <c r="AL824" s="243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</row>
    <row r="825" ht="16.5" customHeight="1">
      <c r="A825" s="243"/>
      <c r="B825" s="243"/>
      <c r="C825" s="243"/>
      <c r="D825" s="243"/>
      <c r="E825" s="243"/>
      <c r="F825" s="243"/>
      <c r="G825" s="243"/>
      <c r="H825" s="243"/>
      <c r="I825" s="243"/>
      <c r="J825" s="243"/>
      <c r="K825" s="243"/>
      <c r="L825" s="243"/>
      <c r="M825" s="243"/>
      <c r="N825" s="243"/>
      <c r="O825" s="243"/>
      <c r="P825" s="243"/>
      <c r="Q825" s="243"/>
      <c r="R825" s="243"/>
      <c r="S825" s="243"/>
      <c r="T825" s="243"/>
      <c r="U825" s="243"/>
      <c r="V825" s="243"/>
      <c r="W825" s="243"/>
      <c r="X825" s="243"/>
      <c r="Y825" s="243"/>
      <c r="Z825" s="243"/>
      <c r="AA825" s="243"/>
      <c r="AB825" s="243"/>
      <c r="AC825" s="243"/>
      <c r="AD825" s="243"/>
      <c r="AE825" s="243"/>
      <c r="AF825" s="243"/>
      <c r="AG825" s="243"/>
      <c r="AH825" s="243"/>
      <c r="AI825" s="243"/>
      <c r="AJ825" s="243"/>
      <c r="AK825" s="243"/>
      <c r="AL825" s="243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</row>
    <row r="826" ht="16.5" customHeight="1">
      <c r="A826" s="243"/>
      <c r="B826" s="243"/>
      <c r="C826" s="243"/>
      <c r="D826" s="243"/>
      <c r="E826" s="243"/>
      <c r="F826" s="243"/>
      <c r="G826" s="243"/>
      <c r="H826" s="243"/>
      <c r="I826" s="243"/>
      <c r="J826" s="243"/>
      <c r="K826" s="243"/>
      <c r="L826" s="243"/>
      <c r="M826" s="243"/>
      <c r="N826" s="243"/>
      <c r="O826" s="243"/>
      <c r="P826" s="243"/>
      <c r="Q826" s="243"/>
      <c r="R826" s="243"/>
      <c r="S826" s="243"/>
      <c r="T826" s="243"/>
      <c r="U826" s="243"/>
      <c r="V826" s="243"/>
      <c r="W826" s="243"/>
      <c r="X826" s="243"/>
      <c r="Y826" s="243"/>
      <c r="Z826" s="243"/>
      <c r="AA826" s="243"/>
      <c r="AB826" s="243"/>
      <c r="AC826" s="243"/>
      <c r="AD826" s="243"/>
      <c r="AE826" s="243"/>
      <c r="AF826" s="243"/>
      <c r="AG826" s="243"/>
      <c r="AH826" s="243"/>
      <c r="AI826" s="243"/>
      <c r="AJ826" s="243"/>
      <c r="AK826" s="243"/>
      <c r="AL826" s="243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</row>
    <row r="827" ht="16.5" customHeight="1">
      <c r="A827" s="243"/>
      <c r="B827" s="243"/>
      <c r="C827" s="243"/>
      <c r="D827" s="243"/>
      <c r="E827" s="243"/>
      <c r="F827" s="243"/>
      <c r="G827" s="243"/>
      <c r="H827" s="243"/>
      <c r="I827" s="243"/>
      <c r="J827" s="243"/>
      <c r="K827" s="243"/>
      <c r="L827" s="243"/>
      <c r="M827" s="243"/>
      <c r="N827" s="243"/>
      <c r="O827" s="243"/>
      <c r="P827" s="243"/>
      <c r="Q827" s="243"/>
      <c r="R827" s="243"/>
      <c r="S827" s="243"/>
      <c r="T827" s="243"/>
      <c r="U827" s="243"/>
      <c r="V827" s="243"/>
      <c r="W827" s="243"/>
      <c r="X827" s="243"/>
      <c r="Y827" s="243"/>
      <c r="Z827" s="243"/>
      <c r="AA827" s="243"/>
      <c r="AB827" s="243"/>
      <c r="AC827" s="243"/>
      <c r="AD827" s="243"/>
      <c r="AE827" s="243"/>
      <c r="AF827" s="243"/>
      <c r="AG827" s="243"/>
      <c r="AH827" s="243"/>
      <c r="AI827" s="243"/>
      <c r="AJ827" s="243"/>
      <c r="AK827" s="243"/>
      <c r="AL827" s="243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</row>
    <row r="828" ht="16.5" customHeight="1">
      <c r="A828" s="243"/>
      <c r="B828" s="243"/>
      <c r="C828" s="243"/>
      <c r="D828" s="243"/>
      <c r="E828" s="243"/>
      <c r="F828" s="243"/>
      <c r="G828" s="243"/>
      <c r="H828" s="243"/>
      <c r="I828" s="243"/>
      <c r="J828" s="243"/>
      <c r="K828" s="243"/>
      <c r="L828" s="243"/>
      <c r="M828" s="243"/>
      <c r="N828" s="243"/>
      <c r="O828" s="243"/>
      <c r="P828" s="243"/>
      <c r="Q828" s="243"/>
      <c r="R828" s="243"/>
      <c r="S828" s="243"/>
      <c r="T828" s="243"/>
      <c r="U828" s="243"/>
      <c r="V828" s="243"/>
      <c r="W828" s="243"/>
      <c r="X828" s="243"/>
      <c r="Y828" s="243"/>
      <c r="Z828" s="243"/>
      <c r="AA828" s="243"/>
      <c r="AB828" s="243"/>
      <c r="AC828" s="243"/>
      <c r="AD828" s="243"/>
      <c r="AE828" s="243"/>
      <c r="AF828" s="243"/>
      <c r="AG828" s="243"/>
      <c r="AH828" s="243"/>
      <c r="AI828" s="243"/>
      <c r="AJ828" s="243"/>
      <c r="AK828" s="243"/>
      <c r="AL828" s="243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</row>
    <row r="829" ht="16.5" customHeight="1">
      <c r="A829" s="243"/>
      <c r="B829" s="243"/>
      <c r="C829" s="243"/>
      <c r="D829" s="243"/>
      <c r="E829" s="243"/>
      <c r="F829" s="243"/>
      <c r="G829" s="243"/>
      <c r="H829" s="243"/>
      <c r="I829" s="243"/>
      <c r="J829" s="243"/>
      <c r="K829" s="243"/>
      <c r="L829" s="243"/>
      <c r="M829" s="243"/>
      <c r="N829" s="243"/>
      <c r="O829" s="243"/>
      <c r="P829" s="243"/>
      <c r="Q829" s="243"/>
      <c r="R829" s="243"/>
      <c r="S829" s="243"/>
      <c r="T829" s="243"/>
      <c r="U829" s="243"/>
      <c r="V829" s="243"/>
      <c r="W829" s="243"/>
      <c r="X829" s="243"/>
      <c r="Y829" s="243"/>
      <c r="Z829" s="243"/>
      <c r="AA829" s="243"/>
      <c r="AB829" s="243"/>
      <c r="AC829" s="243"/>
      <c r="AD829" s="243"/>
      <c r="AE829" s="243"/>
      <c r="AF829" s="243"/>
      <c r="AG829" s="243"/>
      <c r="AH829" s="243"/>
      <c r="AI829" s="243"/>
      <c r="AJ829" s="243"/>
      <c r="AK829" s="243"/>
      <c r="AL829" s="243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</row>
    <row r="830" ht="16.5" customHeight="1">
      <c r="A830" s="243"/>
      <c r="B830" s="243"/>
      <c r="C830" s="243"/>
      <c r="D830" s="243"/>
      <c r="E830" s="243"/>
      <c r="F830" s="243"/>
      <c r="G830" s="243"/>
      <c r="H830" s="243"/>
      <c r="I830" s="243"/>
      <c r="J830" s="243"/>
      <c r="K830" s="243"/>
      <c r="L830" s="243"/>
      <c r="M830" s="243"/>
      <c r="N830" s="243"/>
      <c r="O830" s="243"/>
      <c r="P830" s="243"/>
      <c r="Q830" s="243"/>
      <c r="R830" s="243"/>
      <c r="S830" s="243"/>
      <c r="T830" s="243"/>
      <c r="U830" s="243"/>
      <c r="V830" s="243"/>
      <c r="W830" s="243"/>
      <c r="X830" s="243"/>
      <c r="Y830" s="243"/>
      <c r="Z830" s="243"/>
      <c r="AA830" s="243"/>
      <c r="AB830" s="243"/>
      <c r="AC830" s="243"/>
      <c r="AD830" s="243"/>
      <c r="AE830" s="243"/>
      <c r="AF830" s="243"/>
      <c r="AG830" s="243"/>
      <c r="AH830" s="243"/>
      <c r="AI830" s="243"/>
      <c r="AJ830" s="243"/>
      <c r="AK830" s="243"/>
      <c r="AL830" s="243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</row>
    <row r="831" ht="16.5" customHeight="1">
      <c r="A831" s="243"/>
      <c r="B831" s="243"/>
      <c r="C831" s="243"/>
      <c r="D831" s="243"/>
      <c r="E831" s="243"/>
      <c r="F831" s="243"/>
      <c r="G831" s="243"/>
      <c r="H831" s="243"/>
      <c r="I831" s="243"/>
      <c r="J831" s="243"/>
      <c r="K831" s="243"/>
      <c r="L831" s="243"/>
      <c r="M831" s="243"/>
      <c r="N831" s="243"/>
      <c r="O831" s="243"/>
      <c r="P831" s="243"/>
      <c r="Q831" s="243"/>
      <c r="R831" s="243"/>
      <c r="S831" s="243"/>
      <c r="T831" s="243"/>
      <c r="U831" s="243"/>
      <c r="V831" s="243"/>
      <c r="W831" s="243"/>
      <c r="X831" s="243"/>
      <c r="Y831" s="243"/>
      <c r="Z831" s="243"/>
      <c r="AA831" s="243"/>
      <c r="AB831" s="243"/>
      <c r="AC831" s="243"/>
      <c r="AD831" s="243"/>
      <c r="AE831" s="243"/>
      <c r="AF831" s="243"/>
      <c r="AG831" s="243"/>
      <c r="AH831" s="243"/>
      <c r="AI831" s="243"/>
      <c r="AJ831" s="243"/>
      <c r="AK831" s="243"/>
      <c r="AL831" s="243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</row>
    <row r="832" ht="16.5" customHeight="1">
      <c r="A832" s="243"/>
      <c r="B832" s="243"/>
      <c r="C832" s="243"/>
      <c r="D832" s="243"/>
      <c r="E832" s="243"/>
      <c r="F832" s="243"/>
      <c r="G832" s="243"/>
      <c r="H832" s="243"/>
      <c r="I832" s="243"/>
      <c r="J832" s="243"/>
      <c r="K832" s="243"/>
      <c r="L832" s="243"/>
      <c r="M832" s="243"/>
      <c r="N832" s="243"/>
      <c r="O832" s="243"/>
      <c r="P832" s="243"/>
      <c r="Q832" s="243"/>
      <c r="R832" s="243"/>
      <c r="S832" s="243"/>
      <c r="T832" s="243"/>
      <c r="U832" s="243"/>
      <c r="V832" s="243"/>
      <c r="W832" s="243"/>
      <c r="X832" s="243"/>
      <c r="Y832" s="243"/>
      <c r="Z832" s="243"/>
      <c r="AA832" s="243"/>
      <c r="AB832" s="243"/>
      <c r="AC832" s="243"/>
      <c r="AD832" s="243"/>
      <c r="AE832" s="243"/>
      <c r="AF832" s="243"/>
      <c r="AG832" s="243"/>
      <c r="AH832" s="243"/>
      <c r="AI832" s="243"/>
      <c r="AJ832" s="243"/>
      <c r="AK832" s="243"/>
      <c r="AL832" s="243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</row>
    <row r="833" ht="16.5" customHeight="1">
      <c r="A833" s="243"/>
      <c r="B833" s="243"/>
      <c r="C833" s="243"/>
      <c r="D833" s="243"/>
      <c r="E833" s="243"/>
      <c r="F833" s="243"/>
      <c r="G833" s="243"/>
      <c r="H833" s="243"/>
      <c r="I833" s="243"/>
      <c r="J833" s="243"/>
      <c r="K833" s="243"/>
      <c r="L833" s="243"/>
      <c r="M833" s="243"/>
      <c r="N833" s="243"/>
      <c r="O833" s="243"/>
      <c r="P833" s="243"/>
      <c r="Q833" s="243"/>
      <c r="R833" s="243"/>
      <c r="S833" s="243"/>
      <c r="T833" s="243"/>
      <c r="U833" s="243"/>
      <c r="V833" s="243"/>
      <c r="W833" s="243"/>
      <c r="X833" s="243"/>
      <c r="Y833" s="243"/>
      <c r="Z833" s="243"/>
      <c r="AA833" s="243"/>
      <c r="AB833" s="243"/>
      <c r="AC833" s="243"/>
      <c r="AD833" s="243"/>
      <c r="AE833" s="243"/>
      <c r="AF833" s="243"/>
      <c r="AG833" s="243"/>
      <c r="AH833" s="243"/>
      <c r="AI833" s="243"/>
      <c r="AJ833" s="243"/>
      <c r="AK833" s="243"/>
      <c r="AL833" s="243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</row>
    <row r="834" ht="16.5" customHeight="1">
      <c r="A834" s="243"/>
      <c r="B834" s="243"/>
      <c r="C834" s="243"/>
      <c r="D834" s="243"/>
      <c r="E834" s="243"/>
      <c r="F834" s="243"/>
      <c r="G834" s="243"/>
      <c r="H834" s="243"/>
      <c r="I834" s="243"/>
      <c r="J834" s="243"/>
      <c r="K834" s="243"/>
      <c r="L834" s="243"/>
      <c r="M834" s="243"/>
      <c r="N834" s="243"/>
      <c r="O834" s="243"/>
      <c r="P834" s="243"/>
      <c r="Q834" s="243"/>
      <c r="R834" s="243"/>
      <c r="S834" s="243"/>
      <c r="T834" s="243"/>
      <c r="U834" s="243"/>
      <c r="V834" s="243"/>
      <c r="W834" s="243"/>
      <c r="X834" s="243"/>
      <c r="Y834" s="243"/>
      <c r="Z834" s="243"/>
      <c r="AA834" s="243"/>
      <c r="AB834" s="243"/>
      <c r="AC834" s="243"/>
      <c r="AD834" s="243"/>
      <c r="AE834" s="243"/>
      <c r="AF834" s="243"/>
      <c r="AG834" s="243"/>
      <c r="AH834" s="243"/>
      <c r="AI834" s="243"/>
      <c r="AJ834" s="243"/>
      <c r="AK834" s="243"/>
      <c r="AL834" s="243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</row>
    <row r="835" ht="16.5" customHeight="1">
      <c r="A835" s="243"/>
      <c r="B835" s="243"/>
      <c r="C835" s="243"/>
      <c r="D835" s="243"/>
      <c r="E835" s="243"/>
      <c r="F835" s="243"/>
      <c r="G835" s="243"/>
      <c r="H835" s="243"/>
      <c r="I835" s="243"/>
      <c r="J835" s="243"/>
      <c r="K835" s="243"/>
      <c r="L835" s="243"/>
      <c r="M835" s="243"/>
      <c r="N835" s="243"/>
      <c r="O835" s="243"/>
      <c r="P835" s="243"/>
      <c r="Q835" s="243"/>
      <c r="R835" s="243"/>
      <c r="S835" s="243"/>
      <c r="T835" s="243"/>
      <c r="U835" s="243"/>
      <c r="V835" s="243"/>
      <c r="W835" s="243"/>
      <c r="X835" s="243"/>
      <c r="Y835" s="243"/>
      <c r="Z835" s="243"/>
      <c r="AA835" s="243"/>
      <c r="AB835" s="243"/>
      <c r="AC835" s="243"/>
      <c r="AD835" s="243"/>
      <c r="AE835" s="243"/>
      <c r="AF835" s="243"/>
      <c r="AG835" s="243"/>
      <c r="AH835" s="243"/>
      <c r="AI835" s="243"/>
      <c r="AJ835" s="243"/>
      <c r="AK835" s="243"/>
      <c r="AL835" s="243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</row>
    <row r="836" ht="16.5" customHeight="1">
      <c r="A836" s="243"/>
      <c r="B836" s="243"/>
      <c r="C836" s="243"/>
      <c r="D836" s="243"/>
      <c r="E836" s="243"/>
      <c r="F836" s="243"/>
      <c r="G836" s="243"/>
      <c r="H836" s="243"/>
      <c r="I836" s="243"/>
      <c r="J836" s="243"/>
      <c r="K836" s="243"/>
      <c r="L836" s="243"/>
      <c r="M836" s="243"/>
      <c r="N836" s="243"/>
      <c r="O836" s="243"/>
      <c r="P836" s="243"/>
      <c r="Q836" s="243"/>
      <c r="R836" s="243"/>
      <c r="S836" s="243"/>
      <c r="T836" s="243"/>
      <c r="U836" s="243"/>
      <c r="V836" s="243"/>
      <c r="W836" s="243"/>
      <c r="X836" s="243"/>
      <c r="Y836" s="243"/>
      <c r="Z836" s="243"/>
      <c r="AA836" s="243"/>
      <c r="AB836" s="243"/>
      <c r="AC836" s="243"/>
      <c r="AD836" s="243"/>
      <c r="AE836" s="243"/>
      <c r="AF836" s="243"/>
      <c r="AG836" s="243"/>
      <c r="AH836" s="243"/>
      <c r="AI836" s="243"/>
      <c r="AJ836" s="243"/>
      <c r="AK836" s="243"/>
      <c r="AL836" s="243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</row>
    <row r="837" ht="16.5" customHeight="1">
      <c r="A837" s="243"/>
      <c r="B837" s="243"/>
      <c r="C837" s="243"/>
      <c r="D837" s="243"/>
      <c r="E837" s="243"/>
      <c r="F837" s="243"/>
      <c r="G837" s="243"/>
      <c r="H837" s="243"/>
      <c r="I837" s="243"/>
      <c r="J837" s="243"/>
      <c r="K837" s="243"/>
      <c r="L837" s="243"/>
      <c r="M837" s="243"/>
      <c r="N837" s="243"/>
      <c r="O837" s="243"/>
      <c r="P837" s="243"/>
      <c r="Q837" s="243"/>
      <c r="R837" s="243"/>
      <c r="S837" s="243"/>
      <c r="T837" s="243"/>
      <c r="U837" s="243"/>
      <c r="V837" s="243"/>
      <c r="W837" s="243"/>
      <c r="X837" s="243"/>
      <c r="Y837" s="243"/>
      <c r="Z837" s="243"/>
      <c r="AA837" s="243"/>
      <c r="AB837" s="243"/>
      <c r="AC837" s="243"/>
      <c r="AD837" s="243"/>
      <c r="AE837" s="243"/>
      <c r="AF837" s="243"/>
      <c r="AG837" s="243"/>
      <c r="AH837" s="243"/>
      <c r="AI837" s="243"/>
      <c r="AJ837" s="243"/>
      <c r="AK837" s="243"/>
      <c r="AL837" s="243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</row>
    <row r="838" ht="16.5" customHeight="1">
      <c r="A838" s="243"/>
      <c r="B838" s="243"/>
      <c r="C838" s="243"/>
      <c r="D838" s="243"/>
      <c r="E838" s="243"/>
      <c r="F838" s="243"/>
      <c r="G838" s="243"/>
      <c r="H838" s="243"/>
      <c r="I838" s="243"/>
      <c r="J838" s="243"/>
      <c r="K838" s="243"/>
      <c r="L838" s="243"/>
      <c r="M838" s="243"/>
      <c r="N838" s="243"/>
      <c r="O838" s="243"/>
      <c r="P838" s="243"/>
      <c r="Q838" s="243"/>
      <c r="R838" s="243"/>
      <c r="S838" s="243"/>
      <c r="T838" s="243"/>
      <c r="U838" s="243"/>
      <c r="V838" s="243"/>
      <c r="W838" s="243"/>
      <c r="X838" s="243"/>
      <c r="Y838" s="243"/>
      <c r="Z838" s="243"/>
      <c r="AA838" s="243"/>
      <c r="AB838" s="243"/>
      <c r="AC838" s="243"/>
      <c r="AD838" s="243"/>
      <c r="AE838" s="243"/>
      <c r="AF838" s="243"/>
      <c r="AG838" s="243"/>
      <c r="AH838" s="243"/>
      <c r="AI838" s="243"/>
      <c r="AJ838" s="243"/>
      <c r="AK838" s="243"/>
      <c r="AL838" s="243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</row>
    <row r="839" ht="16.5" customHeight="1">
      <c r="A839" s="243"/>
      <c r="B839" s="243"/>
      <c r="C839" s="243"/>
      <c r="D839" s="243"/>
      <c r="E839" s="243"/>
      <c r="F839" s="243"/>
      <c r="G839" s="243"/>
      <c r="H839" s="243"/>
      <c r="I839" s="243"/>
      <c r="J839" s="243"/>
      <c r="K839" s="243"/>
      <c r="L839" s="243"/>
      <c r="M839" s="243"/>
      <c r="N839" s="243"/>
      <c r="O839" s="243"/>
      <c r="P839" s="243"/>
      <c r="Q839" s="243"/>
      <c r="R839" s="243"/>
      <c r="S839" s="243"/>
      <c r="T839" s="243"/>
      <c r="U839" s="243"/>
      <c r="V839" s="243"/>
      <c r="W839" s="243"/>
      <c r="X839" s="243"/>
      <c r="Y839" s="243"/>
      <c r="Z839" s="243"/>
      <c r="AA839" s="243"/>
      <c r="AB839" s="243"/>
      <c r="AC839" s="243"/>
      <c r="AD839" s="243"/>
      <c r="AE839" s="243"/>
      <c r="AF839" s="243"/>
      <c r="AG839" s="243"/>
      <c r="AH839" s="243"/>
      <c r="AI839" s="243"/>
      <c r="AJ839" s="243"/>
      <c r="AK839" s="243"/>
      <c r="AL839" s="243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</row>
    <row r="840" ht="16.5" customHeight="1">
      <c r="A840" s="243"/>
      <c r="B840" s="243"/>
      <c r="C840" s="243"/>
      <c r="D840" s="243"/>
      <c r="E840" s="243"/>
      <c r="F840" s="243"/>
      <c r="G840" s="243"/>
      <c r="H840" s="243"/>
      <c r="I840" s="243"/>
      <c r="J840" s="243"/>
      <c r="K840" s="243"/>
      <c r="L840" s="243"/>
      <c r="M840" s="243"/>
      <c r="N840" s="243"/>
      <c r="O840" s="243"/>
      <c r="P840" s="243"/>
      <c r="Q840" s="243"/>
      <c r="R840" s="243"/>
      <c r="S840" s="243"/>
      <c r="T840" s="243"/>
      <c r="U840" s="243"/>
      <c r="V840" s="243"/>
      <c r="W840" s="243"/>
      <c r="X840" s="243"/>
      <c r="Y840" s="243"/>
      <c r="Z840" s="243"/>
      <c r="AA840" s="243"/>
      <c r="AB840" s="243"/>
      <c r="AC840" s="243"/>
      <c r="AD840" s="243"/>
      <c r="AE840" s="243"/>
      <c r="AF840" s="243"/>
      <c r="AG840" s="243"/>
      <c r="AH840" s="243"/>
      <c r="AI840" s="243"/>
      <c r="AJ840" s="243"/>
      <c r="AK840" s="243"/>
      <c r="AL840" s="243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</row>
    <row r="841" ht="16.5" customHeight="1">
      <c r="A841" s="243"/>
      <c r="B841" s="243"/>
      <c r="C841" s="243"/>
      <c r="D841" s="243"/>
      <c r="E841" s="243"/>
      <c r="F841" s="243"/>
      <c r="G841" s="243"/>
      <c r="H841" s="243"/>
      <c r="I841" s="243"/>
      <c r="J841" s="243"/>
      <c r="K841" s="243"/>
      <c r="L841" s="243"/>
      <c r="M841" s="243"/>
      <c r="N841" s="243"/>
      <c r="O841" s="243"/>
      <c r="P841" s="243"/>
      <c r="Q841" s="243"/>
      <c r="R841" s="243"/>
      <c r="S841" s="243"/>
      <c r="T841" s="243"/>
      <c r="U841" s="243"/>
      <c r="V841" s="243"/>
      <c r="W841" s="243"/>
      <c r="X841" s="243"/>
      <c r="Y841" s="243"/>
      <c r="Z841" s="243"/>
      <c r="AA841" s="243"/>
      <c r="AB841" s="243"/>
      <c r="AC841" s="243"/>
      <c r="AD841" s="243"/>
      <c r="AE841" s="243"/>
      <c r="AF841" s="243"/>
      <c r="AG841" s="243"/>
      <c r="AH841" s="243"/>
      <c r="AI841" s="243"/>
      <c r="AJ841" s="243"/>
      <c r="AK841" s="243"/>
      <c r="AL841" s="243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</row>
    <row r="842" ht="16.5" customHeight="1">
      <c r="A842" s="243"/>
      <c r="B842" s="243"/>
      <c r="C842" s="243"/>
      <c r="D842" s="243"/>
      <c r="E842" s="243"/>
      <c r="F842" s="243"/>
      <c r="G842" s="243"/>
      <c r="H842" s="243"/>
      <c r="I842" s="243"/>
      <c r="J842" s="243"/>
      <c r="K842" s="243"/>
      <c r="L842" s="243"/>
      <c r="M842" s="243"/>
      <c r="N842" s="243"/>
      <c r="O842" s="243"/>
      <c r="P842" s="243"/>
      <c r="Q842" s="243"/>
      <c r="R842" s="243"/>
      <c r="S842" s="243"/>
      <c r="T842" s="243"/>
      <c r="U842" s="243"/>
      <c r="V842" s="243"/>
      <c r="W842" s="243"/>
      <c r="X842" s="243"/>
      <c r="Y842" s="243"/>
      <c r="Z842" s="243"/>
      <c r="AA842" s="243"/>
      <c r="AB842" s="243"/>
      <c r="AC842" s="243"/>
      <c r="AD842" s="243"/>
      <c r="AE842" s="243"/>
      <c r="AF842" s="243"/>
      <c r="AG842" s="243"/>
      <c r="AH842" s="243"/>
      <c r="AI842" s="243"/>
      <c r="AJ842" s="243"/>
      <c r="AK842" s="243"/>
      <c r="AL842" s="243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</row>
    <row r="843" ht="16.5" customHeight="1">
      <c r="A843" s="243"/>
      <c r="B843" s="243"/>
      <c r="C843" s="243"/>
      <c r="D843" s="243"/>
      <c r="E843" s="243"/>
      <c r="F843" s="243"/>
      <c r="G843" s="243"/>
      <c r="H843" s="243"/>
      <c r="I843" s="243"/>
      <c r="J843" s="243"/>
      <c r="K843" s="243"/>
      <c r="L843" s="243"/>
      <c r="M843" s="243"/>
      <c r="N843" s="243"/>
      <c r="O843" s="243"/>
      <c r="P843" s="243"/>
      <c r="Q843" s="243"/>
      <c r="R843" s="243"/>
      <c r="S843" s="243"/>
      <c r="T843" s="243"/>
      <c r="U843" s="243"/>
      <c r="V843" s="243"/>
      <c r="W843" s="243"/>
      <c r="X843" s="243"/>
      <c r="Y843" s="243"/>
      <c r="Z843" s="243"/>
      <c r="AA843" s="243"/>
      <c r="AB843" s="243"/>
      <c r="AC843" s="243"/>
      <c r="AD843" s="243"/>
      <c r="AE843" s="243"/>
      <c r="AF843" s="243"/>
      <c r="AG843" s="243"/>
      <c r="AH843" s="243"/>
      <c r="AI843" s="243"/>
      <c r="AJ843" s="243"/>
      <c r="AK843" s="243"/>
      <c r="AL843" s="243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</row>
    <row r="844" ht="16.5" customHeight="1">
      <c r="A844" s="243"/>
      <c r="B844" s="243"/>
      <c r="C844" s="243"/>
      <c r="D844" s="243"/>
      <c r="E844" s="243"/>
      <c r="F844" s="243"/>
      <c r="G844" s="243"/>
      <c r="H844" s="243"/>
      <c r="I844" s="243"/>
      <c r="J844" s="243"/>
      <c r="K844" s="243"/>
      <c r="L844" s="243"/>
      <c r="M844" s="243"/>
      <c r="N844" s="243"/>
      <c r="O844" s="243"/>
      <c r="P844" s="243"/>
      <c r="Q844" s="243"/>
      <c r="R844" s="243"/>
      <c r="S844" s="243"/>
      <c r="T844" s="243"/>
      <c r="U844" s="243"/>
      <c r="V844" s="243"/>
      <c r="W844" s="243"/>
      <c r="X844" s="243"/>
      <c r="Y844" s="243"/>
      <c r="Z844" s="243"/>
      <c r="AA844" s="243"/>
      <c r="AB844" s="243"/>
      <c r="AC844" s="243"/>
      <c r="AD844" s="243"/>
      <c r="AE844" s="243"/>
      <c r="AF844" s="243"/>
      <c r="AG844" s="243"/>
      <c r="AH844" s="243"/>
      <c r="AI844" s="243"/>
      <c r="AJ844" s="243"/>
      <c r="AK844" s="243"/>
      <c r="AL844" s="243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</row>
    <row r="845" ht="16.5" customHeight="1">
      <c r="A845" s="243"/>
      <c r="B845" s="243"/>
      <c r="C845" s="243"/>
      <c r="D845" s="243"/>
      <c r="E845" s="243"/>
      <c r="F845" s="243"/>
      <c r="G845" s="243"/>
      <c r="H845" s="243"/>
      <c r="I845" s="243"/>
      <c r="J845" s="243"/>
      <c r="K845" s="243"/>
      <c r="L845" s="243"/>
      <c r="M845" s="243"/>
      <c r="N845" s="243"/>
      <c r="O845" s="243"/>
      <c r="P845" s="243"/>
      <c r="Q845" s="243"/>
      <c r="R845" s="243"/>
      <c r="S845" s="243"/>
      <c r="T845" s="243"/>
      <c r="U845" s="243"/>
      <c r="V845" s="243"/>
      <c r="W845" s="243"/>
      <c r="X845" s="243"/>
      <c r="Y845" s="243"/>
      <c r="Z845" s="243"/>
      <c r="AA845" s="243"/>
      <c r="AB845" s="243"/>
      <c r="AC845" s="243"/>
      <c r="AD845" s="243"/>
      <c r="AE845" s="243"/>
      <c r="AF845" s="243"/>
      <c r="AG845" s="243"/>
      <c r="AH845" s="243"/>
      <c r="AI845" s="243"/>
      <c r="AJ845" s="243"/>
      <c r="AK845" s="243"/>
      <c r="AL845" s="243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</row>
    <row r="846" ht="16.5" customHeight="1">
      <c r="A846" s="243"/>
      <c r="B846" s="243"/>
      <c r="C846" s="243"/>
      <c r="D846" s="243"/>
      <c r="E846" s="243"/>
      <c r="F846" s="243"/>
      <c r="G846" s="243"/>
      <c r="H846" s="243"/>
      <c r="I846" s="243"/>
      <c r="J846" s="243"/>
      <c r="K846" s="243"/>
      <c r="L846" s="243"/>
      <c r="M846" s="243"/>
      <c r="N846" s="243"/>
      <c r="O846" s="243"/>
      <c r="P846" s="243"/>
      <c r="Q846" s="243"/>
      <c r="R846" s="243"/>
      <c r="S846" s="243"/>
      <c r="T846" s="243"/>
      <c r="U846" s="243"/>
      <c r="V846" s="243"/>
      <c r="W846" s="243"/>
      <c r="X846" s="243"/>
      <c r="Y846" s="243"/>
      <c r="Z846" s="243"/>
      <c r="AA846" s="243"/>
      <c r="AB846" s="243"/>
      <c r="AC846" s="243"/>
      <c r="AD846" s="243"/>
      <c r="AE846" s="243"/>
      <c r="AF846" s="243"/>
      <c r="AG846" s="243"/>
      <c r="AH846" s="243"/>
      <c r="AI846" s="243"/>
      <c r="AJ846" s="243"/>
      <c r="AK846" s="243"/>
      <c r="AL846" s="243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</row>
    <row r="847" ht="16.5" customHeight="1">
      <c r="A847" s="243"/>
      <c r="B847" s="243"/>
      <c r="C847" s="243"/>
      <c r="D847" s="243"/>
      <c r="E847" s="243"/>
      <c r="F847" s="243"/>
      <c r="G847" s="243"/>
      <c r="H847" s="243"/>
      <c r="I847" s="243"/>
      <c r="J847" s="243"/>
      <c r="K847" s="243"/>
      <c r="L847" s="243"/>
      <c r="M847" s="243"/>
      <c r="N847" s="243"/>
      <c r="O847" s="243"/>
      <c r="P847" s="243"/>
      <c r="Q847" s="243"/>
      <c r="R847" s="243"/>
      <c r="S847" s="243"/>
      <c r="T847" s="243"/>
      <c r="U847" s="243"/>
      <c r="V847" s="243"/>
      <c r="W847" s="243"/>
      <c r="X847" s="243"/>
      <c r="Y847" s="243"/>
      <c r="Z847" s="243"/>
      <c r="AA847" s="243"/>
      <c r="AB847" s="243"/>
      <c r="AC847" s="243"/>
      <c r="AD847" s="243"/>
      <c r="AE847" s="243"/>
      <c r="AF847" s="243"/>
      <c r="AG847" s="243"/>
      <c r="AH847" s="243"/>
      <c r="AI847" s="243"/>
      <c r="AJ847" s="243"/>
      <c r="AK847" s="243"/>
      <c r="AL847" s="243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</row>
    <row r="848" ht="16.5" customHeight="1">
      <c r="A848" s="243"/>
      <c r="B848" s="243"/>
      <c r="C848" s="243"/>
      <c r="D848" s="243"/>
      <c r="E848" s="243"/>
      <c r="F848" s="243"/>
      <c r="G848" s="243"/>
      <c r="H848" s="243"/>
      <c r="I848" s="243"/>
      <c r="J848" s="243"/>
      <c r="K848" s="243"/>
      <c r="L848" s="243"/>
      <c r="M848" s="243"/>
      <c r="N848" s="243"/>
      <c r="O848" s="243"/>
      <c r="P848" s="243"/>
      <c r="Q848" s="243"/>
      <c r="R848" s="243"/>
      <c r="S848" s="243"/>
      <c r="T848" s="243"/>
      <c r="U848" s="243"/>
      <c r="V848" s="243"/>
      <c r="W848" s="243"/>
      <c r="X848" s="243"/>
      <c r="Y848" s="243"/>
      <c r="Z848" s="243"/>
      <c r="AA848" s="243"/>
      <c r="AB848" s="243"/>
      <c r="AC848" s="243"/>
      <c r="AD848" s="243"/>
      <c r="AE848" s="243"/>
      <c r="AF848" s="243"/>
      <c r="AG848" s="243"/>
      <c r="AH848" s="243"/>
      <c r="AI848" s="243"/>
      <c r="AJ848" s="243"/>
      <c r="AK848" s="243"/>
      <c r="AL848" s="243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</row>
    <row r="849" ht="16.5" customHeight="1">
      <c r="A849" s="243"/>
      <c r="B849" s="243"/>
      <c r="C849" s="243"/>
      <c r="D849" s="243"/>
      <c r="E849" s="243"/>
      <c r="F849" s="243"/>
      <c r="G849" s="243"/>
      <c r="H849" s="243"/>
      <c r="I849" s="243"/>
      <c r="J849" s="243"/>
      <c r="K849" s="243"/>
      <c r="L849" s="243"/>
      <c r="M849" s="243"/>
      <c r="N849" s="243"/>
      <c r="O849" s="243"/>
      <c r="P849" s="243"/>
      <c r="Q849" s="243"/>
      <c r="R849" s="243"/>
      <c r="S849" s="243"/>
      <c r="T849" s="243"/>
      <c r="U849" s="243"/>
      <c r="V849" s="243"/>
      <c r="W849" s="243"/>
      <c r="X849" s="243"/>
      <c r="Y849" s="243"/>
      <c r="Z849" s="243"/>
      <c r="AA849" s="243"/>
      <c r="AB849" s="243"/>
      <c r="AC849" s="243"/>
      <c r="AD849" s="243"/>
      <c r="AE849" s="243"/>
      <c r="AF849" s="243"/>
      <c r="AG849" s="243"/>
      <c r="AH849" s="243"/>
      <c r="AI849" s="243"/>
      <c r="AJ849" s="243"/>
      <c r="AK849" s="243"/>
      <c r="AL849" s="243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</row>
    <row r="850" ht="16.5" customHeight="1">
      <c r="A850" s="243"/>
      <c r="B850" s="243"/>
      <c r="C850" s="243"/>
      <c r="D850" s="243"/>
      <c r="E850" s="243"/>
      <c r="F850" s="243"/>
      <c r="G850" s="243"/>
      <c r="H850" s="243"/>
      <c r="I850" s="243"/>
      <c r="J850" s="243"/>
      <c r="K850" s="243"/>
      <c r="L850" s="243"/>
      <c r="M850" s="243"/>
      <c r="N850" s="243"/>
      <c r="O850" s="243"/>
      <c r="P850" s="243"/>
      <c r="Q850" s="243"/>
      <c r="R850" s="243"/>
      <c r="S850" s="243"/>
      <c r="T850" s="243"/>
      <c r="U850" s="243"/>
      <c r="V850" s="243"/>
      <c r="W850" s="243"/>
      <c r="X850" s="243"/>
      <c r="Y850" s="243"/>
      <c r="Z850" s="243"/>
      <c r="AA850" s="243"/>
      <c r="AB850" s="243"/>
      <c r="AC850" s="243"/>
      <c r="AD850" s="243"/>
      <c r="AE850" s="243"/>
      <c r="AF850" s="243"/>
      <c r="AG850" s="243"/>
      <c r="AH850" s="243"/>
      <c r="AI850" s="243"/>
      <c r="AJ850" s="243"/>
      <c r="AK850" s="243"/>
      <c r="AL850" s="243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</row>
    <row r="851" ht="16.5" customHeight="1">
      <c r="A851" s="243"/>
      <c r="B851" s="243"/>
      <c r="C851" s="243"/>
      <c r="D851" s="243"/>
      <c r="E851" s="243"/>
      <c r="F851" s="243"/>
      <c r="G851" s="243"/>
      <c r="H851" s="243"/>
      <c r="I851" s="243"/>
      <c r="J851" s="243"/>
      <c r="K851" s="243"/>
      <c r="L851" s="243"/>
      <c r="M851" s="243"/>
      <c r="N851" s="243"/>
      <c r="O851" s="243"/>
      <c r="P851" s="243"/>
      <c r="Q851" s="243"/>
      <c r="R851" s="243"/>
      <c r="S851" s="243"/>
      <c r="T851" s="243"/>
      <c r="U851" s="243"/>
      <c r="V851" s="243"/>
      <c r="W851" s="243"/>
      <c r="X851" s="243"/>
      <c r="Y851" s="243"/>
      <c r="Z851" s="243"/>
      <c r="AA851" s="243"/>
      <c r="AB851" s="243"/>
      <c r="AC851" s="243"/>
      <c r="AD851" s="243"/>
      <c r="AE851" s="243"/>
      <c r="AF851" s="243"/>
      <c r="AG851" s="243"/>
      <c r="AH851" s="243"/>
      <c r="AI851" s="243"/>
      <c r="AJ851" s="243"/>
      <c r="AK851" s="243"/>
      <c r="AL851" s="243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</row>
    <row r="852" ht="16.5" customHeight="1">
      <c r="A852" s="243"/>
      <c r="B852" s="243"/>
      <c r="C852" s="243"/>
      <c r="D852" s="243"/>
      <c r="E852" s="243"/>
      <c r="F852" s="243"/>
      <c r="G852" s="243"/>
      <c r="H852" s="243"/>
      <c r="I852" s="243"/>
      <c r="J852" s="243"/>
      <c r="K852" s="243"/>
      <c r="L852" s="243"/>
      <c r="M852" s="243"/>
      <c r="N852" s="243"/>
      <c r="O852" s="243"/>
      <c r="P852" s="243"/>
      <c r="Q852" s="243"/>
      <c r="R852" s="243"/>
      <c r="S852" s="243"/>
      <c r="T852" s="243"/>
      <c r="U852" s="243"/>
      <c r="V852" s="243"/>
      <c r="W852" s="243"/>
      <c r="X852" s="243"/>
      <c r="Y852" s="243"/>
      <c r="Z852" s="243"/>
      <c r="AA852" s="243"/>
      <c r="AB852" s="243"/>
      <c r="AC852" s="243"/>
      <c r="AD852" s="243"/>
      <c r="AE852" s="243"/>
      <c r="AF852" s="243"/>
      <c r="AG852" s="243"/>
      <c r="AH852" s="243"/>
      <c r="AI852" s="243"/>
      <c r="AJ852" s="243"/>
      <c r="AK852" s="243"/>
      <c r="AL852" s="243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</row>
    <row r="853" ht="16.5" customHeight="1">
      <c r="A853" s="243"/>
      <c r="B853" s="243"/>
      <c r="C853" s="243"/>
      <c r="D853" s="243"/>
      <c r="E853" s="243"/>
      <c r="F853" s="243"/>
      <c r="G853" s="243"/>
      <c r="H853" s="243"/>
      <c r="I853" s="243"/>
      <c r="J853" s="243"/>
      <c r="K853" s="243"/>
      <c r="L853" s="243"/>
      <c r="M853" s="243"/>
      <c r="N853" s="243"/>
      <c r="O853" s="243"/>
      <c r="P853" s="243"/>
      <c r="Q853" s="243"/>
      <c r="R853" s="243"/>
      <c r="S853" s="243"/>
      <c r="T853" s="243"/>
      <c r="U853" s="243"/>
      <c r="V853" s="243"/>
      <c r="W853" s="243"/>
      <c r="X853" s="243"/>
      <c r="Y853" s="243"/>
      <c r="Z853" s="243"/>
      <c r="AA853" s="243"/>
      <c r="AB853" s="243"/>
      <c r="AC853" s="243"/>
      <c r="AD853" s="243"/>
      <c r="AE853" s="243"/>
      <c r="AF853" s="243"/>
      <c r="AG853" s="243"/>
      <c r="AH853" s="243"/>
      <c r="AI853" s="243"/>
      <c r="AJ853" s="243"/>
      <c r="AK853" s="243"/>
      <c r="AL853" s="243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</row>
    <row r="854" ht="16.5" customHeight="1">
      <c r="A854" s="243"/>
      <c r="B854" s="243"/>
      <c r="C854" s="243"/>
      <c r="D854" s="243"/>
      <c r="E854" s="243"/>
      <c r="F854" s="243"/>
      <c r="G854" s="243"/>
      <c r="H854" s="243"/>
      <c r="I854" s="243"/>
      <c r="J854" s="243"/>
      <c r="K854" s="243"/>
      <c r="L854" s="243"/>
      <c r="M854" s="243"/>
      <c r="N854" s="243"/>
      <c r="O854" s="243"/>
      <c r="P854" s="243"/>
      <c r="Q854" s="243"/>
      <c r="R854" s="243"/>
      <c r="S854" s="243"/>
      <c r="T854" s="243"/>
      <c r="U854" s="243"/>
      <c r="V854" s="243"/>
      <c r="W854" s="243"/>
      <c r="X854" s="243"/>
      <c r="Y854" s="243"/>
      <c r="Z854" s="243"/>
      <c r="AA854" s="243"/>
      <c r="AB854" s="243"/>
      <c r="AC854" s="243"/>
      <c r="AD854" s="243"/>
      <c r="AE854" s="243"/>
      <c r="AF854" s="243"/>
      <c r="AG854" s="243"/>
      <c r="AH854" s="243"/>
      <c r="AI854" s="243"/>
      <c r="AJ854" s="243"/>
      <c r="AK854" s="243"/>
      <c r="AL854" s="243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</row>
    <row r="855" ht="16.5" customHeight="1">
      <c r="A855" s="243"/>
      <c r="B855" s="243"/>
      <c r="C855" s="243"/>
      <c r="D855" s="243"/>
      <c r="E855" s="243"/>
      <c r="F855" s="243"/>
      <c r="G855" s="243"/>
      <c r="H855" s="243"/>
      <c r="I855" s="243"/>
      <c r="J855" s="243"/>
      <c r="K855" s="243"/>
      <c r="L855" s="243"/>
      <c r="M855" s="243"/>
      <c r="N855" s="243"/>
      <c r="O855" s="243"/>
      <c r="P855" s="243"/>
      <c r="Q855" s="243"/>
      <c r="R855" s="243"/>
      <c r="S855" s="243"/>
      <c r="T855" s="243"/>
      <c r="U855" s="243"/>
      <c r="V855" s="243"/>
      <c r="W855" s="243"/>
      <c r="X855" s="243"/>
      <c r="Y855" s="243"/>
      <c r="Z855" s="243"/>
      <c r="AA855" s="243"/>
      <c r="AB855" s="243"/>
      <c r="AC855" s="243"/>
      <c r="AD855" s="243"/>
      <c r="AE855" s="243"/>
      <c r="AF855" s="243"/>
      <c r="AG855" s="243"/>
      <c r="AH855" s="243"/>
      <c r="AI855" s="243"/>
      <c r="AJ855" s="243"/>
      <c r="AK855" s="243"/>
      <c r="AL855" s="243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</row>
    <row r="856" ht="16.5" customHeight="1">
      <c r="A856" s="243"/>
      <c r="B856" s="243"/>
      <c r="C856" s="243"/>
      <c r="D856" s="243"/>
      <c r="E856" s="243"/>
      <c r="F856" s="243"/>
      <c r="G856" s="243"/>
      <c r="H856" s="243"/>
      <c r="I856" s="243"/>
      <c r="J856" s="243"/>
      <c r="K856" s="243"/>
      <c r="L856" s="243"/>
      <c r="M856" s="243"/>
      <c r="N856" s="243"/>
      <c r="O856" s="243"/>
      <c r="P856" s="243"/>
      <c r="Q856" s="243"/>
      <c r="R856" s="243"/>
      <c r="S856" s="243"/>
      <c r="T856" s="243"/>
      <c r="U856" s="243"/>
      <c r="V856" s="243"/>
      <c r="W856" s="243"/>
      <c r="X856" s="243"/>
      <c r="Y856" s="243"/>
      <c r="Z856" s="243"/>
      <c r="AA856" s="243"/>
      <c r="AB856" s="243"/>
      <c r="AC856" s="243"/>
      <c r="AD856" s="243"/>
      <c r="AE856" s="243"/>
      <c r="AF856" s="243"/>
      <c r="AG856" s="243"/>
      <c r="AH856" s="243"/>
      <c r="AI856" s="243"/>
      <c r="AJ856" s="243"/>
      <c r="AK856" s="243"/>
      <c r="AL856" s="243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</row>
    <row r="857" ht="16.5" customHeight="1">
      <c r="A857" s="243"/>
      <c r="B857" s="243"/>
      <c r="C857" s="243"/>
      <c r="D857" s="243"/>
      <c r="E857" s="243"/>
      <c r="F857" s="243"/>
      <c r="G857" s="243"/>
      <c r="H857" s="243"/>
      <c r="I857" s="243"/>
      <c r="J857" s="243"/>
      <c r="K857" s="243"/>
      <c r="L857" s="243"/>
      <c r="M857" s="243"/>
      <c r="N857" s="243"/>
      <c r="O857" s="243"/>
      <c r="P857" s="243"/>
      <c r="Q857" s="243"/>
      <c r="R857" s="243"/>
      <c r="S857" s="243"/>
      <c r="T857" s="243"/>
      <c r="U857" s="243"/>
      <c r="V857" s="243"/>
      <c r="W857" s="243"/>
      <c r="X857" s="243"/>
      <c r="Y857" s="243"/>
      <c r="Z857" s="243"/>
      <c r="AA857" s="243"/>
      <c r="AB857" s="243"/>
      <c r="AC857" s="243"/>
      <c r="AD857" s="243"/>
      <c r="AE857" s="243"/>
      <c r="AF857" s="243"/>
      <c r="AG857" s="243"/>
      <c r="AH857" s="243"/>
      <c r="AI857" s="243"/>
      <c r="AJ857" s="243"/>
      <c r="AK857" s="243"/>
      <c r="AL857" s="243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</row>
    <row r="858" ht="16.5" customHeight="1">
      <c r="A858" s="243"/>
      <c r="B858" s="243"/>
      <c r="C858" s="243"/>
      <c r="D858" s="243"/>
      <c r="E858" s="243"/>
      <c r="F858" s="243"/>
      <c r="G858" s="243"/>
      <c r="H858" s="243"/>
      <c r="I858" s="243"/>
      <c r="J858" s="243"/>
      <c r="K858" s="243"/>
      <c r="L858" s="243"/>
      <c r="M858" s="243"/>
      <c r="N858" s="243"/>
      <c r="O858" s="243"/>
      <c r="P858" s="243"/>
      <c r="Q858" s="243"/>
      <c r="R858" s="243"/>
      <c r="S858" s="243"/>
      <c r="T858" s="243"/>
      <c r="U858" s="243"/>
      <c r="V858" s="243"/>
      <c r="W858" s="243"/>
      <c r="X858" s="243"/>
      <c r="Y858" s="243"/>
      <c r="Z858" s="243"/>
      <c r="AA858" s="243"/>
      <c r="AB858" s="243"/>
      <c r="AC858" s="243"/>
      <c r="AD858" s="243"/>
      <c r="AE858" s="243"/>
      <c r="AF858" s="243"/>
      <c r="AG858" s="243"/>
      <c r="AH858" s="243"/>
      <c r="AI858" s="243"/>
      <c r="AJ858" s="243"/>
      <c r="AK858" s="243"/>
      <c r="AL858" s="243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</row>
    <row r="859" ht="16.5" customHeight="1">
      <c r="A859" s="243"/>
      <c r="B859" s="243"/>
      <c r="C859" s="243"/>
      <c r="D859" s="243"/>
      <c r="E859" s="243"/>
      <c r="F859" s="243"/>
      <c r="G859" s="243"/>
      <c r="H859" s="243"/>
      <c r="I859" s="243"/>
      <c r="J859" s="243"/>
      <c r="K859" s="243"/>
      <c r="L859" s="243"/>
      <c r="M859" s="243"/>
      <c r="N859" s="243"/>
      <c r="O859" s="243"/>
      <c r="P859" s="243"/>
      <c r="Q859" s="243"/>
      <c r="R859" s="243"/>
      <c r="S859" s="243"/>
      <c r="T859" s="243"/>
      <c r="U859" s="243"/>
      <c r="V859" s="243"/>
      <c r="W859" s="243"/>
      <c r="X859" s="243"/>
      <c r="Y859" s="243"/>
      <c r="Z859" s="243"/>
      <c r="AA859" s="243"/>
      <c r="AB859" s="243"/>
      <c r="AC859" s="243"/>
      <c r="AD859" s="243"/>
      <c r="AE859" s="243"/>
      <c r="AF859" s="243"/>
      <c r="AG859" s="243"/>
      <c r="AH859" s="243"/>
      <c r="AI859" s="243"/>
      <c r="AJ859" s="243"/>
      <c r="AK859" s="243"/>
      <c r="AL859" s="243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</row>
    <row r="860" ht="16.5" customHeight="1">
      <c r="A860" s="243"/>
      <c r="B860" s="243"/>
      <c r="C860" s="243"/>
      <c r="D860" s="243"/>
      <c r="E860" s="243"/>
      <c r="F860" s="243"/>
      <c r="G860" s="243"/>
      <c r="H860" s="243"/>
      <c r="I860" s="243"/>
      <c r="J860" s="243"/>
      <c r="K860" s="243"/>
      <c r="L860" s="243"/>
      <c r="M860" s="243"/>
      <c r="N860" s="243"/>
      <c r="O860" s="243"/>
      <c r="P860" s="243"/>
      <c r="Q860" s="243"/>
      <c r="R860" s="243"/>
      <c r="S860" s="243"/>
      <c r="T860" s="243"/>
      <c r="U860" s="243"/>
      <c r="V860" s="243"/>
      <c r="W860" s="243"/>
      <c r="X860" s="243"/>
      <c r="Y860" s="243"/>
      <c r="Z860" s="243"/>
      <c r="AA860" s="243"/>
      <c r="AB860" s="243"/>
      <c r="AC860" s="243"/>
      <c r="AD860" s="243"/>
      <c r="AE860" s="243"/>
      <c r="AF860" s="243"/>
      <c r="AG860" s="243"/>
      <c r="AH860" s="243"/>
      <c r="AI860" s="243"/>
      <c r="AJ860" s="243"/>
      <c r="AK860" s="243"/>
      <c r="AL860" s="243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</row>
    <row r="861" ht="16.5" customHeight="1">
      <c r="A861" s="243"/>
      <c r="B861" s="243"/>
      <c r="C861" s="243"/>
      <c r="D861" s="243"/>
      <c r="E861" s="243"/>
      <c r="F861" s="243"/>
      <c r="G861" s="243"/>
      <c r="H861" s="243"/>
      <c r="I861" s="243"/>
      <c r="J861" s="243"/>
      <c r="K861" s="243"/>
      <c r="L861" s="243"/>
      <c r="M861" s="243"/>
      <c r="N861" s="243"/>
      <c r="O861" s="243"/>
      <c r="P861" s="243"/>
      <c r="Q861" s="243"/>
      <c r="R861" s="243"/>
      <c r="S861" s="243"/>
      <c r="T861" s="243"/>
      <c r="U861" s="243"/>
      <c r="V861" s="243"/>
      <c r="W861" s="243"/>
      <c r="X861" s="243"/>
      <c r="Y861" s="243"/>
      <c r="Z861" s="243"/>
      <c r="AA861" s="243"/>
      <c r="AB861" s="243"/>
      <c r="AC861" s="243"/>
      <c r="AD861" s="243"/>
      <c r="AE861" s="243"/>
      <c r="AF861" s="243"/>
      <c r="AG861" s="243"/>
      <c r="AH861" s="243"/>
      <c r="AI861" s="243"/>
      <c r="AJ861" s="243"/>
      <c r="AK861" s="243"/>
      <c r="AL861" s="243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</row>
    <row r="862" ht="16.5" customHeight="1">
      <c r="A862" s="243"/>
      <c r="B862" s="243"/>
      <c r="C862" s="243"/>
      <c r="D862" s="243"/>
      <c r="E862" s="243"/>
      <c r="F862" s="243"/>
      <c r="G862" s="243"/>
      <c r="H862" s="243"/>
      <c r="I862" s="243"/>
      <c r="J862" s="243"/>
      <c r="K862" s="243"/>
      <c r="L862" s="243"/>
      <c r="M862" s="243"/>
      <c r="N862" s="243"/>
      <c r="O862" s="243"/>
      <c r="P862" s="243"/>
      <c r="Q862" s="243"/>
      <c r="R862" s="243"/>
      <c r="S862" s="243"/>
      <c r="T862" s="243"/>
      <c r="U862" s="243"/>
      <c r="V862" s="243"/>
      <c r="W862" s="243"/>
      <c r="X862" s="243"/>
      <c r="Y862" s="243"/>
      <c r="Z862" s="243"/>
      <c r="AA862" s="243"/>
      <c r="AB862" s="243"/>
      <c r="AC862" s="243"/>
      <c r="AD862" s="243"/>
      <c r="AE862" s="243"/>
      <c r="AF862" s="243"/>
      <c r="AG862" s="243"/>
      <c r="AH862" s="243"/>
      <c r="AI862" s="243"/>
      <c r="AJ862" s="243"/>
      <c r="AK862" s="243"/>
      <c r="AL862" s="243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</row>
    <row r="863" ht="16.5" customHeight="1">
      <c r="A863" s="243"/>
      <c r="B863" s="243"/>
      <c r="C863" s="243"/>
      <c r="D863" s="243"/>
      <c r="E863" s="243"/>
      <c r="F863" s="243"/>
      <c r="G863" s="243"/>
      <c r="H863" s="243"/>
      <c r="I863" s="243"/>
      <c r="J863" s="243"/>
      <c r="K863" s="243"/>
      <c r="L863" s="243"/>
      <c r="M863" s="243"/>
      <c r="N863" s="243"/>
      <c r="O863" s="243"/>
      <c r="P863" s="243"/>
      <c r="Q863" s="243"/>
      <c r="R863" s="243"/>
      <c r="S863" s="243"/>
      <c r="T863" s="243"/>
      <c r="U863" s="243"/>
      <c r="V863" s="243"/>
      <c r="W863" s="243"/>
      <c r="X863" s="243"/>
      <c r="Y863" s="243"/>
      <c r="Z863" s="243"/>
      <c r="AA863" s="243"/>
      <c r="AB863" s="243"/>
      <c r="AC863" s="243"/>
      <c r="AD863" s="243"/>
      <c r="AE863" s="243"/>
      <c r="AF863" s="243"/>
      <c r="AG863" s="243"/>
      <c r="AH863" s="243"/>
      <c r="AI863" s="243"/>
      <c r="AJ863" s="243"/>
      <c r="AK863" s="243"/>
      <c r="AL863" s="243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</row>
    <row r="864" ht="16.5" customHeight="1">
      <c r="A864" s="243"/>
      <c r="B864" s="243"/>
      <c r="C864" s="243"/>
      <c r="D864" s="243"/>
      <c r="E864" s="243"/>
      <c r="F864" s="243"/>
      <c r="G864" s="243"/>
      <c r="H864" s="243"/>
      <c r="I864" s="243"/>
      <c r="J864" s="243"/>
      <c r="K864" s="243"/>
      <c r="L864" s="243"/>
      <c r="M864" s="243"/>
      <c r="N864" s="243"/>
      <c r="O864" s="243"/>
      <c r="P864" s="243"/>
      <c r="Q864" s="243"/>
      <c r="R864" s="243"/>
      <c r="S864" s="243"/>
      <c r="T864" s="243"/>
      <c r="U864" s="243"/>
      <c r="V864" s="243"/>
      <c r="W864" s="243"/>
      <c r="X864" s="243"/>
      <c r="Y864" s="243"/>
      <c r="Z864" s="243"/>
      <c r="AA864" s="243"/>
      <c r="AB864" s="243"/>
      <c r="AC864" s="243"/>
      <c r="AD864" s="243"/>
      <c r="AE864" s="243"/>
      <c r="AF864" s="243"/>
      <c r="AG864" s="243"/>
      <c r="AH864" s="243"/>
      <c r="AI864" s="243"/>
      <c r="AJ864" s="243"/>
      <c r="AK864" s="243"/>
      <c r="AL864" s="243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</row>
    <row r="865" ht="16.5" customHeight="1">
      <c r="A865" s="243"/>
      <c r="B865" s="243"/>
      <c r="C865" s="243"/>
      <c r="D865" s="243"/>
      <c r="E865" s="243"/>
      <c r="F865" s="243"/>
      <c r="G865" s="243"/>
      <c r="H865" s="243"/>
      <c r="I865" s="243"/>
      <c r="J865" s="243"/>
      <c r="K865" s="243"/>
      <c r="L865" s="243"/>
      <c r="M865" s="243"/>
      <c r="N865" s="243"/>
      <c r="O865" s="243"/>
      <c r="P865" s="243"/>
      <c r="Q865" s="243"/>
      <c r="R865" s="243"/>
      <c r="S865" s="243"/>
      <c r="T865" s="243"/>
      <c r="U865" s="243"/>
      <c r="V865" s="243"/>
      <c r="W865" s="243"/>
      <c r="X865" s="243"/>
      <c r="Y865" s="243"/>
      <c r="Z865" s="243"/>
      <c r="AA865" s="243"/>
      <c r="AB865" s="243"/>
      <c r="AC865" s="243"/>
      <c r="AD865" s="243"/>
      <c r="AE865" s="243"/>
      <c r="AF865" s="243"/>
      <c r="AG865" s="243"/>
      <c r="AH865" s="243"/>
      <c r="AI865" s="243"/>
      <c r="AJ865" s="243"/>
      <c r="AK865" s="243"/>
      <c r="AL865" s="243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</row>
    <row r="866" ht="16.5" customHeight="1">
      <c r="A866" s="243"/>
      <c r="B866" s="243"/>
      <c r="C866" s="243"/>
      <c r="D866" s="243"/>
      <c r="E866" s="243"/>
      <c r="F866" s="243"/>
      <c r="G866" s="243"/>
      <c r="H866" s="243"/>
      <c r="I866" s="243"/>
      <c r="J866" s="243"/>
      <c r="K866" s="243"/>
      <c r="L866" s="243"/>
      <c r="M866" s="243"/>
      <c r="N866" s="243"/>
      <c r="O866" s="243"/>
      <c r="P866" s="243"/>
      <c r="Q866" s="243"/>
      <c r="R866" s="243"/>
      <c r="S866" s="243"/>
      <c r="T866" s="243"/>
      <c r="U866" s="243"/>
      <c r="V866" s="243"/>
      <c r="W866" s="243"/>
      <c r="X866" s="243"/>
      <c r="Y866" s="243"/>
      <c r="Z866" s="243"/>
      <c r="AA866" s="243"/>
      <c r="AB866" s="243"/>
      <c r="AC866" s="243"/>
      <c r="AD866" s="243"/>
      <c r="AE866" s="243"/>
      <c r="AF866" s="243"/>
      <c r="AG866" s="243"/>
      <c r="AH866" s="243"/>
      <c r="AI866" s="243"/>
      <c r="AJ866" s="243"/>
      <c r="AK866" s="243"/>
      <c r="AL866" s="243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</row>
    <row r="867" ht="16.5" customHeight="1">
      <c r="A867" s="243"/>
      <c r="B867" s="243"/>
      <c r="C867" s="243"/>
      <c r="D867" s="243"/>
      <c r="E867" s="243"/>
      <c r="F867" s="243"/>
      <c r="G867" s="243"/>
      <c r="H867" s="243"/>
      <c r="I867" s="243"/>
      <c r="J867" s="243"/>
      <c r="K867" s="243"/>
      <c r="L867" s="243"/>
      <c r="M867" s="243"/>
      <c r="N867" s="243"/>
      <c r="O867" s="243"/>
      <c r="P867" s="243"/>
      <c r="Q867" s="243"/>
      <c r="R867" s="243"/>
      <c r="S867" s="243"/>
      <c r="T867" s="243"/>
      <c r="U867" s="243"/>
      <c r="V867" s="243"/>
      <c r="W867" s="243"/>
      <c r="X867" s="243"/>
      <c r="Y867" s="243"/>
      <c r="Z867" s="243"/>
      <c r="AA867" s="243"/>
      <c r="AB867" s="243"/>
      <c r="AC867" s="243"/>
      <c r="AD867" s="243"/>
      <c r="AE867" s="243"/>
      <c r="AF867" s="243"/>
      <c r="AG867" s="243"/>
      <c r="AH867" s="243"/>
      <c r="AI867" s="243"/>
      <c r="AJ867" s="243"/>
      <c r="AK867" s="243"/>
      <c r="AL867" s="243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</row>
    <row r="868" ht="16.5" customHeight="1">
      <c r="A868" s="243"/>
      <c r="B868" s="243"/>
      <c r="C868" s="243"/>
      <c r="D868" s="243"/>
      <c r="E868" s="243"/>
      <c r="F868" s="243"/>
      <c r="G868" s="243"/>
      <c r="H868" s="243"/>
      <c r="I868" s="243"/>
      <c r="J868" s="243"/>
      <c r="K868" s="243"/>
      <c r="L868" s="243"/>
      <c r="M868" s="243"/>
      <c r="N868" s="243"/>
      <c r="O868" s="243"/>
      <c r="P868" s="243"/>
      <c r="Q868" s="243"/>
      <c r="R868" s="243"/>
      <c r="S868" s="243"/>
      <c r="T868" s="243"/>
      <c r="U868" s="243"/>
      <c r="V868" s="243"/>
      <c r="W868" s="243"/>
      <c r="X868" s="243"/>
      <c r="Y868" s="243"/>
      <c r="Z868" s="243"/>
      <c r="AA868" s="243"/>
      <c r="AB868" s="243"/>
      <c r="AC868" s="243"/>
      <c r="AD868" s="243"/>
      <c r="AE868" s="243"/>
      <c r="AF868" s="243"/>
      <c r="AG868" s="243"/>
      <c r="AH868" s="243"/>
      <c r="AI868" s="243"/>
      <c r="AJ868" s="243"/>
      <c r="AK868" s="243"/>
      <c r="AL868" s="243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</row>
    <row r="869" ht="16.5" customHeight="1">
      <c r="A869" s="243"/>
      <c r="B869" s="243"/>
      <c r="C869" s="243"/>
      <c r="D869" s="243"/>
      <c r="E869" s="243"/>
      <c r="F869" s="243"/>
      <c r="G869" s="243"/>
      <c r="H869" s="243"/>
      <c r="I869" s="243"/>
      <c r="J869" s="243"/>
      <c r="K869" s="243"/>
      <c r="L869" s="243"/>
      <c r="M869" s="243"/>
      <c r="N869" s="243"/>
      <c r="O869" s="243"/>
      <c r="P869" s="243"/>
      <c r="Q869" s="243"/>
      <c r="R869" s="243"/>
      <c r="S869" s="243"/>
      <c r="T869" s="243"/>
      <c r="U869" s="243"/>
      <c r="V869" s="243"/>
      <c r="W869" s="243"/>
      <c r="X869" s="243"/>
      <c r="Y869" s="243"/>
      <c r="Z869" s="243"/>
      <c r="AA869" s="243"/>
      <c r="AB869" s="243"/>
      <c r="AC869" s="243"/>
      <c r="AD869" s="243"/>
      <c r="AE869" s="243"/>
      <c r="AF869" s="243"/>
      <c r="AG869" s="243"/>
      <c r="AH869" s="243"/>
      <c r="AI869" s="243"/>
      <c r="AJ869" s="243"/>
      <c r="AK869" s="243"/>
      <c r="AL869" s="243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</row>
    <row r="870" ht="16.5" customHeight="1">
      <c r="A870" s="243"/>
      <c r="B870" s="243"/>
      <c r="C870" s="243"/>
      <c r="D870" s="243"/>
      <c r="E870" s="243"/>
      <c r="F870" s="243"/>
      <c r="G870" s="243"/>
      <c r="H870" s="243"/>
      <c r="I870" s="243"/>
      <c r="J870" s="243"/>
      <c r="K870" s="243"/>
      <c r="L870" s="243"/>
      <c r="M870" s="243"/>
      <c r="N870" s="243"/>
      <c r="O870" s="243"/>
      <c r="P870" s="243"/>
      <c r="Q870" s="243"/>
      <c r="R870" s="243"/>
      <c r="S870" s="243"/>
      <c r="T870" s="243"/>
      <c r="U870" s="243"/>
      <c r="V870" s="243"/>
      <c r="W870" s="243"/>
      <c r="X870" s="243"/>
      <c r="Y870" s="243"/>
      <c r="Z870" s="243"/>
      <c r="AA870" s="243"/>
      <c r="AB870" s="243"/>
      <c r="AC870" s="243"/>
      <c r="AD870" s="243"/>
      <c r="AE870" s="243"/>
      <c r="AF870" s="243"/>
      <c r="AG870" s="243"/>
      <c r="AH870" s="243"/>
      <c r="AI870" s="243"/>
      <c r="AJ870" s="243"/>
      <c r="AK870" s="243"/>
      <c r="AL870" s="243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</row>
    <row r="871" ht="16.5" customHeight="1">
      <c r="A871" s="243"/>
      <c r="B871" s="243"/>
      <c r="C871" s="243"/>
      <c r="D871" s="243"/>
      <c r="E871" s="243"/>
      <c r="F871" s="243"/>
      <c r="G871" s="243"/>
      <c r="H871" s="243"/>
      <c r="I871" s="243"/>
      <c r="J871" s="243"/>
      <c r="K871" s="243"/>
      <c r="L871" s="243"/>
      <c r="M871" s="243"/>
      <c r="N871" s="243"/>
      <c r="O871" s="243"/>
      <c r="P871" s="243"/>
      <c r="Q871" s="243"/>
      <c r="R871" s="243"/>
      <c r="S871" s="243"/>
      <c r="T871" s="243"/>
      <c r="U871" s="243"/>
      <c r="V871" s="243"/>
      <c r="W871" s="243"/>
      <c r="X871" s="243"/>
      <c r="Y871" s="243"/>
      <c r="Z871" s="243"/>
      <c r="AA871" s="243"/>
      <c r="AB871" s="243"/>
      <c r="AC871" s="243"/>
      <c r="AD871" s="243"/>
      <c r="AE871" s="243"/>
      <c r="AF871" s="243"/>
      <c r="AG871" s="243"/>
      <c r="AH871" s="243"/>
      <c r="AI871" s="243"/>
      <c r="AJ871" s="243"/>
      <c r="AK871" s="243"/>
      <c r="AL871" s="243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</row>
    <row r="872" ht="16.5" customHeight="1">
      <c r="A872" s="243"/>
      <c r="B872" s="243"/>
      <c r="C872" s="243"/>
      <c r="D872" s="243"/>
      <c r="E872" s="243"/>
      <c r="F872" s="243"/>
      <c r="G872" s="243"/>
      <c r="H872" s="243"/>
      <c r="I872" s="243"/>
      <c r="J872" s="243"/>
      <c r="K872" s="243"/>
      <c r="L872" s="243"/>
      <c r="M872" s="243"/>
      <c r="N872" s="243"/>
      <c r="O872" s="243"/>
      <c r="P872" s="243"/>
      <c r="Q872" s="243"/>
      <c r="R872" s="243"/>
      <c r="S872" s="243"/>
      <c r="T872" s="243"/>
      <c r="U872" s="243"/>
      <c r="V872" s="243"/>
      <c r="W872" s="243"/>
      <c r="X872" s="243"/>
      <c r="Y872" s="243"/>
      <c r="Z872" s="243"/>
      <c r="AA872" s="243"/>
      <c r="AB872" s="243"/>
      <c r="AC872" s="243"/>
      <c r="AD872" s="243"/>
      <c r="AE872" s="243"/>
      <c r="AF872" s="243"/>
      <c r="AG872" s="243"/>
      <c r="AH872" s="243"/>
      <c r="AI872" s="243"/>
      <c r="AJ872" s="243"/>
      <c r="AK872" s="243"/>
      <c r="AL872" s="243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</row>
    <row r="873" ht="16.5" customHeight="1">
      <c r="A873" s="243"/>
      <c r="B873" s="243"/>
      <c r="C873" s="243"/>
      <c r="D873" s="243"/>
      <c r="E873" s="243"/>
      <c r="F873" s="243"/>
      <c r="G873" s="243"/>
      <c r="H873" s="243"/>
      <c r="I873" s="243"/>
      <c r="J873" s="243"/>
      <c r="K873" s="243"/>
      <c r="L873" s="243"/>
      <c r="M873" s="243"/>
      <c r="N873" s="243"/>
      <c r="O873" s="243"/>
      <c r="P873" s="243"/>
      <c r="Q873" s="243"/>
      <c r="R873" s="243"/>
      <c r="S873" s="243"/>
      <c r="T873" s="243"/>
      <c r="U873" s="243"/>
      <c r="V873" s="243"/>
      <c r="W873" s="243"/>
      <c r="X873" s="243"/>
      <c r="Y873" s="243"/>
      <c r="Z873" s="243"/>
      <c r="AA873" s="243"/>
      <c r="AB873" s="243"/>
      <c r="AC873" s="243"/>
      <c r="AD873" s="243"/>
      <c r="AE873" s="243"/>
      <c r="AF873" s="243"/>
      <c r="AG873" s="243"/>
      <c r="AH873" s="243"/>
      <c r="AI873" s="243"/>
      <c r="AJ873" s="243"/>
      <c r="AK873" s="243"/>
      <c r="AL873" s="243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</row>
    <row r="874" ht="16.5" customHeight="1">
      <c r="A874" s="243"/>
      <c r="B874" s="243"/>
      <c r="C874" s="243"/>
      <c r="D874" s="243"/>
      <c r="E874" s="243"/>
      <c r="F874" s="243"/>
      <c r="G874" s="243"/>
      <c r="H874" s="243"/>
      <c r="I874" s="243"/>
      <c r="J874" s="243"/>
      <c r="K874" s="243"/>
      <c r="L874" s="243"/>
      <c r="M874" s="243"/>
      <c r="N874" s="243"/>
      <c r="O874" s="243"/>
      <c r="P874" s="243"/>
      <c r="Q874" s="243"/>
      <c r="R874" s="243"/>
      <c r="S874" s="243"/>
      <c r="T874" s="243"/>
      <c r="U874" s="243"/>
      <c r="V874" s="243"/>
      <c r="W874" s="243"/>
      <c r="X874" s="243"/>
      <c r="Y874" s="243"/>
      <c r="Z874" s="243"/>
      <c r="AA874" s="243"/>
      <c r="AB874" s="243"/>
      <c r="AC874" s="243"/>
      <c r="AD874" s="243"/>
      <c r="AE874" s="243"/>
      <c r="AF874" s="243"/>
      <c r="AG874" s="243"/>
      <c r="AH874" s="243"/>
      <c r="AI874" s="243"/>
      <c r="AJ874" s="243"/>
      <c r="AK874" s="243"/>
      <c r="AL874" s="243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</row>
    <row r="875" ht="16.5" customHeight="1">
      <c r="A875" s="243"/>
      <c r="B875" s="243"/>
      <c r="C875" s="243"/>
      <c r="D875" s="243"/>
      <c r="E875" s="243"/>
      <c r="F875" s="243"/>
      <c r="G875" s="243"/>
      <c r="H875" s="243"/>
      <c r="I875" s="243"/>
      <c r="J875" s="243"/>
      <c r="K875" s="243"/>
      <c r="L875" s="243"/>
      <c r="M875" s="243"/>
      <c r="N875" s="243"/>
      <c r="O875" s="243"/>
      <c r="P875" s="243"/>
      <c r="Q875" s="243"/>
      <c r="R875" s="243"/>
      <c r="S875" s="243"/>
      <c r="T875" s="243"/>
      <c r="U875" s="243"/>
      <c r="V875" s="243"/>
      <c r="W875" s="243"/>
      <c r="X875" s="243"/>
      <c r="Y875" s="243"/>
      <c r="Z875" s="243"/>
      <c r="AA875" s="243"/>
      <c r="AB875" s="243"/>
      <c r="AC875" s="243"/>
      <c r="AD875" s="243"/>
      <c r="AE875" s="243"/>
      <c r="AF875" s="243"/>
      <c r="AG875" s="243"/>
      <c r="AH875" s="243"/>
      <c r="AI875" s="243"/>
      <c r="AJ875" s="243"/>
      <c r="AK875" s="243"/>
      <c r="AL875" s="243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</row>
    <row r="876" ht="16.5" customHeight="1">
      <c r="A876" s="243"/>
      <c r="B876" s="243"/>
      <c r="C876" s="243"/>
      <c r="D876" s="243"/>
      <c r="E876" s="243"/>
      <c r="F876" s="243"/>
      <c r="G876" s="243"/>
      <c r="H876" s="243"/>
      <c r="I876" s="243"/>
      <c r="J876" s="243"/>
      <c r="K876" s="243"/>
      <c r="L876" s="243"/>
      <c r="M876" s="243"/>
      <c r="N876" s="243"/>
      <c r="O876" s="243"/>
      <c r="P876" s="243"/>
      <c r="Q876" s="243"/>
      <c r="R876" s="243"/>
      <c r="S876" s="243"/>
      <c r="T876" s="243"/>
      <c r="U876" s="243"/>
      <c r="V876" s="243"/>
      <c r="W876" s="243"/>
      <c r="X876" s="243"/>
      <c r="Y876" s="243"/>
      <c r="Z876" s="243"/>
      <c r="AA876" s="243"/>
      <c r="AB876" s="243"/>
      <c r="AC876" s="243"/>
      <c r="AD876" s="243"/>
      <c r="AE876" s="243"/>
      <c r="AF876" s="243"/>
      <c r="AG876" s="243"/>
      <c r="AH876" s="243"/>
      <c r="AI876" s="243"/>
      <c r="AJ876" s="243"/>
      <c r="AK876" s="243"/>
      <c r="AL876" s="243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</row>
    <row r="877" ht="16.5" customHeight="1">
      <c r="A877" s="243"/>
      <c r="B877" s="243"/>
      <c r="C877" s="243"/>
      <c r="D877" s="243"/>
      <c r="E877" s="243"/>
      <c r="F877" s="243"/>
      <c r="G877" s="243"/>
      <c r="H877" s="243"/>
      <c r="I877" s="243"/>
      <c r="J877" s="243"/>
      <c r="K877" s="243"/>
      <c r="L877" s="243"/>
      <c r="M877" s="243"/>
      <c r="N877" s="243"/>
      <c r="O877" s="243"/>
      <c r="P877" s="243"/>
      <c r="Q877" s="243"/>
      <c r="R877" s="243"/>
      <c r="S877" s="243"/>
      <c r="T877" s="243"/>
      <c r="U877" s="243"/>
      <c r="V877" s="243"/>
      <c r="W877" s="243"/>
      <c r="X877" s="243"/>
      <c r="Y877" s="243"/>
      <c r="Z877" s="243"/>
      <c r="AA877" s="243"/>
      <c r="AB877" s="243"/>
      <c r="AC877" s="243"/>
      <c r="AD877" s="243"/>
      <c r="AE877" s="243"/>
      <c r="AF877" s="243"/>
      <c r="AG877" s="243"/>
      <c r="AH877" s="243"/>
      <c r="AI877" s="243"/>
      <c r="AJ877" s="243"/>
      <c r="AK877" s="243"/>
      <c r="AL877" s="243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</row>
    <row r="878" ht="16.5" customHeight="1">
      <c r="A878" s="243"/>
      <c r="B878" s="243"/>
      <c r="C878" s="243"/>
      <c r="D878" s="243"/>
      <c r="E878" s="243"/>
      <c r="F878" s="243"/>
      <c r="G878" s="243"/>
      <c r="H878" s="243"/>
      <c r="I878" s="243"/>
      <c r="J878" s="243"/>
      <c r="K878" s="243"/>
      <c r="L878" s="243"/>
      <c r="M878" s="243"/>
      <c r="N878" s="243"/>
      <c r="O878" s="243"/>
      <c r="P878" s="243"/>
      <c r="Q878" s="243"/>
      <c r="R878" s="243"/>
      <c r="S878" s="243"/>
      <c r="T878" s="243"/>
      <c r="U878" s="243"/>
      <c r="V878" s="243"/>
      <c r="W878" s="243"/>
      <c r="X878" s="243"/>
      <c r="Y878" s="243"/>
      <c r="Z878" s="243"/>
      <c r="AA878" s="243"/>
      <c r="AB878" s="243"/>
      <c r="AC878" s="243"/>
      <c r="AD878" s="243"/>
      <c r="AE878" s="243"/>
      <c r="AF878" s="243"/>
      <c r="AG878" s="243"/>
      <c r="AH878" s="243"/>
      <c r="AI878" s="243"/>
      <c r="AJ878" s="243"/>
      <c r="AK878" s="243"/>
      <c r="AL878" s="243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</row>
    <row r="879" ht="16.5" customHeight="1">
      <c r="A879" s="243"/>
      <c r="B879" s="243"/>
      <c r="C879" s="243"/>
      <c r="D879" s="243"/>
      <c r="E879" s="243"/>
      <c r="F879" s="243"/>
      <c r="G879" s="243"/>
      <c r="H879" s="243"/>
      <c r="I879" s="243"/>
      <c r="J879" s="243"/>
      <c r="K879" s="243"/>
      <c r="L879" s="243"/>
      <c r="M879" s="243"/>
      <c r="N879" s="243"/>
      <c r="O879" s="243"/>
      <c r="P879" s="243"/>
      <c r="Q879" s="243"/>
      <c r="R879" s="243"/>
      <c r="S879" s="243"/>
      <c r="T879" s="243"/>
      <c r="U879" s="243"/>
      <c r="V879" s="243"/>
      <c r="W879" s="243"/>
      <c r="X879" s="243"/>
      <c r="Y879" s="243"/>
      <c r="Z879" s="243"/>
      <c r="AA879" s="243"/>
      <c r="AB879" s="243"/>
      <c r="AC879" s="243"/>
      <c r="AD879" s="243"/>
      <c r="AE879" s="243"/>
      <c r="AF879" s="243"/>
      <c r="AG879" s="243"/>
      <c r="AH879" s="243"/>
      <c r="AI879" s="243"/>
      <c r="AJ879" s="243"/>
      <c r="AK879" s="243"/>
      <c r="AL879" s="243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</row>
    <row r="880" ht="16.5" customHeight="1">
      <c r="A880" s="243"/>
      <c r="B880" s="243"/>
      <c r="C880" s="243"/>
      <c r="D880" s="243"/>
      <c r="E880" s="243"/>
      <c r="F880" s="243"/>
      <c r="G880" s="243"/>
      <c r="H880" s="243"/>
      <c r="I880" s="243"/>
      <c r="J880" s="243"/>
      <c r="K880" s="243"/>
      <c r="L880" s="243"/>
      <c r="M880" s="243"/>
      <c r="N880" s="243"/>
      <c r="O880" s="243"/>
      <c r="P880" s="243"/>
      <c r="Q880" s="243"/>
      <c r="R880" s="243"/>
      <c r="S880" s="243"/>
      <c r="T880" s="243"/>
      <c r="U880" s="243"/>
      <c r="V880" s="243"/>
      <c r="W880" s="243"/>
      <c r="X880" s="243"/>
      <c r="Y880" s="243"/>
      <c r="Z880" s="243"/>
      <c r="AA880" s="243"/>
      <c r="AB880" s="243"/>
      <c r="AC880" s="243"/>
      <c r="AD880" s="243"/>
      <c r="AE880" s="243"/>
      <c r="AF880" s="243"/>
      <c r="AG880" s="243"/>
      <c r="AH880" s="243"/>
      <c r="AI880" s="243"/>
      <c r="AJ880" s="243"/>
      <c r="AK880" s="243"/>
      <c r="AL880" s="243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</row>
    <row r="881" ht="16.5" customHeight="1">
      <c r="A881" s="243"/>
      <c r="B881" s="243"/>
      <c r="C881" s="243"/>
      <c r="D881" s="243"/>
      <c r="E881" s="243"/>
      <c r="F881" s="243"/>
      <c r="G881" s="243"/>
      <c r="H881" s="243"/>
      <c r="I881" s="243"/>
      <c r="J881" s="243"/>
      <c r="K881" s="243"/>
      <c r="L881" s="243"/>
      <c r="M881" s="243"/>
      <c r="N881" s="243"/>
      <c r="O881" s="243"/>
      <c r="P881" s="243"/>
      <c r="Q881" s="243"/>
      <c r="R881" s="243"/>
      <c r="S881" s="243"/>
      <c r="T881" s="243"/>
      <c r="U881" s="243"/>
      <c r="V881" s="243"/>
      <c r="W881" s="243"/>
      <c r="X881" s="243"/>
      <c r="Y881" s="243"/>
      <c r="Z881" s="243"/>
      <c r="AA881" s="243"/>
      <c r="AB881" s="243"/>
      <c r="AC881" s="243"/>
      <c r="AD881" s="243"/>
      <c r="AE881" s="243"/>
      <c r="AF881" s="243"/>
      <c r="AG881" s="243"/>
      <c r="AH881" s="243"/>
      <c r="AI881" s="243"/>
      <c r="AJ881" s="243"/>
      <c r="AK881" s="243"/>
      <c r="AL881" s="243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</row>
    <row r="882" ht="16.5" customHeight="1">
      <c r="A882" s="243"/>
      <c r="B882" s="243"/>
      <c r="C882" s="243"/>
      <c r="D882" s="243"/>
      <c r="E882" s="243"/>
      <c r="F882" s="243"/>
      <c r="G882" s="243"/>
      <c r="H882" s="243"/>
      <c r="I882" s="243"/>
      <c r="J882" s="243"/>
      <c r="K882" s="243"/>
      <c r="L882" s="243"/>
      <c r="M882" s="243"/>
      <c r="N882" s="243"/>
      <c r="O882" s="243"/>
      <c r="P882" s="243"/>
      <c r="Q882" s="243"/>
      <c r="R882" s="243"/>
      <c r="S882" s="243"/>
      <c r="T882" s="243"/>
      <c r="U882" s="243"/>
      <c r="V882" s="243"/>
      <c r="W882" s="243"/>
      <c r="X882" s="243"/>
      <c r="Y882" s="243"/>
      <c r="Z882" s="243"/>
      <c r="AA882" s="243"/>
      <c r="AB882" s="243"/>
      <c r="AC882" s="243"/>
      <c r="AD882" s="243"/>
      <c r="AE882" s="243"/>
      <c r="AF882" s="243"/>
      <c r="AG882" s="243"/>
      <c r="AH882" s="243"/>
      <c r="AI882" s="243"/>
      <c r="AJ882" s="243"/>
      <c r="AK882" s="243"/>
      <c r="AL882" s="243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</row>
    <row r="883" ht="16.5" customHeight="1">
      <c r="A883" s="243"/>
      <c r="B883" s="243"/>
      <c r="C883" s="243"/>
      <c r="D883" s="243"/>
      <c r="E883" s="243"/>
      <c r="F883" s="243"/>
      <c r="G883" s="243"/>
      <c r="H883" s="243"/>
      <c r="I883" s="243"/>
      <c r="J883" s="243"/>
      <c r="K883" s="243"/>
      <c r="L883" s="243"/>
      <c r="M883" s="243"/>
      <c r="N883" s="243"/>
      <c r="O883" s="243"/>
      <c r="P883" s="243"/>
      <c r="Q883" s="243"/>
      <c r="R883" s="243"/>
      <c r="S883" s="243"/>
      <c r="T883" s="243"/>
      <c r="U883" s="243"/>
      <c r="V883" s="243"/>
      <c r="W883" s="243"/>
      <c r="X883" s="243"/>
      <c r="Y883" s="243"/>
      <c r="Z883" s="243"/>
      <c r="AA883" s="243"/>
      <c r="AB883" s="243"/>
      <c r="AC883" s="243"/>
      <c r="AD883" s="243"/>
      <c r="AE883" s="243"/>
      <c r="AF883" s="243"/>
      <c r="AG883" s="243"/>
      <c r="AH883" s="243"/>
      <c r="AI883" s="243"/>
      <c r="AJ883" s="243"/>
      <c r="AK883" s="243"/>
      <c r="AL883" s="243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</row>
    <row r="884" ht="16.5" customHeight="1">
      <c r="A884" s="243"/>
      <c r="B884" s="243"/>
      <c r="C884" s="243"/>
      <c r="D884" s="243"/>
      <c r="E884" s="243"/>
      <c r="F884" s="243"/>
      <c r="G884" s="243"/>
      <c r="H884" s="243"/>
      <c r="I884" s="243"/>
      <c r="J884" s="243"/>
      <c r="K884" s="243"/>
      <c r="L884" s="243"/>
      <c r="M884" s="243"/>
      <c r="N884" s="243"/>
      <c r="O884" s="243"/>
      <c r="P884" s="243"/>
      <c r="Q884" s="243"/>
      <c r="R884" s="243"/>
      <c r="S884" s="243"/>
      <c r="T884" s="243"/>
      <c r="U884" s="243"/>
      <c r="V884" s="243"/>
      <c r="W884" s="243"/>
      <c r="X884" s="243"/>
      <c r="Y884" s="243"/>
      <c r="Z884" s="243"/>
      <c r="AA884" s="243"/>
      <c r="AB884" s="243"/>
      <c r="AC884" s="243"/>
      <c r="AD884" s="243"/>
      <c r="AE884" s="243"/>
      <c r="AF884" s="243"/>
      <c r="AG884" s="243"/>
      <c r="AH884" s="243"/>
      <c r="AI884" s="243"/>
      <c r="AJ884" s="243"/>
      <c r="AK884" s="243"/>
      <c r="AL884" s="243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</row>
    <row r="885" ht="16.5" customHeight="1">
      <c r="A885" s="243"/>
      <c r="B885" s="243"/>
      <c r="C885" s="243"/>
      <c r="D885" s="243"/>
      <c r="E885" s="243"/>
      <c r="F885" s="243"/>
      <c r="G885" s="243"/>
      <c r="H885" s="243"/>
      <c r="I885" s="243"/>
      <c r="J885" s="243"/>
      <c r="K885" s="243"/>
      <c r="L885" s="243"/>
      <c r="M885" s="243"/>
      <c r="N885" s="243"/>
      <c r="O885" s="243"/>
      <c r="P885" s="243"/>
      <c r="Q885" s="243"/>
      <c r="R885" s="243"/>
      <c r="S885" s="243"/>
      <c r="T885" s="243"/>
      <c r="U885" s="243"/>
      <c r="V885" s="243"/>
      <c r="W885" s="243"/>
      <c r="X885" s="243"/>
      <c r="Y885" s="243"/>
      <c r="Z885" s="243"/>
      <c r="AA885" s="243"/>
      <c r="AB885" s="243"/>
      <c r="AC885" s="243"/>
      <c r="AD885" s="243"/>
      <c r="AE885" s="243"/>
      <c r="AF885" s="243"/>
      <c r="AG885" s="243"/>
      <c r="AH885" s="243"/>
      <c r="AI885" s="243"/>
      <c r="AJ885" s="243"/>
      <c r="AK885" s="243"/>
      <c r="AL885" s="243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</row>
    <row r="886" ht="16.5" customHeight="1">
      <c r="A886" s="243"/>
      <c r="B886" s="243"/>
      <c r="C886" s="243"/>
      <c r="D886" s="243"/>
      <c r="E886" s="243"/>
      <c r="F886" s="243"/>
      <c r="G886" s="243"/>
      <c r="H886" s="243"/>
      <c r="I886" s="243"/>
      <c r="J886" s="243"/>
      <c r="K886" s="243"/>
      <c r="L886" s="243"/>
      <c r="M886" s="243"/>
      <c r="N886" s="243"/>
      <c r="O886" s="243"/>
      <c r="P886" s="243"/>
      <c r="Q886" s="243"/>
      <c r="R886" s="243"/>
      <c r="S886" s="243"/>
      <c r="T886" s="243"/>
      <c r="U886" s="243"/>
      <c r="V886" s="243"/>
      <c r="W886" s="243"/>
      <c r="X886" s="243"/>
      <c r="Y886" s="243"/>
      <c r="Z886" s="243"/>
      <c r="AA886" s="243"/>
      <c r="AB886" s="243"/>
      <c r="AC886" s="243"/>
      <c r="AD886" s="243"/>
      <c r="AE886" s="243"/>
      <c r="AF886" s="243"/>
      <c r="AG886" s="243"/>
      <c r="AH886" s="243"/>
      <c r="AI886" s="243"/>
      <c r="AJ886" s="243"/>
      <c r="AK886" s="243"/>
      <c r="AL886" s="243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</row>
    <row r="887" ht="16.5" customHeight="1">
      <c r="A887" s="243"/>
      <c r="B887" s="243"/>
      <c r="C887" s="243"/>
      <c r="D887" s="243"/>
      <c r="E887" s="243"/>
      <c r="F887" s="243"/>
      <c r="G887" s="243"/>
      <c r="H887" s="243"/>
      <c r="I887" s="243"/>
      <c r="J887" s="243"/>
      <c r="K887" s="243"/>
      <c r="L887" s="243"/>
      <c r="M887" s="243"/>
      <c r="N887" s="243"/>
      <c r="O887" s="243"/>
      <c r="P887" s="243"/>
      <c r="Q887" s="243"/>
      <c r="R887" s="243"/>
      <c r="S887" s="243"/>
      <c r="T887" s="243"/>
      <c r="U887" s="243"/>
      <c r="V887" s="243"/>
      <c r="W887" s="243"/>
      <c r="X887" s="243"/>
      <c r="Y887" s="243"/>
      <c r="Z887" s="243"/>
      <c r="AA887" s="243"/>
      <c r="AB887" s="243"/>
      <c r="AC887" s="243"/>
      <c r="AD887" s="243"/>
      <c r="AE887" s="243"/>
      <c r="AF887" s="243"/>
      <c r="AG887" s="243"/>
      <c r="AH887" s="243"/>
      <c r="AI887" s="243"/>
      <c r="AJ887" s="243"/>
      <c r="AK887" s="243"/>
      <c r="AL887" s="243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</row>
    <row r="888" ht="16.5" customHeight="1">
      <c r="A888" s="243"/>
      <c r="B888" s="243"/>
      <c r="C888" s="243"/>
      <c r="D888" s="243"/>
      <c r="E888" s="243"/>
      <c r="F888" s="243"/>
      <c r="G888" s="243"/>
      <c r="H888" s="243"/>
      <c r="I888" s="243"/>
      <c r="J888" s="243"/>
      <c r="K888" s="243"/>
      <c r="L888" s="243"/>
      <c r="M888" s="243"/>
      <c r="N888" s="243"/>
      <c r="O888" s="243"/>
      <c r="P888" s="243"/>
      <c r="Q888" s="243"/>
      <c r="R888" s="243"/>
      <c r="S888" s="243"/>
      <c r="T888" s="243"/>
      <c r="U888" s="243"/>
      <c r="V888" s="243"/>
      <c r="W888" s="243"/>
      <c r="X888" s="243"/>
      <c r="Y888" s="243"/>
      <c r="Z888" s="243"/>
      <c r="AA888" s="243"/>
      <c r="AB888" s="243"/>
      <c r="AC888" s="243"/>
      <c r="AD888" s="243"/>
      <c r="AE888" s="243"/>
      <c r="AF888" s="243"/>
      <c r="AG888" s="243"/>
      <c r="AH888" s="243"/>
      <c r="AI888" s="243"/>
      <c r="AJ888" s="243"/>
      <c r="AK888" s="243"/>
      <c r="AL888" s="243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</row>
    <row r="889" ht="16.5" customHeight="1">
      <c r="A889" s="243"/>
      <c r="B889" s="243"/>
      <c r="C889" s="243"/>
      <c r="D889" s="243"/>
      <c r="E889" s="243"/>
      <c r="F889" s="243"/>
      <c r="G889" s="243"/>
      <c r="H889" s="243"/>
      <c r="I889" s="243"/>
      <c r="J889" s="243"/>
      <c r="K889" s="243"/>
      <c r="L889" s="243"/>
      <c r="M889" s="243"/>
      <c r="N889" s="243"/>
      <c r="O889" s="243"/>
      <c r="P889" s="243"/>
      <c r="Q889" s="243"/>
      <c r="R889" s="243"/>
      <c r="S889" s="243"/>
      <c r="T889" s="243"/>
      <c r="U889" s="243"/>
      <c r="V889" s="243"/>
      <c r="W889" s="243"/>
      <c r="X889" s="243"/>
      <c r="Y889" s="243"/>
      <c r="Z889" s="243"/>
      <c r="AA889" s="243"/>
      <c r="AB889" s="243"/>
      <c r="AC889" s="243"/>
      <c r="AD889" s="243"/>
      <c r="AE889" s="243"/>
      <c r="AF889" s="243"/>
      <c r="AG889" s="243"/>
      <c r="AH889" s="243"/>
      <c r="AI889" s="243"/>
      <c r="AJ889" s="243"/>
      <c r="AK889" s="243"/>
      <c r="AL889" s="243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</row>
    <row r="890" ht="16.5" customHeight="1">
      <c r="A890" s="243"/>
      <c r="B890" s="243"/>
      <c r="C890" s="243"/>
      <c r="D890" s="243"/>
      <c r="E890" s="243"/>
      <c r="F890" s="243"/>
      <c r="G890" s="243"/>
      <c r="H890" s="243"/>
      <c r="I890" s="243"/>
      <c r="J890" s="243"/>
      <c r="K890" s="243"/>
      <c r="L890" s="243"/>
      <c r="M890" s="243"/>
      <c r="N890" s="243"/>
      <c r="O890" s="243"/>
      <c r="P890" s="243"/>
      <c r="Q890" s="243"/>
      <c r="R890" s="243"/>
      <c r="S890" s="243"/>
      <c r="T890" s="243"/>
      <c r="U890" s="243"/>
      <c r="V890" s="243"/>
      <c r="W890" s="243"/>
      <c r="X890" s="243"/>
      <c r="Y890" s="243"/>
      <c r="Z890" s="243"/>
      <c r="AA890" s="243"/>
      <c r="AB890" s="243"/>
      <c r="AC890" s="243"/>
      <c r="AD890" s="243"/>
      <c r="AE890" s="243"/>
      <c r="AF890" s="243"/>
      <c r="AG890" s="243"/>
      <c r="AH890" s="243"/>
      <c r="AI890" s="243"/>
      <c r="AJ890" s="243"/>
      <c r="AK890" s="243"/>
      <c r="AL890" s="243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</row>
    <row r="891" ht="16.5" customHeight="1">
      <c r="A891" s="243"/>
      <c r="B891" s="243"/>
      <c r="C891" s="243"/>
      <c r="D891" s="243"/>
      <c r="E891" s="243"/>
      <c r="F891" s="243"/>
      <c r="G891" s="243"/>
      <c r="H891" s="243"/>
      <c r="I891" s="243"/>
      <c r="J891" s="243"/>
      <c r="K891" s="243"/>
      <c r="L891" s="243"/>
      <c r="M891" s="243"/>
      <c r="N891" s="243"/>
      <c r="O891" s="243"/>
      <c r="P891" s="243"/>
      <c r="Q891" s="243"/>
      <c r="R891" s="243"/>
      <c r="S891" s="243"/>
      <c r="T891" s="243"/>
      <c r="U891" s="243"/>
      <c r="V891" s="243"/>
      <c r="W891" s="243"/>
      <c r="X891" s="243"/>
      <c r="Y891" s="243"/>
      <c r="Z891" s="243"/>
      <c r="AA891" s="243"/>
      <c r="AB891" s="243"/>
      <c r="AC891" s="243"/>
      <c r="AD891" s="243"/>
      <c r="AE891" s="243"/>
      <c r="AF891" s="243"/>
      <c r="AG891" s="243"/>
      <c r="AH891" s="243"/>
      <c r="AI891" s="243"/>
      <c r="AJ891" s="243"/>
      <c r="AK891" s="243"/>
      <c r="AL891" s="243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</row>
    <row r="892" ht="16.5" customHeight="1">
      <c r="A892" s="243"/>
      <c r="B892" s="243"/>
      <c r="C892" s="243"/>
      <c r="D892" s="243"/>
      <c r="E892" s="243"/>
      <c r="F892" s="243"/>
      <c r="G892" s="243"/>
      <c r="H892" s="243"/>
      <c r="I892" s="243"/>
      <c r="J892" s="243"/>
      <c r="K892" s="243"/>
      <c r="L892" s="243"/>
      <c r="M892" s="243"/>
      <c r="N892" s="243"/>
      <c r="O892" s="243"/>
      <c r="P892" s="243"/>
      <c r="Q892" s="243"/>
      <c r="R892" s="243"/>
      <c r="S892" s="243"/>
      <c r="T892" s="243"/>
      <c r="U892" s="243"/>
      <c r="V892" s="243"/>
      <c r="W892" s="243"/>
      <c r="X892" s="243"/>
      <c r="Y892" s="243"/>
      <c r="Z892" s="243"/>
      <c r="AA892" s="243"/>
      <c r="AB892" s="243"/>
      <c r="AC892" s="243"/>
      <c r="AD892" s="243"/>
      <c r="AE892" s="243"/>
      <c r="AF892" s="243"/>
      <c r="AG892" s="243"/>
      <c r="AH892" s="243"/>
      <c r="AI892" s="243"/>
      <c r="AJ892" s="243"/>
      <c r="AK892" s="243"/>
      <c r="AL892" s="243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</row>
    <row r="893" ht="16.5" customHeight="1">
      <c r="A893" s="243"/>
      <c r="B893" s="243"/>
      <c r="C893" s="243"/>
      <c r="D893" s="243"/>
      <c r="E893" s="243"/>
      <c r="F893" s="243"/>
      <c r="G893" s="243"/>
      <c r="H893" s="243"/>
      <c r="I893" s="243"/>
      <c r="J893" s="243"/>
      <c r="K893" s="243"/>
      <c r="L893" s="243"/>
      <c r="M893" s="243"/>
      <c r="N893" s="243"/>
      <c r="O893" s="243"/>
      <c r="P893" s="243"/>
      <c r="Q893" s="243"/>
      <c r="R893" s="243"/>
      <c r="S893" s="243"/>
      <c r="T893" s="243"/>
      <c r="U893" s="243"/>
      <c r="V893" s="243"/>
      <c r="W893" s="243"/>
      <c r="X893" s="243"/>
      <c r="Y893" s="243"/>
      <c r="Z893" s="243"/>
      <c r="AA893" s="243"/>
      <c r="AB893" s="243"/>
      <c r="AC893" s="243"/>
      <c r="AD893" s="243"/>
      <c r="AE893" s="243"/>
      <c r="AF893" s="243"/>
      <c r="AG893" s="243"/>
      <c r="AH893" s="243"/>
      <c r="AI893" s="243"/>
      <c r="AJ893" s="243"/>
      <c r="AK893" s="243"/>
      <c r="AL893" s="243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</row>
    <row r="894" ht="16.5" customHeight="1">
      <c r="A894" s="243"/>
      <c r="B894" s="243"/>
      <c r="C894" s="243"/>
      <c r="D894" s="243"/>
      <c r="E894" s="243"/>
      <c r="F894" s="243"/>
      <c r="G894" s="243"/>
      <c r="H894" s="243"/>
      <c r="I894" s="243"/>
      <c r="J894" s="243"/>
      <c r="K894" s="243"/>
      <c r="L894" s="243"/>
      <c r="M894" s="243"/>
      <c r="N894" s="243"/>
      <c r="O894" s="243"/>
      <c r="P894" s="243"/>
      <c r="Q894" s="243"/>
      <c r="R894" s="243"/>
      <c r="S894" s="243"/>
      <c r="T894" s="243"/>
      <c r="U894" s="243"/>
      <c r="V894" s="243"/>
      <c r="W894" s="243"/>
      <c r="X894" s="243"/>
      <c r="Y894" s="243"/>
      <c r="Z894" s="243"/>
      <c r="AA894" s="243"/>
      <c r="AB894" s="243"/>
      <c r="AC894" s="243"/>
      <c r="AD894" s="243"/>
      <c r="AE894" s="243"/>
      <c r="AF894" s="243"/>
      <c r="AG894" s="243"/>
      <c r="AH894" s="243"/>
      <c r="AI894" s="243"/>
      <c r="AJ894" s="243"/>
      <c r="AK894" s="243"/>
      <c r="AL894" s="243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</row>
    <row r="895" ht="16.5" customHeight="1">
      <c r="A895" s="243"/>
      <c r="B895" s="243"/>
      <c r="C895" s="243"/>
      <c r="D895" s="243"/>
      <c r="E895" s="243"/>
      <c r="F895" s="243"/>
      <c r="G895" s="243"/>
      <c r="H895" s="243"/>
      <c r="I895" s="243"/>
      <c r="J895" s="243"/>
      <c r="K895" s="243"/>
      <c r="L895" s="243"/>
      <c r="M895" s="243"/>
      <c r="N895" s="243"/>
      <c r="O895" s="243"/>
      <c r="P895" s="243"/>
      <c r="Q895" s="243"/>
      <c r="R895" s="243"/>
      <c r="S895" s="243"/>
      <c r="T895" s="243"/>
      <c r="U895" s="243"/>
      <c r="V895" s="243"/>
      <c r="W895" s="243"/>
      <c r="X895" s="243"/>
      <c r="Y895" s="243"/>
      <c r="Z895" s="243"/>
      <c r="AA895" s="243"/>
      <c r="AB895" s="243"/>
      <c r="AC895" s="243"/>
      <c r="AD895" s="243"/>
      <c r="AE895" s="243"/>
      <c r="AF895" s="243"/>
      <c r="AG895" s="243"/>
      <c r="AH895" s="243"/>
      <c r="AI895" s="243"/>
      <c r="AJ895" s="243"/>
      <c r="AK895" s="243"/>
      <c r="AL895" s="243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</row>
    <row r="896" ht="16.5" customHeight="1">
      <c r="A896" s="243"/>
      <c r="B896" s="243"/>
      <c r="C896" s="243"/>
      <c r="D896" s="243"/>
      <c r="E896" s="243"/>
      <c r="F896" s="243"/>
      <c r="G896" s="243"/>
      <c r="H896" s="243"/>
      <c r="I896" s="243"/>
      <c r="J896" s="243"/>
      <c r="K896" s="243"/>
      <c r="L896" s="243"/>
      <c r="M896" s="243"/>
      <c r="N896" s="243"/>
      <c r="O896" s="243"/>
      <c r="P896" s="243"/>
      <c r="Q896" s="243"/>
      <c r="R896" s="243"/>
      <c r="S896" s="243"/>
      <c r="T896" s="243"/>
      <c r="U896" s="243"/>
      <c r="V896" s="243"/>
      <c r="W896" s="243"/>
      <c r="X896" s="243"/>
      <c r="Y896" s="243"/>
      <c r="Z896" s="243"/>
      <c r="AA896" s="243"/>
      <c r="AB896" s="243"/>
      <c r="AC896" s="243"/>
      <c r="AD896" s="243"/>
      <c r="AE896" s="243"/>
      <c r="AF896" s="243"/>
      <c r="AG896" s="243"/>
      <c r="AH896" s="243"/>
      <c r="AI896" s="243"/>
      <c r="AJ896" s="243"/>
      <c r="AK896" s="243"/>
      <c r="AL896" s="243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</row>
    <row r="897" ht="16.5" customHeight="1">
      <c r="A897" s="243"/>
      <c r="B897" s="243"/>
      <c r="C897" s="243"/>
      <c r="D897" s="243"/>
      <c r="E897" s="243"/>
      <c r="F897" s="243"/>
      <c r="G897" s="243"/>
      <c r="H897" s="243"/>
      <c r="I897" s="243"/>
      <c r="J897" s="243"/>
      <c r="K897" s="243"/>
      <c r="L897" s="243"/>
      <c r="M897" s="243"/>
      <c r="N897" s="243"/>
      <c r="O897" s="243"/>
      <c r="P897" s="243"/>
      <c r="Q897" s="243"/>
      <c r="R897" s="243"/>
      <c r="S897" s="243"/>
      <c r="T897" s="243"/>
      <c r="U897" s="243"/>
      <c r="V897" s="243"/>
      <c r="W897" s="243"/>
      <c r="X897" s="243"/>
      <c r="Y897" s="243"/>
      <c r="Z897" s="243"/>
      <c r="AA897" s="243"/>
      <c r="AB897" s="243"/>
      <c r="AC897" s="243"/>
      <c r="AD897" s="243"/>
      <c r="AE897" s="243"/>
      <c r="AF897" s="243"/>
      <c r="AG897" s="243"/>
      <c r="AH897" s="243"/>
      <c r="AI897" s="243"/>
      <c r="AJ897" s="243"/>
      <c r="AK897" s="243"/>
      <c r="AL897" s="243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</row>
    <row r="898" ht="16.5" customHeight="1">
      <c r="A898" s="243"/>
      <c r="B898" s="243"/>
      <c r="C898" s="243"/>
      <c r="D898" s="243"/>
      <c r="E898" s="243"/>
      <c r="F898" s="243"/>
      <c r="G898" s="243"/>
      <c r="H898" s="243"/>
      <c r="I898" s="243"/>
      <c r="J898" s="243"/>
      <c r="K898" s="243"/>
      <c r="L898" s="243"/>
      <c r="M898" s="243"/>
      <c r="N898" s="243"/>
      <c r="O898" s="243"/>
      <c r="P898" s="243"/>
      <c r="Q898" s="243"/>
      <c r="R898" s="243"/>
      <c r="S898" s="243"/>
      <c r="T898" s="243"/>
      <c r="U898" s="243"/>
      <c r="V898" s="243"/>
      <c r="W898" s="243"/>
      <c r="X898" s="243"/>
      <c r="Y898" s="243"/>
      <c r="Z898" s="243"/>
      <c r="AA898" s="243"/>
      <c r="AB898" s="243"/>
      <c r="AC898" s="243"/>
      <c r="AD898" s="243"/>
      <c r="AE898" s="243"/>
      <c r="AF898" s="243"/>
      <c r="AG898" s="243"/>
      <c r="AH898" s="243"/>
      <c r="AI898" s="243"/>
      <c r="AJ898" s="243"/>
      <c r="AK898" s="243"/>
      <c r="AL898" s="243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</row>
    <row r="899" ht="16.5" customHeight="1">
      <c r="A899" s="243"/>
      <c r="B899" s="243"/>
      <c r="C899" s="243"/>
      <c r="D899" s="243"/>
      <c r="E899" s="243"/>
      <c r="F899" s="243"/>
      <c r="G899" s="243"/>
      <c r="H899" s="243"/>
      <c r="I899" s="243"/>
      <c r="J899" s="243"/>
      <c r="K899" s="243"/>
      <c r="L899" s="243"/>
      <c r="M899" s="243"/>
      <c r="N899" s="243"/>
      <c r="O899" s="243"/>
      <c r="P899" s="243"/>
      <c r="Q899" s="243"/>
      <c r="R899" s="243"/>
      <c r="S899" s="243"/>
      <c r="T899" s="243"/>
      <c r="U899" s="243"/>
      <c r="V899" s="243"/>
      <c r="W899" s="243"/>
      <c r="X899" s="243"/>
      <c r="Y899" s="243"/>
      <c r="Z899" s="243"/>
      <c r="AA899" s="243"/>
      <c r="AB899" s="243"/>
      <c r="AC899" s="243"/>
      <c r="AD899" s="243"/>
      <c r="AE899" s="243"/>
      <c r="AF899" s="243"/>
      <c r="AG899" s="243"/>
      <c r="AH899" s="243"/>
      <c r="AI899" s="243"/>
      <c r="AJ899" s="243"/>
      <c r="AK899" s="243"/>
      <c r="AL899" s="243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</row>
    <row r="900" ht="16.5" customHeight="1">
      <c r="A900" s="243"/>
      <c r="B900" s="243"/>
      <c r="C900" s="243"/>
      <c r="D900" s="243"/>
      <c r="E900" s="243"/>
      <c r="F900" s="243"/>
      <c r="G900" s="243"/>
      <c r="H900" s="243"/>
      <c r="I900" s="243"/>
      <c r="J900" s="243"/>
      <c r="K900" s="243"/>
      <c r="L900" s="243"/>
      <c r="M900" s="243"/>
      <c r="N900" s="243"/>
      <c r="O900" s="243"/>
      <c r="P900" s="243"/>
      <c r="Q900" s="243"/>
      <c r="R900" s="243"/>
      <c r="S900" s="243"/>
      <c r="T900" s="243"/>
      <c r="U900" s="243"/>
      <c r="V900" s="243"/>
      <c r="W900" s="243"/>
      <c r="X900" s="243"/>
      <c r="Y900" s="243"/>
      <c r="Z900" s="243"/>
      <c r="AA900" s="243"/>
      <c r="AB900" s="243"/>
      <c r="AC900" s="243"/>
      <c r="AD900" s="243"/>
      <c r="AE900" s="243"/>
      <c r="AF900" s="243"/>
      <c r="AG900" s="243"/>
      <c r="AH900" s="243"/>
      <c r="AI900" s="243"/>
      <c r="AJ900" s="243"/>
      <c r="AK900" s="243"/>
      <c r="AL900" s="243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</row>
    <row r="901" ht="16.5" customHeight="1">
      <c r="A901" s="243"/>
      <c r="B901" s="243"/>
      <c r="C901" s="243"/>
      <c r="D901" s="243"/>
      <c r="E901" s="243"/>
      <c r="F901" s="243"/>
      <c r="G901" s="243"/>
      <c r="H901" s="243"/>
      <c r="I901" s="243"/>
      <c r="J901" s="243"/>
      <c r="K901" s="243"/>
      <c r="L901" s="243"/>
      <c r="M901" s="243"/>
      <c r="N901" s="243"/>
      <c r="O901" s="243"/>
      <c r="P901" s="243"/>
      <c r="Q901" s="243"/>
      <c r="R901" s="243"/>
      <c r="S901" s="243"/>
      <c r="T901" s="243"/>
      <c r="U901" s="243"/>
      <c r="V901" s="243"/>
      <c r="W901" s="243"/>
      <c r="X901" s="243"/>
      <c r="Y901" s="243"/>
      <c r="Z901" s="243"/>
      <c r="AA901" s="243"/>
      <c r="AB901" s="243"/>
      <c r="AC901" s="243"/>
      <c r="AD901" s="243"/>
      <c r="AE901" s="243"/>
      <c r="AF901" s="243"/>
      <c r="AG901" s="243"/>
      <c r="AH901" s="243"/>
      <c r="AI901" s="243"/>
      <c r="AJ901" s="243"/>
      <c r="AK901" s="243"/>
      <c r="AL901" s="243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</row>
    <row r="902" ht="16.5" customHeight="1">
      <c r="A902" s="243"/>
      <c r="B902" s="243"/>
      <c r="C902" s="243"/>
      <c r="D902" s="243"/>
      <c r="E902" s="243"/>
      <c r="F902" s="243"/>
      <c r="G902" s="243"/>
      <c r="H902" s="243"/>
      <c r="I902" s="243"/>
      <c r="J902" s="243"/>
      <c r="K902" s="243"/>
      <c r="L902" s="243"/>
      <c r="M902" s="243"/>
      <c r="N902" s="243"/>
      <c r="O902" s="243"/>
      <c r="P902" s="243"/>
      <c r="Q902" s="243"/>
      <c r="R902" s="243"/>
      <c r="S902" s="243"/>
      <c r="T902" s="243"/>
      <c r="U902" s="243"/>
      <c r="V902" s="243"/>
      <c r="W902" s="243"/>
      <c r="X902" s="243"/>
      <c r="Y902" s="243"/>
      <c r="Z902" s="243"/>
      <c r="AA902" s="243"/>
      <c r="AB902" s="243"/>
      <c r="AC902" s="243"/>
      <c r="AD902" s="243"/>
      <c r="AE902" s="243"/>
      <c r="AF902" s="243"/>
      <c r="AG902" s="243"/>
      <c r="AH902" s="243"/>
      <c r="AI902" s="243"/>
      <c r="AJ902" s="243"/>
      <c r="AK902" s="243"/>
      <c r="AL902" s="243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</row>
    <row r="903" ht="16.5" customHeight="1">
      <c r="A903" s="243"/>
      <c r="B903" s="243"/>
      <c r="C903" s="243"/>
      <c r="D903" s="243"/>
      <c r="E903" s="243"/>
      <c r="F903" s="243"/>
      <c r="G903" s="243"/>
      <c r="H903" s="243"/>
      <c r="I903" s="243"/>
      <c r="J903" s="243"/>
      <c r="K903" s="243"/>
      <c r="L903" s="243"/>
      <c r="M903" s="243"/>
      <c r="N903" s="243"/>
      <c r="O903" s="243"/>
      <c r="P903" s="243"/>
      <c r="Q903" s="243"/>
      <c r="R903" s="243"/>
      <c r="S903" s="243"/>
      <c r="T903" s="243"/>
      <c r="U903" s="243"/>
      <c r="V903" s="243"/>
      <c r="W903" s="243"/>
      <c r="X903" s="243"/>
      <c r="Y903" s="243"/>
      <c r="Z903" s="243"/>
      <c r="AA903" s="243"/>
      <c r="AB903" s="243"/>
      <c r="AC903" s="243"/>
      <c r="AD903" s="243"/>
      <c r="AE903" s="243"/>
      <c r="AF903" s="243"/>
      <c r="AG903" s="243"/>
      <c r="AH903" s="243"/>
      <c r="AI903" s="243"/>
      <c r="AJ903" s="243"/>
      <c r="AK903" s="243"/>
      <c r="AL903" s="243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</row>
    <row r="904" ht="16.5" customHeight="1">
      <c r="A904" s="243"/>
      <c r="B904" s="243"/>
      <c r="C904" s="243"/>
      <c r="D904" s="243"/>
      <c r="E904" s="243"/>
      <c r="F904" s="243"/>
      <c r="G904" s="243"/>
      <c r="H904" s="243"/>
      <c r="I904" s="243"/>
      <c r="J904" s="243"/>
      <c r="K904" s="243"/>
      <c r="L904" s="243"/>
      <c r="M904" s="243"/>
      <c r="N904" s="243"/>
      <c r="O904" s="243"/>
      <c r="P904" s="243"/>
      <c r="Q904" s="243"/>
      <c r="R904" s="243"/>
      <c r="S904" s="243"/>
      <c r="T904" s="243"/>
      <c r="U904" s="243"/>
      <c r="V904" s="243"/>
      <c r="W904" s="243"/>
      <c r="X904" s="243"/>
      <c r="Y904" s="243"/>
      <c r="Z904" s="243"/>
      <c r="AA904" s="243"/>
      <c r="AB904" s="243"/>
      <c r="AC904" s="243"/>
      <c r="AD904" s="243"/>
      <c r="AE904" s="243"/>
      <c r="AF904" s="243"/>
      <c r="AG904" s="243"/>
      <c r="AH904" s="243"/>
      <c r="AI904" s="243"/>
      <c r="AJ904" s="243"/>
      <c r="AK904" s="243"/>
      <c r="AL904" s="243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</row>
    <row r="905" ht="16.5" customHeight="1">
      <c r="A905" s="243"/>
      <c r="B905" s="243"/>
      <c r="C905" s="243"/>
      <c r="D905" s="243"/>
      <c r="E905" s="243"/>
      <c r="F905" s="243"/>
      <c r="G905" s="243"/>
      <c r="H905" s="243"/>
      <c r="I905" s="243"/>
      <c r="J905" s="243"/>
      <c r="K905" s="243"/>
      <c r="L905" s="243"/>
      <c r="M905" s="243"/>
      <c r="N905" s="243"/>
      <c r="O905" s="243"/>
      <c r="P905" s="243"/>
      <c r="Q905" s="243"/>
      <c r="R905" s="243"/>
      <c r="S905" s="243"/>
      <c r="T905" s="243"/>
      <c r="U905" s="243"/>
      <c r="V905" s="243"/>
      <c r="W905" s="243"/>
      <c r="X905" s="243"/>
      <c r="Y905" s="243"/>
      <c r="Z905" s="243"/>
      <c r="AA905" s="243"/>
      <c r="AB905" s="243"/>
      <c r="AC905" s="243"/>
      <c r="AD905" s="243"/>
      <c r="AE905" s="243"/>
      <c r="AF905" s="243"/>
      <c r="AG905" s="243"/>
      <c r="AH905" s="243"/>
      <c r="AI905" s="243"/>
      <c r="AJ905" s="243"/>
      <c r="AK905" s="243"/>
      <c r="AL905" s="243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</row>
    <row r="906" ht="16.5" customHeight="1">
      <c r="A906" s="243"/>
      <c r="B906" s="243"/>
      <c r="C906" s="243"/>
      <c r="D906" s="243"/>
      <c r="E906" s="243"/>
      <c r="F906" s="243"/>
      <c r="G906" s="243"/>
      <c r="H906" s="243"/>
      <c r="I906" s="243"/>
      <c r="J906" s="243"/>
      <c r="K906" s="243"/>
      <c r="L906" s="243"/>
      <c r="M906" s="243"/>
      <c r="N906" s="243"/>
      <c r="O906" s="243"/>
      <c r="P906" s="243"/>
      <c r="Q906" s="243"/>
      <c r="R906" s="243"/>
      <c r="S906" s="243"/>
      <c r="T906" s="243"/>
      <c r="U906" s="243"/>
      <c r="V906" s="243"/>
      <c r="W906" s="243"/>
      <c r="X906" s="243"/>
      <c r="Y906" s="243"/>
      <c r="Z906" s="243"/>
      <c r="AA906" s="243"/>
      <c r="AB906" s="243"/>
      <c r="AC906" s="243"/>
      <c r="AD906" s="243"/>
      <c r="AE906" s="243"/>
      <c r="AF906" s="243"/>
      <c r="AG906" s="243"/>
      <c r="AH906" s="243"/>
      <c r="AI906" s="243"/>
      <c r="AJ906" s="243"/>
      <c r="AK906" s="243"/>
      <c r="AL906" s="243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</row>
    <row r="907" ht="16.5" customHeight="1">
      <c r="A907" s="243"/>
      <c r="B907" s="243"/>
      <c r="C907" s="243"/>
      <c r="D907" s="243"/>
      <c r="E907" s="243"/>
      <c r="F907" s="243"/>
      <c r="G907" s="243"/>
      <c r="H907" s="243"/>
      <c r="I907" s="243"/>
      <c r="J907" s="243"/>
      <c r="K907" s="243"/>
      <c r="L907" s="243"/>
      <c r="M907" s="243"/>
      <c r="N907" s="243"/>
      <c r="O907" s="243"/>
      <c r="P907" s="243"/>
      <c r="Q907" s="243"/>
      <c r="R907" s="243"/>
      <c r="S907" s="243"/>
      <c r="T907" s="243"/>
      <c r="U907" s="243"/>
      <c r="V907" s="243"/>
      <c r="W907" s="243"/>
      <c r="X907" s="243"/>
      <c r="Y907" s="243"/>
      <c r="Z907" s="243"/>
      <c r="AA907" s="243"/>
      <c r="AB907" s="243"/>
      <c r="AC907" s="243"/>
      <c r="AD907" s="243"/>
      <c r="AE907" s="243"/>
      <c r="AF907" s="243"/>
      <c r="AG907" s="243"/>
      <c r="AH907" s="243"/>
      <c r="AI907" s="243"/>
      <c r="AJ907" s="243"/>
      <c r="AK907" s="243"/>
      <c r="AL907" s="243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</row>
    <row r="908" ht="16.5" customHeight="1">
      <c r="A908" s="243"/>
      <c r="B908" s="243"/>
      <c r="C908" s="243"/>
      <c r="D908" s="243"/>
      <c r="E908" s="243"/>
      <c r="F908" s="243"/>
      <c r="G908" s="243"/>
      <c r="H908" s="243"/>
      <c r="I908" s="243"/>
      <c r="J908" s="243"/>
      <c r="K908" s="243"/>
      <c r="L908" s="243"/>
      <c r="M908" s="243"/>
      <c r="N908" s="243"/>
      <c r="O908" s="243"/>
      <c r="P908" s="243"/>
      <c r="Q908" s="243"/>
      <c r="R908" s="243"/>
      <c r="S908" s="243"/>
      <c r="T908" s="243"/>
      <c r="U908" s="243"/>
      <c r="V908" s="243"/>
      <c r="W908" s="243"/>
      <c r="X908" s="243"/>
      <c r="Y908" s="243"/>
      <c r="Z908" s="243"/>
      <c r="AA908" s="243"/>
      <c r="AB908" s="243"/>
      <c r="AC908" s="243"/>
      <c r="AD908" s="243"/>
      <c r="AE908" s="243"/>
      <c r="AF908" s="243"/>
      <c r="AG908" s="243"/>
      <c r="AH908" s="243"/>
      <c r="AI908" s="243"/>
      <c r="AJ908" s="243"/>
      <c r="AK908" s="243"/>
      <c r="AL908" s="243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</row>
    <row r="909" ht="16.5" customHeight="1">
      <c r="A909" s="243"/>
      <c r="B909" s="243"/>
      <c r="C909" s="243"/>
      <c r="D909" s="243"/>
      <c r="E909" s="243"/>
      <c r="F909" s="243"/>
      <c r="G909" s="243"/>
      <c r="H909" s="243"/>
      <c r="I909" s="243"/>
      <c r="J909" s="243"/>
      <c r="K909" s="243"/>
      <c r="L909" s="243"/>
      <c r="M909" s="243"/>
      <c r="N909" s="243"/>
      <c r="O909" s="243"/>
      <c r="P909" s="243"/>
      <c r="Q909" s="243"/>
      <c r="R909" s="243"/>
      <c r="S909" s="243"/>
      <c r="T909" s="243"/>
      <c r="U909" s="243"/>
      <c r="V909" s="243"/>
      <c r="W909" s="243"/>
      <c r="X909" s="243"/>
      <c r="Y909" s="243"/>
      <c r="Z909" s="243"/>
      <c r="AA909" s="243"/>
      <c r="AB909" s="243"/>
      <c r="AC909" s="243"/>
      <c r="AD909" s="243"/>
      <c r="AE909" s="243"/>
      <c r="AF909" s="243"/>
      <c r="AG909" s="243"/>
      <c r="AH909" s="243"/>
      <c r="AI909" s="243"/>
      <c r="AJ909" s="243"/>
      <c r="AK909" s="243"/>
      <c r="AL909" s="243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</row>
    <row r="910" ht="16.5" customHeight="1">
      <c r="A910" s="243"/>
      <c r="B910" s="243"/>
      <c r="C910" s="243"/>
      <c r="D910" s="243"/>
      <c r="E910" s="243"/>
      <c r="F910" s="243"/>
      <c r="G910" s="243"/>
      <c r="H910" s="243"/>
      <c r="I910" s="243"/>
      <c r="J910" s="243"/>
      <c r="K910" s="243"/>
      <c r="L910" s="243"/>
      <c r="M910" s="243"/>
      <c r="N910" s="243"/>
      <c r="O910" s="243"/>
      <c r="P910" s="243"/>
      <c r="Q910" s="243"/>
      <c r="R910" s="243"/>
      <c r="S910" s="243"/>
      <c r="T910" s="243"/>
      <c r="U910" s="243"/>
      <c r="V910" s="243"/>
      <c r="W910" s="243"/>
      <c r="X910" s="243"/>
      <c r="Y910" s="243"/>
      <c r="Z910" s="243"/>
      <c r="AA910" s="243"/>
      <c r="AB910" s="243"/>
      <c r="AC910" s="243"/>
      <c r="AD910" s="243"/>
      <c r="AE910" s="243"/>
      <c r="AF910" s="243"/>
      <c r="AG910" s="243"/>
      <c r="AH910" s="243"/>
      <c r="AI910" s="243"/>
      <c r="AJ910" s="243"/>
      <c r="AK910" s="243"/>
      <c r="AL910" s="243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</row>
    <row r="911" ht="16.5" customHeight="1">
      <c r="A911" s="243"/>
      <c r="B911" s="243"/>
      <c r="C911" s="243"/>
      <c r="D911" s="243"/>
      <c r="E911" s="243"/>
      <c r="F911" s="243"/>
      <c r="G911" s="243"/>
      <c r="H911" s="243"/>
      <c r="I911" s="243"/>
      <c r="J911" s="243"/>
      <c r="K911" s="243"/>
      <c r="L911" s="243"/>
      <c r="M911" s="243"/>
      <c r="N911" s="243"/>
      <c r="O911" s="243"/>
      <c r="P911" s="243"/>
      <c r="Q911" s="243"/>
      <c r="R911" s="243"/>
      <c r="S911" s="243"/>
      <c r="T911" s="243"/>
      <c r="U911" s="243"/>
      <c r="V911" s="243"/>
      <c r="W911" s="243"/>
      <c r="X911" s="243"/>
      <c r="Y911" s="243"/>
      <c r="Z911" s="243"/>
      <c r="AA911" s="243"/>
      <c r="AB911" s="243"/>
      <c r="AC911" s="243"/>
      <c r="AD911" s="243"/>
      <c r="AE911" s="243"/>
      <c r="AF911" s="243"/>
      <c r="AG911" s="243"/>
      <c r="AH911" s="243"/>
      <c r="AI911" s="243"/>
      <c r="AJ911" s="243"/>
      <c r="AK911" s="243"/>
      <c r="AL911" s="243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</row>
    <row r="912" ht="16.5" customHeight="1">
      <c r="A912" s="243"/>
      <c r="B912" s="243"/>
      <c r="C912" s="243"/>
      <c r="D912" s="243"/>
      <c r="E912" s="243"/>
      <c r="F912" s="243"/>
      <c r="G912" s="243"/>
      <c r="H912" s="243"/>
      <c r="I912" s="243"/>
      <c r="J912" s="243"/>
      <c r="K912" s="243"/>
      <c r="L912" s="243"/>
      <c r="M912" s="243"/>
      <c r="N912" s="243"/>
      <c r="O912" s="243"/>
      <c r="P912" s="243"/>
      <c r="Q912" s="243"/>
      <c r="R912" s="243"/>
      <c r="S912" s="243"/>
      <c r="T912" s="243"/>
      <c r="U912" s="243"/>
      <c r="V912" s="243"/>
      <c r="W912" s="243"/>
      <c r="X912" s="243"/>
      <c r="Y912" s="243"/>
      <c r="Z912" s="243"/>
      <c r="AA912" s="243"/>
      <c r="AB912" s="243"/>
      <c r="AC912" s="243"/>
      <c r="AD912" s="243"/>
      <c r="AE912" s="243"/>
      <c r="AF912" s="243"/>
      <c r="AG912" s="243"/>
      <c r="AH912" s="243"/>
      <c r="AI912" s="243"/>
      <c r="AJ912" s="243"/>
      <c r="AK912" s="243"/>
      <c r="AL912" s="243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</row>
    <row r="913" ht="16.5" customHeight="1">
      <c r="A913" s="243"/>
      <c r="B913" s="243"/>
      <c r="C913" s="243"/>
      <c r="D913" s="243"/>
      <c r="E913" s="243"/>
      <c r="F913" s="243"/>
      <c r="G913" s="243"/>
      <c r="H913" s="243"/>
      <c r="I913" s="243"/>
      <c r="J913" s="243"/>
      <c r="K913" s="243"/>
      <c r="L913" s="243"/>
      <c r="M913" s="243"/>
      <c r="N913" s="243"/>
      <c r="O913" s="243"/>
      <c r="P913" s="243"/>
      <c r="Q913" s="243"/>
      <c r="R913" s="243"/>
      <c r="S913" s="243"/>
      <c r="T913" s="243"/>
      <c r="U913" s="243"/>
      <c r="V913" s="243"/>
      <c r="W913" s="243"/>
      <c r="X913" s="243"/>
      <c r="Y913" s="243"/>
      <c r="Z913" s="243"/>
      <c r="AA913" s="243"/>
      <c r="AB913" s="243"/>
      <c r="AC913" s="243"/>
      <c r="AD913" s="243"/>
      <c r="AE913" s="243"/>
      <c r="AF913" s="243"/>
      <c r="AG913" s="243"/>
      <c r="AH913" s="243"/>
      <c r="AI913" s="243"/>
      <c r="AJ913" s="243"/>
      <c r="AK913" s="243"/>
      <c r="AL913" s="243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</row>
    <row r="914" ht="16.5" customHeight="1">
      <c r="A914" s="243"/>
      <c r="B914" s="243"/>
      <c r="C914" s="243"/>
      <c r="D914" s="243"/>
      <c r="E914" s="243"/>
      <c r="F914" s="243"/>
      <c r="G914" s="243"/>
      <c r="H914" s="243"/>
      <c r="I914" s="243"/>
      <c r="J914" s="243"/>
      <c r="K914" s="243"/>
      <c r="L914" s="243"/>
      <c r="M914" s="243"/>
      <c r="N914" s="243"/>
      <c r="O914" s="243"/>
      <c r="P914" s="243"/>
      <c r="Q914" s="243"/>
      <c r="R914" s="243"/>
      <c r="S914" s="243"/>
      <c r="T914" s="243"/>
      <c r="U914" s="243"/>
      <c r="V914" s="243"/>
      <c r="W914" s="243"/>
      <c r="X914" s="243"/>
      <c r="Y914" s="243"/>
      <c r="Z914" s="243"/>
      <c r="AA914" s="243"/>
      <c r="AB914" s="243"/>
      <c r="AC914" s="243"/>
      <c r="AD914" s="243"/>
      <c r="AE914" s="243"/>
      <c r="AF914" s="243"/>
      <c r="AG914" s="243"/>
      <c r="AH914" s="243"/>
      <c r="AI914" s="243"/>
      <c r="AJ914" s="243"/>
      <c r="AK914" s="243"/>
      <c r="AL914" s="243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</row>
    <row r="915" ht="16.5" customHeight="1">
      <c r="A915" s="243"/>
      <c r="B915" s="243"/>
      <c r="C915" s="243"/>
      <c r="D915" s="243"/>
      <c r="E915" s="243"/>
      <c r="F915" s="243"/>
      <c r="G915" s="243"/>
      <c r="H915" s="243"/>
      <c r="I915" s="243"/>
      <c r="J915" s="243"/>
      <c r="K915" s="243"/>
      <c r="L915" s="243"/>
      <c r="M915" s="243"/>
      <c r="N915" s="243"/>
      <c r="O915" s="243"/>
      <c r="P915" s="243"/>
      <c r="Q915" s="243"/>
      <c r="R915" s="243"/>
      <c r="S915" s="243"/>
      <c r="T915" s="243"/>
      <c r="U915" s="243"/>
      <c r="V915" s="243"/>
      <c r="W915" s="243"/>
      <c r="X915" s="243"/>
      <c r="Y915" s="243"/>
      <c r="Z915" s="243"/>
      <c r="AA915" s="243"/>
      <c r="AB915" s="243"/>
      <c r="AC915" s="243"/>
      <c r="AD915" s="243"/>
      <c r="AE915" s="243"/>
      <c r="AF915" s="243"/>
      <c r="AG915" s="243"/>
      <c r="AH915" s="243"/>
      <c r="AI915" s="243"/>
      <c r="AJ915" s="243"/>
      <c r="AK915" s="243"/>
      <c r="AL915" s="243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</row>
    <row r="916" ht="16.5" customHeight="1">
      <c r="A916" s="243"/>
      <c r="B916" s="243"/>
      <c r="C916" s="243"/>
      <c r="D916" s="243"/>
      <c r="E916" s="243"/>
      <c r="F916" s="243"/>
      <c r="G916" s="243"/>
      <c r="H916" s="243"/>
      <c r="I916" s="243"/>
      <c r="J916" s="243"/>
      <c r="K916" s="243"/>
      <c r="L916" s="243"/>
      <c r="M916" s="243"/>
      <c r="N916" s="243"/>
      <c r="O916" s="243"/>
      <c r="P916" s="243"/>
      <c r="Q916" s="243"/>
      <c r="R916" s="243"/>
      <c r="S916" s="243"/>
      <c r="T916" s="243"/>
      <c r="U916" s="243"/>
      <c r="V916" s="243"/>
      <c r="W916" s="243"/>
      <c r="X916" s="243"/>
      <c r="Y916" s="243"/>
      <c r="Z916" s="243"/>
      <c r="AA916" s="243"/>
      <c r="AB916" s="243"/>
      <c r="AC916" s="243"/>
      <c r="AD916" s="243"/>
      <c r="AE916" s="243"/>
      <c r="AF916" s="243"/>
      <c r="AG916" s="243"/>
      <c r="AH916" s="243"/>
      <c r="AI916" s="243"/>
      <c r="AJ916" s="243"/>
      <c r="AK916" s="243"/>
      <c r="AL916" s="243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</row>
    <row r="917" ht="16.5" customHeight="1">
      <c r="A917" s="243"/>
      <c r="B917" s="243"/>
      <c r="C917" s="243"/>
      <c r="D917" s="243"/>
      <c r="E917" s="243"/>
      <c r="F917" s="243"/>
      <c r="G917" s="243"/>
      <c r="H917" s="243"/>
      <c r="I917" s="243"/>
      <c r="J917" s="243"/>
      <c r="K917" s="243"/>
      <c r="L917" s="243"/>
      <c r="M917" s="243"/>
      <c r="N917" s="243"/>
      <c r="O917" s="243"/>
      <c r="P917" s="243"/>
      <c r="Q917" s="243"/>
      <c r="R917" s="243"/>
      <c r="S917" s="243"/>
      <c r="T917" s="243"/>
      <c r="U917" s="243"/>
      <c r="V917" s="243"/>
      <c r="W917" s="243"/>
      <c r="X917" s="243"/>
      <c r="Y917" s="243"/>
      <c r="Z917" s="243"/>
      <c r="AA917" s="243"/>
      <c r="AB917" s="243"/>
      <c r="AC917" s="243"/>
      <c r="AD917" s="243"/>
      <c r="AE917" s="243"/>
      <c r="AF917" s="243"/>
      <c r="AG917" s="243"/>
      <c r="AH917" s="243"/>
      <c r="AI917" s="243"/>
      <c r="AJ917" s="243"/>
      <c r="AK917" s="243"/>
      <c r="AL917" s="243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</row>
    <row r="918" ht="16.5" customHeight="1">
      <c r="A918" s="243"/>
      <c r="B918" s="243"/>
      <c r="C918" s="243"/>
      <c r="D918" s="243"/>
      <c r="E918" s="243"/>
      <c r="F918" s="243"/>
      <c r="G918" s="243"/>
      <c r="H918" s="243"/>
      <c r="I918" s="243"/>
      <c r="J918" s="243"/>
      <c r="K918" s="243"/>
      <c r="L918" s="243"/>
      <c r="M918" s="243"/>
      <c r="N918" s="243"/>
      <c r="O918" s="243"/>
      <c r="P918" s="243"/>
      <c r="Q918" s="243"/>
      <c r="R918" s="243"/>
      <c r="S918" s="243"/>
      <c r="T918" s="243"/>
      <c r="U918" s="243"/>
      <c r="V918" s="243"/>
      <c r="W918" s="243"/>
      <c r="X918" s="243"/>
      <c r="Y918" s="243"/>
      <c r="Z918" s="243"/>
      <c r="AA918" s="243"/>
      <c r="AB918" s="243"/>
      <c r="AC918" s="243"/>
      <c r="AD918" s="243"/>
      <c r="AE918" s="243"/>
      <c r="AF918" s="243"/>
      <c r="AG918" s="243"/>
      <c r="AH918" s="243"/>
      <c r="AI918" s="243"/>
      <c r="AJ918" s="243"/>
      <c r="AK918" s="243"/>
      <c r="AL918" s="243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</row>
    <row r="919" ht="16.5" customHeight="1">
      <c r="A919" s="243"/>
      <c r="B919" s="243"/>
      <c r="C919" s="243"/>
      <c r="D919" s="243"/>
      <c r="E919" s="243"/>
      <c r="F919" s="243"/>
      <c r="G919" s="243"/>
      <c r="H919" s="243"/>
      <c r="I919" s="243"/>
      <c r="J919" s="243"/>
      <c r="K919" s="243"/>
      <c r="L919" s="243"/>
      <c r="M919" s="243"/>
      <c r="N919" s="243"/>
      <c r="O919" s="243"/>
      <c r="P919" s="243"/>
      <c r="Q919" s="243"/>
      <c r="R919" s="243"/>
      <c r="S919" s="243"/>
      <c r="T919" s="243"/>
      <c r="U919" s="243"/>
      <c r="V919" s="243"/>
      <c r="W919" s="243"/>
      <c r="X919" s="243"/>
      <c r="Y919" s="243"/>
      <c r="Z919" s="243"/>
      <c r="AA919" s="243"/>
      <c r="AB919" s="243"/>
      <c r="AC919" s="243"/>
      <c r="AD919" s="243"/>
      <c r="AE919" s="243"/>
      <c r="AF919" s="243"/>
      <c r="AG919" s="243"/>
      <c r="AH919" s="243"/>
      <c r="AI919" s="243"/>
      <c r="AJ919" s="243"/>
      <c r="AK919" s="243"/>
      <c r="AL919" s="243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</row>
    <row r="920" ht="16.5" customHeight="1">
      <c r="A920" s="243"/>
      <c r="B920" s="243"/>
      <c r="C920" s="243"/>
      <c r="D920" s="243"/>
      <c r="E920" s="243"/>
      <c r="F920" s="243"/>
      <c r="G920" s="243"/>
      <c r="H920" s="243"/>
      <c r="I920" s="243"/>
      <c r="J920" s="243"/>
      <c r="K920" s="243"/>
      <c r="L920" s="243"/>
      <c r="M920" s="243"/>
      <c r="N920" s="243"/>
      <c r="O920" s="243"/>
      <c r="P920" s="243"/>
      <c r="Q920" s="243"/>
      <c r="R920" s="243"/>
      <c r="S920" s="243"/>
      <c r="T920" s="243"/>
      <c r="U920" s="243"/>
      <c r="V920" s="243"/>
      <c r="W920" s="243"/>
      <c r="X920" s="243"/>
      <c r="Y920" s="243"/>
      <c r="Z920" s="243"/>
      <c r="AA920" s="243"/>
      <c r="AB920" s="243"/>
      <c r="AC920" s="243"/>
      <c r="AD920" s="243"/>
      <c r="AE920" s="243"/>
      <c r="AF920" s="243"/>
      <c r="AG920" s="243"/>
      <c r="AH920" s="243"/>
      <c r="AI920" s="243"/>
      <c r="AJ920" s="243"/>
      <c r="AK920" s="243"/>
      <c r="AL920" s="243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</row>
    <row r="921" ht="16.5" customHeight="1">
      <c r="A921" s="243"/>
      <c r="B921" s="243"/>
      <c r="C921" s="243"/>
      <c r="D921" s="243"/>
      <c r="E921" s="243"/>
      <c r="F921" s="243"/>
      <c r="G921" s="243"/>
      <c r="H921" s="243"/>
      <c r="I921" s="243"/>
      <c r="J921" s="243"/>
      <c r="K921" s="243"/>
      <c r="L921" s="243"/>
      <c r="M921" s="243"/>
      <c r="N921" s="243"/>
      <c r="O921" s="243"/>
      <c r="P921" s="243"/>
      <c r="Q921" s="243"/>
      <c r="R921" s="243"/>
      <c r="S921" s="243"/>
      <c r="T921" s="243"/>
      <c r="U921" s="243"/>
      <c r="V921" s="243"/>
      <c r="W921" s="243"/>
      <c r="X921" s="243"/>
      <c r="Y921" s="243"/>
      <c r="Z921" s="243"/>
      <c r="AA921" s="243"/>
      <c r="AB921" s="243"/>
      <c r="AC921" s="243"/>
      <c r="AD921" s="243"/>
      <c r="AE921" s="243"/>
      <c r="AF921" s="243"/>
      <c r="AG921" s="243"/>
      <c r="AH921" s="243"/>
      <c r="AI921" s="243"/>
      <c r="AJ921" s="243"/>
      <c r="AK921" s="243"/>
      <c r="AL921" s="243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</row>
    <row r="922" ht="16.5" customHeight="1">
      <c r="A922" s="243"/>
      <c r="B922" s="243"/>
      <c r="C922" s="243"/>
      <c r="D922" s="243"/>
      <c r="E922" s="243"/>
      <c r="F922" s="243"/>
      <c r="G922" s="243"/>
      <c r="H922" s="243"/>
      <c r="I922" s="243"/>
      <c r="J922" s="243"/>
      <c r="K922" s="243"/>
      <c r="L922" s="243"/>
      <c r="M922" s="243"/>
      <c r="N922" s="243"/>
      <c r="O922" s="243"/>
      <c r="P922" s="243"/>
      <c r="Q922" s="243"/>
      <c r="R922" s="243"/>
      <c r="S922" s="243"/>
      <c r="T922" s="243"/>
      <c r="U922" s="243"/>
      <c r="V922" s="243"/>
      <c r="W922" s="243"/>
      <c r="X922" s="243"/>
      <c r="Y922" s="243"/>
      <c r="Z922" s="243"/>
      <c r="AA922" s="243"/>
      <c r="AB922" s="243"/>
      <c r="AC922" s="243"/>
      <c r="AD922" s="243"/>
      <c r="AE922" s="243"/>
      <c r="AF922" s="243"/>
      <c r="AG922" s="243"/>
      <c r="AH922" s="243"/>
      <c r="AI922" s="243"/>
      <c r="AJ922" s="243"/>
      <c r="AK922" s="243"/>
      <c r="AL922" s="243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</row>
    <row r="923" ht="16.5" customHeight="1">
      <c r="A923" s="243"/>
      <c r="B923" s="243"/>
      <c r="C923" s="243"/>
      <c r="D923" s="243"/>
      <c r="E923" s="243"/>
      <c r="F923" s="243"/>
      <c r="G923" s="243"/>
      <c r="H923" s="243"/>
      <c r="I923" s="243"/>
      <c r="J923" s="243"/>
      <c r="K923" s="243"/>
      <c r="L923" s="243"/>
      <c r="M923" s="243"/>
      <c r="N923" s="243"/>
      <c r="O923" s="243"/>
      <c r="P923" s="243"/>
      <c r="Q923" s="243"/>
      <c r="R923" s="243"/>
      <c r="S923" s="243"/>
      <c r="T923" s="243"/>
      <c r="U923" s="243"/>
      <c r="V923" s="243"/>
      <c r="W923" s="243"/>
      <c r="X923" s="243"/>
      <c r="Y923" s="243"/>
      <c r="Z923" s="243"/>
      <c r="AA923" s="243"/>
      <c r="AB923" s="243"/>
      <c r="AC923" s="243"/>
      <c r="AD923" s="243"/>
      <c r="AE923" s="243"/>
      <c r="AF923" s="243"/>
      <c r="AG923" s="243"/>
      <c r="AH923" s="243"/>
      <c r="AI923" s="243"/>
      <c r="AJ923" s="243"/>
      <c r="AK923" s="243"/>
      <c r="AL923" s="243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</row>
    <row r="924" ht="16.5" customHeight="1">
      <c r="A924" s="243"/>
      <c r="B924" s="243"/>
      <c r="C924" s="243"/>
      <c r="D924" s="243"/>
      <c r="E924" s="243"/>
      <c r="F924" s="243"/>
      <c r="G924" s="243"/>
      <c r="H924" s="243"/>
      <c r="I924" s="243"/>
      <c r="J924" s="243"/>
      <c r="K924" s="243"/>
      <c r="L924" s="243"/>
      <c r="M924" s="243"/>
      <c r="N924" s="243"/>
      <c r="O924" s="243"/>
      <c r="P924" s="243"/>
      <c r="Q924" s="243"/>
      <c r="R924" s="243"/>
      <c r="S924" s="243"/>
      <c r="T924" s="243"/>
      <c r="U924" s="243"/>
      <c r="V924" s="243"/>
      <c r="W924" s="243"/>
      <c r="X924" s="243"/>
      <c r="Y924" s="243"/>
      <c r="Z924" s="243"/>
      <c r="AA924" s="243"/>
      <c r="AB924" s="243"/>
      <c r="AC924" s="243"/>
      <c r="AD924" s="243"/>
      <c r="AE924" s="243"/>
      <c r="AF924" s="243"/>
      <c r="AG924" s="243"/>
      <c r="AH924" s="243"/>
      <c r="AI924" s="243"/>
      <c r="AJ924" s="243"/>
      <c r="AK924" s="243"/>
      <c r="AL924" s="243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</row>
    <row r="925" ht="16.5" customHeight="1">
      <c r="A925" s="243"/>
      <c r="B925" s="243"/>
      <c r="C925" s="243"/>
      <c r="D925" s="243"/>
      <c r="E925" s="243"/>
      <c r="F925" s="243"/>
      <c r="G925" s="243"/>
      <c r="H925" s="243"/>
      <c r="I925" s="243"/>
      <c r="J925" s="243"/>
      <c r="K925" s="243"/>
      <c r="L925" s="243"/>
      <c r="M925" s="243"/>
      <c r="N925" s="243"/>
      <c r="O925" s="243"/>
      <c r="P925" s="243"/>
      <c r="Q925" s="243"/>
      <c r="R925" s="243"/>
      <c r="S925" s="243"/>
      <c r="T925" s="243"/>
      <c r="U925" s="243"/>
      <c r="V925" s="243"/>
      <c r="W925" s="243"/>
      <c r="X925" s="243"/>
      <c r="Y925" s="243"/>
      <c r="Z925" s="243"/>
      <c r="AA925" s="243"/>
      <c r="AB925" s="243"/>
      <c r="AC925" s="243"/>
      <c r="AD925" s="243"/>
      <c r="AE925" s="243"/>
      <c r="AF925" s="243"/>
      <c r="AG925" s="243"/>
      <c r="AH925" s="243"/>
      <c r="AI925" s="243"/>
      <c r="AJ925" s="243"/>
      <c r="AK925" s="243"/>
      <c r="AL925" s="243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</row>
    <row r="926" ht="16.5" customHeight="1">
      <c r="A926" s="243"/>
      <c r="B926" s="243"/>
      <c r="C926" s="243"/>
      <c r="D926" s="243"/>
      <c r="E926" s="243"/>
      <c r="F926" s="243"/>
      <c r="G926" s="243"/>
      <c r="H926" s="243"/>
      <c r="I926" s="243"/>
      <c r="J926" s="243"/>
      <c r="K926" s="243"/>
      <c r="L926" s="243"/>
      <c r="M926" s="243"/>
      <c r="N926" s="243"/>
      <c r="O926" s="243"/>
      <c r="P926" s="243"/>
      <c r="Q926" s="243"/>
      <c r="R926" s="243"/>
      <c r="S926" s="243"/>
      <c r="T926" s="243"/>
      <c r="U926" s="243"/>
      <c r="V926" s="243"/>
      <c r="W926" s="243"/>
      <c r="X926" s="243"/>
      <c r="Y926" s="243"/>
      <c r="Z926" s="243"/>
      <c r="AA926" s="243"/>
      <c r="AB926" s="243"/>
      <c r="AC926" s="243"/>
      <c r="AD926" s="243"/>
      <c r="AE926" s="243"/>
      <c r="AF926" s="243"/>
      <c r="AG926" s="243"/>
      <c r="AH926" s="243"/>
      <c r="AI926" s="243"/>
      <c r="AJ926" s="243"/>
      <c r="AK926" s="243"/>
      <c r="AL926" s="243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</row>
    <row r="927" ht="16.5" customHeight="1">
      <c r="A927" s="243"/>
      <c r="B927" s="243"/>
      <c r="C927" s="243"/>
      <c r="D927" s="243"/>
      <c r="E927" s="243"/>
      <c r="F927" s="243"/>
      <c r="G927" s="243"/>
      <c r="H927" s="243"/>
      <c r="I927" s="243"/>
      <c r="J927" s="243"/>
      <c r="K927" s="243"/>
      <c r="L927" s="243"/>
      <c r="M927" s="243"/>
      <c r="N927" s="243"/>
      <c r="O927" s="243"/>
      <c r="P927" s="243"/>
      <c r="Q927" s="243"/>
      <c r="R927" s="243"/>
      <c r="S927" s="243"/>
      <c r="T927" s="243"/>
      <c r="U927" s="243"/>
      <c r="V927" s="243"/>
      <c r="W927" s="243"/>
      <c r="X927" s="243"/>
      <c r="Y927" s="243"/>
      <c r="Z927" s="243"/>
      <c r="AA927" s="243"/>
      <c r="AB927" s="243"/>
      <c r="AC927" s="243"/>
      <c r="AD927" s="243"/>
      <c r="AE927" s="243"/>
      <c r="AF927" s="243"/>
      <c r="AG927" s="243"/>
      <c r="AH927" s="243"/>
      <c r="AI927" s="243"/>
      <c r="AJ927" s="243"/>
      <c r="AK927" s="243"/>
      <c r="AL927" s="243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</row>
    <row r="928" ht="16.5" customHeight="1">
      <c r="A928" s="243"/>
      <c r="B928" s="243"/>
      <c r="C928" s="243"/>
      <c r="D928" s="243"/>
      <c r="E928" s="243"/>
      <c r="F928" s="243"/>
      <c r="G928" s="243"/>
      <c r="H928" s="243"/>
      <c r="I928" s="243"/>
      <c r="J928" s="243"/>
      <c r="K928" s="243"/>
      <c r="L928" s="243"/>
      <c r="M928" s="243"/>
      <c r="N928" s="243"/>
      <c r="O928" s="243"/>
      <c r="P928" s="243"/>
      <c r="Q928" s="243"/>
      <c r="R928" s="243"/>
      <c r="S928" s="243"/>
      <c r="T928" s="243"/>
      <c r="U928" s="243"/>
      <c r="V928" s="243"/>
      <c r="W928" s="243"/>
      <c r="X928" s="243"/>
      <c r="Y928" s="243"/>
      <c r="Z928" s="243"/>
      <c r="AA928" s="243"/>
      <c r="AB928" s="243"/>
      <c r="AC928" s="243"/>
      <c r="AD928" s="243"/>
      <c r="AE928" s="243"/>
      <c r="AF928" s="243"/>
      <c r="AG928" s="243"/>
      <c r="AH928" s="243"/>
      <c r="AI928" s="243"/>
      <c r="AJ928" s="243"/>
      <c r="AK928" s="243"/>
      <c r="AL928" s="243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</row>
    <row r="929" ht="16.5" customHeight="1">
      <c r="A929" s="243"/>
      <c r="B929" s="243"/>
      <c r="C929" s="243"/>
      <c r="D929" s="243"/>
      <c r="E929" s="243"/>
      <c r="F929" s="243"/>
      <c r="G929" s="243"/>
      <c r="H929" s="243"/>
      <c r="I929" s="243"/>
      <c r="J929" s="243"/>
      <c r="K929" s="243"/>
      <c r="L929" s="243"/>
      <c r="M929" s="243"/>
      <c r="N929" s="243"/>
      <c r="O929" s="243"/>
      <c r="P929" s="243"/>
      <c r="Q929" s="243"/>
      <c r="R929" s="243"/>
      <c r="S929" s="243"/>
      <c r="T929" s="243"/>
      <c r="U929" s="243"/>
      <c r="V929" s="243"/>
      <c r="W929" s="243"/>
      <c r="X929" s="243"/>
      <c r="Y929" s="243"/>
      <c r="Z929" s="243"/>
      <c r="AA929" s="243"/>
      <c r="AB929" s="243"/>
      <c r="AC929" s="243"/>
      <c r="AD929" s="243"/>
      <c r="AE929" s="243"/>
      <c r="AF929" s="243"/>
      <c r="AG929" s="243"/>
      <c r="AH929" s="243"/>
      <c r="AI929" s="243"/>
      <c r="AJ929" s="243"/>
      <c r="AK929" s="243"/>
      <c r="AL929" s="243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</row>
    <row r="930" ht="16.5" customHeight="1">
      <c r="A930" s="243"/>
      <c r="B930" s="243"/>
      <c r="C930" s="243"/>
      <c r="D930" s="243"/>
      <c r="E930" s="243"/>
      <c r="F930" s="243"/>
      <c r="G930" s="243"/>
      <c r="H930" s="243"/>
      <c r="I930" s="243"/>
      <c r="J930" s="243"/>
      <c r="K930" s="243"/>
      <c r="L930" s="243"/>
      <c r="M930" s="243"/>
      <c r="N930" s="243"/>
      <c r="O930" s="243"/>
      <c r="P930" s="243"/>
      <c r="Q930" s="243"/>
      <c r="R930" s="243"/>
      <c r="S930" s="243"/>
      <c r="T930" s="243"/>
      <c r="U930" s="243"/>
      <c r="V930" s="243"/>
      <c r="W930" s="243"/>
      <c r="X930" s="243"/>
      <c r="Y930" s="243"/>
      <c r="Z930" s="243"/>
      <c r="AA930" s="243"/>
      <c r="AB930" s="243"/>
      <c r="AC930" s="243"/>
      <c r="AD930" s="243"/>
      <c r="AE930" s="243"/>
      <c r="AF930" s="243"/>
      <c r="AG930" s="243"/>
      <c r="AH930" s="243"/>
      <c r="AI930" s="243"/>
      <c r="AJ930" s="243"/>
      <c r="AK930" s="243"/>
      <c r="AL930" s="243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</row>
    <row r="931" ht="16.5" customHeight="1">
      <c r="A931" s="243"/>
      <c r="B931" s="243"/>
      <c r="C931" s="243"/>
      <c r="D931" s="243"/>
      <c r="E931" s="243"/>
      <c r="F931" s="243"/>
      <c r="G931" s="243"/>
      <c r="H931" s="243"/>
      <c r="I931" s="243"/>
      <c r="J931" s="243"/>
      <c r="K931" s="243"/>
      <c r="L931" s="243"/>
      <c r="M931" s="243"/>
      <c r="N931" s="243"/>
      <c r="O931" s="243"/>
      <c r="P931" s="243"/>
      <c r="Q931" s="243"/>
      <c r="R931" s="243"/>
      <c r="S931" s="243"/>
      <c r="T931" s="243"/>
      <c r="U931" s="243"/>
      <c r="V931" s="243"/>
      <c r="W931" s="243"/>
      <c r="X931" s="243"/>
      <c r="Y931" s="243"/>
      <c r="Z931" s="243"/>
      <c r="AA931" s="243"/>
      <c r="AB931" s="243"/>
      <c r="AC931" s="243"/>
      <c r="AD931" s="243"/>
      <c r="AE931" s="243"/>
      <c r="AF931" s="243"/>
      <c r="AG931" s="243"/>
      <c r="AH931" s="243"/>
      <c r="AI931" s="243"/>
      <c r="AJ931" s="243"/>
      <c r="AK931" s="243"/>
      <c r="AL931" s="243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</row>
    <row r="932" ht="16.5" customHeight="1">
      <c r="A932" s="243"/>
      <c r="B932" s="243"/>
      <c r="C932" s="243"/>
      <c r="D932" s="243"/>
      <c r="E932" s="243"/>
      <c r="F932" s="243"/>
      <c r="G932" s="243"/>
      <c r="H932" s="243"/>
      <c r="I932" s="243"/>
      <c r="J932" s="243"/>
      <c r="K932" s="243"/>
      <c r="L932" s="243"/>
      <c r="M932" s="243"/>
      <c r="N932" s="243"/>
      <c r="O932" s="243"/>
      <c r="P932" s="243"/>
      <c r="Q932" s="243"/>
      <c r="R932" s="243"/>
      <c r="S932" s="243"/>
      <c r="T932" s="243"/>
      <c r="U932" s="243"/>
      <c r="V932" s="243"/>
      <c r="W932" s="243"/>
      <c r="X932" s="243"/>
      <c r="Y932" s="243"/>
      <c r="Z932" s="243"/>
      <c r="AA932" s="243"/>
      <c r="AB932" s="243"/>
      <c r="AC932" s="243"/>
      <c r="AD932" s="243"/>
      <c r="AE932" s="243"/>
      <c r="AF932" s="243"/>
      <c r="AG932" s="243"/>
      <c r="AH932" s="243"/>
      <c r="AI932" s="243"/>
      <c r="AJ932" s="243"/>
      <c r="AK932" s="243"/>
      <c r="AL932" s="243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</row>
    <row r="933" ht="16.5" customHeight="1">
      <c r="A933" s="243"/>
      <c r="B933" s="243"/>
      <c r="C933" s="243"/>
      <c r="D933" s="243"/>
      <c r="E933" s="243"/>
      <c r="F933" s="243"/>
      <c r="G933" s="243"/>
      <c r="H933" s="243"/>
      <c r="I933" s="243"/>
      <c r="J933" s="243"/>
      <c r="K933" s="243"/>
      <c r="L933" s="243"/>
      <c r="M933" s="243"/>
      <c r="N933" s="243"/>
      <c r="O933" s="243"/>
      <c r="P933" s="243"/>
      <c r="Q933" s="243"/>
      <c r="R933" s="243"/>
      <c r="S933" s="243"/>
      <c r="T933" s="243"/>
      <c r="U933" s="243"/>
      <c r="V933" s="243"/>
      <c r="W933" s="243"/>
      <c r="X933" s="243"/>
      <c r="Y933" s="243"/>
      <c r="Z933" s="243"/>
      <c r="AA933" s="243"/>
      <c r="AB933" s="243"/>
      <c r="AC933" s="243"/>
      <c r="AD933" s="243"/>
      <c r="AE933" s="243"/>
      <c r="AF933" s="243"/>
      <c r="AG933" s="243"/>
      <c r="AH933" s="243"/>
      <c r="AI933" s="243"/>
      <c r="AJ933" s="243"/>
      <c r="AK933" s="243"/>
      <c r="AL933" s="243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</row>
    <row r="934" ht="16.5" customHeight="1">
      <c r="A934" s="243"/>
      <c r="B934" s="243"/>
      <c r="C934" s="243"/>
      <c r="D934" s="243"/>
      <c r="E934" s="243"/>
      <c r="F934" s="243"/>
      <c r="G934" s="243"/>
      <c r="H934" s="243"/>
      <c r="I934" s="243"/>
      <c r="J934" s="243"/>
      <c r="K934" s="243"/>
      <c r="L934" s="243"/>
      <c r="M934" s="243"/>
      <c r="N934" s="243"/>
      <c r="O934" s="243"/>
      <c r="P934" s="243"/>
      <c r="Q934" s="243"/>
      <c r="R934" s="243"/>
      <c r="S934" s="243"/>
      <c r="T934" s="243"/>
      <c r="U934" s="243"/>
      <c r="V934" s="243"/>
      <c r="W934" s="243"/>
      <c r="X934" s="243"/>
      <c r="Y934" s="243"/>
      <c r="Z934" s="243"/>
      <c r="AA934" s="243"/>
      <c r="AB934" s="243"/>
      <c r="AC934" s="243"/>
      <c r="AD934" s="243"/>
      <c r="AE934" s="243"/>
      <c r="AF934" s="243"/>
      <c r="AG934" s="243"/>
      <c r="AH934" s="243"/>
      <c r="AI934" s="243"/>
      <c r="AJ934" s="243"/>
      <c r="AK934" s="243"/>
      <c r="AL934" s="243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</row>
    <row r="935" ht="16.5" customHeight="1">
      <c r="A935" s="243"/>
      <c r="B935" s="243"/>
      <c r="C935" s="243"/>
      <c r="D935" s="243"/>
      <c r="E935" s="243"/>
      <c r="F935" s="243"/>
      <c r="G935" s="243"/>
      <c r="H935" s="243"/>
      <c r="I935" s="243"/>
      <c r="J935" s="243"/>
      <c r="K935" s="243"/>
      <c r="L935" s="243"/>
      <c r="M935" s="243"/>
      <c r="N935" s="243"/>
      <c r="O935" s="243"/>
      <c r="P935" s="243"/>
      <c r="Q935" s="243"/>
      <c r="R935" s="243"/>
      <c r="S935" s="243"/>
      <c r="T935" s="243"/>
      <c r="U935" s="243"/>
      <c r="V935" s="243"/>
      <c r="W935" s="243"/>
      <c r="X935" s="243"/>
      <c r="Y935" s="243"/>
      <c r="Z935" s="243"/>
      <c r="AA935" s="243"/>
      <c r="AB935" s="243"/>
      <c r="AC935" s="243"/>
      <c r="AD935" s="243"/>
      <c r="AE935" s="243"/>
      <c r="AF935" s="243"/>
      <c r="AG935" s="243"/>
      <c r="AH935" s="243"/>
      <c r="AI935" s="243"/>
      <c r="AJ935" s="243"/>
      <c r="AK935" s="243"/>
      <c r="AL935" s="243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</row>
    <row r="936" ht="16.5" customHeight="1">
      <c r="A936" s="243"/>
      <c r="B936" s="243"/>
      <c r="C936" s="243"/>
      <c r="D936" s="243"/>
      <c r="E936" s="243"/>
      <c r="F936" s="243"/>
      <c r="G936" s="243"/>
      <c r="H936" s="243"/>
      <c r="I936" s="243"/>
      <c r="J936" s="243"/>
      <c r="K936" s="243"/>
      <c r="L936" s="243"/>
      <c r="M936" s="243"/>
      <c r="N936" s="243"/>
      <c r="O936" s="243"/>
      <c r="P936" s="243"/>
      <c r="Q936" s="243"/>
      <c r="R936" s="243"/>
      <c r="S936" s="243"/>
      <c r="T936" s="243"/>
      <c r="U936" s="243"/>
      <c r="V936" s="243"/>
      <c r="W936" s="243"/>
      <c r="X936" s="243"/>
      <c r="Y936" s="243"/>
      <c r="Z936" s="243"/>
      <c r="AA936" s="243"/>
      <c r="AB936" s="243"/>
      <c r="AC936" s="243"/>
      <c r="AD936" s="243"/>
      <c r="AE936" s="243"/>
      <c r="AF936" s="243"/>
      <c r="AG936" s="243"/>
      <c r="AH936" s="243"/>
      <c r="AI936" s="243"/>
      <c r="AJ936" s="243"/>
      <c r="AK936" s="243"/>
      <c r="AL936" s="243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</row>
    <row r="937" ht="16.5" customHeight="1">
      <c r="A937" s="243"/>
      <c r="B937" s="243"/>
      <c r="C937" s="243"/>
      <c r="D937" s="243"/>
      <c r="E937" s="243"/>
      <c r="F937" s="243"/>
      <c r="G937" s="243"/>
      <c r="H937" s="243"/>
      <c r="I937" s="243"/>
      <c r="J937" s="243"/>
      <c r="K937" s="243"/>
      <c r="L937" s="243"/>
      <c r="M937" s="243"/>
      <c r="N937" s="243"/>
      <c r="O937" s="243"/>
      <c r="P937" s="243"/>
      <c r="Q937" s="243"/>
      <c r="R937" s="243"/>
      <c r="S937" s="243"/>
      <c r="T937" s="243"/>
      <c r="U937" s="243"/>
      <c r="V937" s="243"/>
      <c r="W937" s="243"/>
      <c r="X937" s="243"/>
      <c r="Y937" s="243"/>
      <c r="Z937" s="243"/>
      <c r="AA937" s="243"/>
      <c r="AB937" s="243"/>
      <c r="AC937" s="243"/>
      <c r="AD937" s="243"/>
      <c r="AE937" s="243"/>
      <c r="AF937" s="243"/>
      <c r="AG937" s="243"/>
      <c r="AH937" s="243"/>
      <c r="AI937" s="243"/>
      <c r="AJ937" s="243"/>
      <c r="AK937" s="243"/>
      <c r="AL937" s="243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</row>
    <row r="938" ht="16.5" customHeight="1">
      <c r="A938" s="243"/>
      <c r="B938" s="243"/>
      <c r="C938" s="243"/>
      <c r="D938" s="243"/>
      <c r="E938" s="243"/>
      <c r="F938" s="243"/>
      <c r="G938" s="243"/>
      <c r="H938" s="243"/>
      <c r="I938" s="243"/>
      <c r="J938" s="243"/>
      <c r="K938" s="243"/>
      <c r="L938" s="243"/>
      <c r="M938" s="243"/>
      <c r="N938" s="243"/>
      <c r="O938" s="243"/>
      <c r="P938" s="243"/>
      <c r="Q938" s="243"/>
      <c r="R938" s="243"/>
      <c r="S938" s="243"/>
      <c r="T938" s="243"/>
      <c r="U938" s="243"/>
      <c r="V938" s="243"/>
      <c r="W938" s="243"/>
      <c r="X938" s="243"/>
      <c r="Y938" s="243"/>
      <c r="Z938" s="243"/>
      <c r="AA938" s="243"/>
      <c r="AB938" s="243"/>
      <c r="AC938" s="243"/>
      <c r="AD938" s="243"/>
      <c r="AE938" s="243"/>
      <c r="AF938" s="243"/>
      <c r="AG938" s="243"/>
      <c r="AH938" s="243"/>
      <c r="AI938" s="243"/>
      <c r="AJ938" s="243"/>
      <c r="AK938" s="243"/>
      <c r="AL938" s="243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</row>
    <row r="939" ht="16.5" customHeight="1">
      <c r="A939" s="243"/>
      <c r="B939" s="243"/>
      <c r="C939" s="243"/>
      <c r="D939" s="243"/>
      <c r="E939" s="243"/>
      <c r="F939" s="243"/>
      <c r="G939" s="243"/>
      <c r="H939" s="243"/>
      <c r="I939" s="243"/>
      <c r="J939" s="243"/>
      <c r="K939" s="243"/>
      <c r="L939" s="243"/>
      <c r="M939" s="243"/>
      <c r="N939" s="243"/>
      <c r="O939" s="243"/>
      <c r="P939" s="243"/>
      <c r="Q939" s="243"/>
      <c r="R939" s="243"/>
      <c r="S939" s="243"/>
      <c r="T939" s="243"/>
      <c r="U939" s="243"/>
      <c r="V939" s="243"/>
      <c r="W939" s="243"/>
      <c r="X939" s="243"/>
      <c r="Y939" s="243"/>
      <c r="Z939" s="243"/>
      <c r="AA939" s="243"/>
      <c r="AB939" s="243"/>
      <c r="AC939" s="243"/>
      <c r="AD939" s="243"/>
      <c r="AE939" s="243"/>
      <c r="AF939" s="243"/>
      <c r="AG939" s="243"/>
      <c r="AH939" s="243"/>
      <c r="AI939" s="243"/>
      <c r="AJ939" s="243"/>
      <c r="AK939" s="243"/>
      <c r="AL939" s="243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</row>
    <row r="940" ht="16.5" customHeight="1">
      <c r="A940" s="243"/>
      <c r="B940" s="243"/>
      <c r="C940" s="243"/>
      <c r="D940" s="243"/>
      <c r="E940" s="243"/>
      <c r="F940" s="243"/>
      <c r="G940" s="243"/>
      <c r="H940" s="243"/>
      <c r="I940" s="243"/>
      <c r="J940" s="243"/>
      <c r="K940" s="243"/>
      <c r="L940" s="243"/>
      <c r="M940" s="243"/>
      <c r="N940" s="243"/>
      <c r="O940" s="243"/>
      <c r="P940" s="243"/>
      <c r="Q940" s="243"/>
      <c r="R940" s="243"/>
      <c r="S940" s="243"/>
      <c r="T940" s="243"/>
      <c r="U940" s="243"/>
      <c r="V940" s="243"/>
      <c r="W940" s="243"/>
      <c r="X940" s="243"/>
      <c r="Y940" s="243"/>
      <c r="Z940" s="243"/>
      <c r="AA940" s="243"/>
      <c r="AB940" s="243"/>
      <c r="AC940" s="243"/>
      <c r="AD940" s="243"/>
      <c r="AE940" s="243"/>
      <c r="AF940" s="243"/>
      <c r="AG940" s="243"/>
      <c r="AH940" s="243"/>
      <c r="AI940" s="243"/>
      <c r="AJ940" s="243"/>
      <c r="AK940" s="243"/>
      <c r="AL940" s="243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</row>
    <row r="941" ht="16.5" customHeight="1">
      <c r="A941" s="243"/>
      <c r="B941" s="243"/>
      <c r="C941" s="243"/>
      <c r="D941" s="243"/>
      <c r="E941" s="243"/>
      <c r="F941" s="243"/>
      <c r="G941" s="243"/>
      <c r="H941" s="243"/>
      <c r="I941" s="243"/>
      <c r="J941" s="243"/>
      <c r="K941" s="243"/>
      <c r="L941" s="243"/>
      <c r="M941" s="243"/>
      <c r="N941" s="243"/>
      <c r="O941" s="243"/>
      <c r="P941" s="243"/>
      <c r="Q941" s="243"/>
      <c r="R941" s="243"/>
      <c r="S941" s="243"/>
      <c r="T941" s="243"/>
      <c r="U941" s="243"/>
      <c r="V941" s="243"/>
      <c r="W941" s="243"/>
      <c r="X941" s="243"/>
      <c r="Y941" s="243"/>
      <c r="Z941" s="243"/>
      <c r="AA941" s="243"/>
      <c r="AB941" s="243"/>
      <c r="AC941" s="243"/>
      <c r="AD941" s="243"/>
      <c r="AE941" s="243"/>
      <c r="AF941" s="243"/>
      <c r="AG941" s="243"/>
      <c r="AH941" s="243"/>
      <c r="AI941" s="243"/>
      <c r="AJ941" s="243"/>
      <c r="AK941" s="243"/>
      <c r="AL941" s="243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</row>
    <row r="942" ht="16.5" customHeight="1">
      <c r="A942" s="243"/>
      <c r="B942" s="243"/>
      <c r="C942" s="243"/>
      <c r="D942" s="243"/>
      <c r="E942" s="243"/>
      <c r="F942" s="243"/>
      <c r="G942" s="243"/>
      <c r="H942" s="243"/>
      <c r="I942" s="243"/>
      <c r="J942" s="243"/>
      <c r="K942" s="243"/>
      <c r="L942" s="243"/>
      <c r="M942" s="243"/>
      <c r="N942" s="243"/>
      <c r="O942" s="243"/>
      <c r="P942" s="243"/>
      <c r="Q942" s="243"/>
      <c r="R942" s="243"/>
      <c r="S942" s="243"/>
      <c r="T942" s="243"/>
      <c r="U942" s="243"/>
      <c r="V942" s="243"/>
      <c r="W942" s="243"/>
      <c r="X942" s="243"/>
      <c r="Y942" s="243"/>
      <c r="Z942" s="243"/>
      <c r="AA942" s="243"/>
      <c r="AB942" s="243"/>
      <c r="AC942" s="243"/>
      <c r="AD942" s="243"/>
      <c r="AE942" s="243"/>
      <c r="AF942" s="243"/>
      <c r="AG942" s="243"/>
      <c r="AH942" s="243"/>
      <c r="AI942" s="243"/>
      <c r="AJ942" s="243"/>
      <c r="AK942" s="243"/>
      <c r="AL942" s="243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</row>
    <row r="943" ht="16.5" customHeight="1">
      <c r="A943" s="243"/>
      <c r="B943" s="243"/>
      <c r="C943" s="243"/>
      <c r="D943" s="243"/>
      <c r="E943" s="243"/>
      <c r="F943" s="243"/>
      <c r="G943" s="243"/>
      <c r="H943" s="243"/>
      <c r="I943" s="243"/>
      <c r="J943" s="243"/>
      <c r="K943" s="243"/>
      <c r="L943" s="243"/>
      <c r="M943" s="243"/>
      <c r="N943" s="243"/>
      <c r="O943" s="243"/>
      <c r="P943" s="243"/>
      <c r="Q943" s="243"/>
      <c r="R943" s="243"/>
      <c r="S943" s="243"/>
      <c r="T943" s="243"/>
      <c r="U943" s="243"/>
      <c r="V943" s="243"/>
      <c r="W943" s="243"/>
      <c r="X943" s="243"/>
      <c r="Y943" s="243"/>
      <c r="Z943" s="243"/>
      <c r="AA943" s="243"/>
      <c r="AB943" s="243"/>
      <c r="AC943" s="243"/>
      <c r="AD943" s="243"/>
      <c r="AE943" s="243"/>
      <c r="AF943" s="243"/>
      <c r="AG943" s="243"/>
      <c r="AH943" s="243"/>
      <c r="AI943" s="243"/>
      <c r="AJ943" s="243"/>
      <c r="AK943" s="243"/>
      <c r="AL943" s="243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</row>
    <row r="944" ht="16.5" customHeight="1">
      <c r="A944" s="243"/>
      <c r="B944" s="243"/>
      <c r="C944" s="243"/>
      <c r="D944" s="243"/>
      <c r="E944" s="243"/>
      <c r="F944" s="243"/>
      <c r="G944" s="243"/>
      <c r="H944" s="243"/>
      <c r="I944" s="243"/>
      <c r="J944" s="243"/>
      <c r="K944" s="243"/>
      <c r="L944" s="243"/>
      <c r="M944" s="243"/>
      <c r="N944" s="243"/>
      <c r="O944" s="243"/>
      <c r="P944" s="243"/>
      <c r="Q944" s="243"/>
      <c r="R944" s="243"/>
      <c r="S944" s="243"/>
      <c r="T944" s="243"/>
      <c r="U944" s="243"/>
      <c r="V944" s="243"/>
      <c r="W944" s="243"/>
      <c r="X944" s="243"/>
      <c r="Y944" s="243"/>
      <c r="Z944" s="243"/>
      <c r="AA944" s="243"/>
      <c r="AB944" s="243"/>
      <c r="AC944" s="243"/>
      <c r="AD944" s="243"/>
      <c r="AE944" s="243"/>
      <c r="AF944" s="243"/>
      <c r="AG944" s="243"/>
      <c r="AH944" s="243"/>
      <c r="AI944" s="243"/>
      <c r="AJ944" s="243"/>
      <c r="AK944" s="243"/>
      <c r="AL944" s="243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</row>
    <row r="945" ht="16.5" customHeight="1">
      <c r="A945" s="243"/>
      <c r="B945" s="243"/>
      <c r="C945" s="243"/>
      <c r="D945" s="243"/>
      <c r="E945" s="243"/>
      <c r="F945" s="243"/>
      <c r="G945" s="243"/>
      <c r="H945" s="243"/>
      <c r="I945" s="243"/>
      <c r="J945" s="243"/>
      <c r="K945" s="243"/>
      <c r="L945" s="243"/>
      <c r="M945" s="243"/>
      <c r="N945" s="243"/>
      <c r="O945" s="243"/>
      <c r="P945" s="243"/>
      <c r="Q945" s="243"/>
      <c r="R945" s="243"/>
      <c r="S945" s="243"/>
      <c r="T945" s="243"/>
      <c r="U945" s="243"/>
      <c r="V945" s="243"/>
      <c r="W945" s="243"/>
      <c r="X945" s="243"/>
      <c r="Y945" s="243"/>
      <c r="Z945" s="243"/>
      <c r="AA945" s="243"/>
      <c r="AB945" s="243"/>
      <c r="AC945" s="243"/>
      <c r="AD945" s="243"/>
      <c r="AE945" s="243"/>
      <c r="AF945" s="243"/>
      <c r="AG945" s="243"/>
      <c r="AH945" s="243"/>
      <c r="AI945" s="243"/>
      <c r="AJ945" s="243"/>
      <c r="AK945" s="243"/>
      <c r="AL945" s="243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</row>
    <row r="946" ht="16.5" customHeight="1">
      <c r="A946" s="243"/>
      <c r="B946" s="243"/>
      <c r="C946" s="243"/>
      <c r="D946" s="243"/>
      <c r="E946" s="243"/>
      <c r="F946" s="243"/>
      <c r="G946" s="243"/>
      <c r="H946" s="243"/>
      <c r="I946" s="243"/>
      <c r="J946" s="243"/>
      <c r="K946" s="243"/>
      <c r="L946" s="243"/>
      <c r="M946" s="243"/>
      <c r="N946" s="243"/>
      <c r="O946" s="243"/>
      <c r="P946" s="243"/>
      <c r="Q946" s="243"/>
      <c r="R946" s="243"/>
      <c r="S946" s="243"/>
      <c r="T946" s="243"/>
      <c r="U946" s="243"/>
      <c r="V946" s="243"/>
      <c r="W946" s="243"/>
      <c r="X946" s="243"/>
      <c r="Y946" s="243"/>
      <c r="Z946" s="243"/>
      <c r="AA946" s="243"/>
      <c r="AB946" s="243"/>
      <c r="AC946" s="243"/>
      <c r="AD946" s="243"/>
      <c r="AE946" s="243"/>
      <c r="AF946" s="243"/>
      <c r="AG946" s="243"/>
      <c r="AH946" s="243"/>
      <c r="AI946" s="243"/>
      <c r="AJ946" s="243"/>
      <c r="AK946" s="243"/>
      <c r="AL946" s="243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</row>
    <row r="947" ht="16.5" customHeight="1">
      <c r="A947" s="243"/>
      <c r="B947" s="243"/>
      <c r="C947" s="243"/>
      <c r="D947" s="243"/>
      <c r="E947" s="243"/>
      <c r="F947" s="243"/>
      <c r="G947" s="243"/>
      <c r="H947" s="243"/>
      <c r="I947" s="243"/>
      <c r="J947" s="243"/>
      <c r="K947" s="243"/>
      <c r="L947" s="243"/>
      <c r="M947" s="243"/>
      <c r="N947" s="243"/>
      <c r="O947" s="243"/>
      <c r="P947" s="243"/>
      <c r="Q947" s="243"/>
      <c r="R947" s="243"/>
      <c r="S947" s="243"/>
      <c r="T947" s="243"/>
      <c r="U947" s="243"/>
      <c r="V947" s="243"/>
      <c r="W947" s="243"/>
      <c r="X947" s="243"/>
      <c r="Y947" s="243"/>
      <c r="Z947" s="243"/>
      <c r="AA947" s="243"/>
      <c r="AB947" s="243"/>
      <c r="AC947" s="243"/>
      <c r="AD947" s="243"/>
      <c r="AE947" s="243"/>
      <c r="AF947" s="243"/>
      <c r="AG947" s="243"/>
      <c r="AH947" s="243"/>
      <c r="AI947" s="243"/>
      <c r="AJ947" s="243"/>
      <c r="AK947" s="243"/>
      <c r="AL947" s="243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</row>
    <row r="948" ht="16.5" customHeight="1">
      <c r="A948" s="243"/>
      <c r="B948" s="243"/>
      <c r="C948" s="243"/>
      <c r="D948" s="243"/>
      <c r="E948" s="243"/>
      <c r="F948" s="243"/>
      <c r="G948" s="243"/>
      <c r="H948" s="243"/>
      <c r="I948" s="243"/>
      <c r="J948" s="243"/>
      <c r="K948" s="243"/>
      <c r="L948" s="243"/>
      <c r="M948" s="243"/>
      <c r="N948" s="243"/>
      <c r="O948" s="243"/>
      <c r="P948" s="243"/>
      <c r="Q948" s="243"/>
      <c r="R948" s="243"/>
      <c r="S948" s="243"/>
      <c r="T948" s="243"/>
      <c r="U948" s="243"/>
      <c r="V948" s="243"/>
      <c r="W948" s="243"/>
      <c r="X948" s="243"/>
      <c r="Y948" s="243"/>
      <c r="Z948" s="243"/>
      <c r="AA948" s="243"/>
      <c r="AB948" s="243"/>
      <c r="AC948" s="243"/>
      <c r="AD948" s="243"/>
      <c r="AE948" s="243"/>
      <c r="AF948" s="243"/>
      <c r="AG948" s="243"/>
      <c r="AH948" s="243"/>
      <c r="AI948" s="243"/>
      <c r="AJ948" s="243"/>
      <c r="AK948" s="243"/>
      <c r="AL948" s="243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</row>
    <row r="949" ht="16.5" customHeight="1">
      <c r="A949" s="243"/>
      <c r="B949" s="243"/>
      <c r="C949" s="243"/>
      <c r="D949" s="243"/>
      <c r="E949" s="243"/>
      <c r="F949" s="243"/>
      <c r="G949" s="243"/>
      <c r="H949" s="243"/>
      <c r="I949" s="243"/>
      <c r="J949" s="243"/>
      <c r="K949" s="243"/>
      <c r="L949" s="243"/>
      <c r="M949" s="243"/>
      <c r="N949" s="243"/>
      <c r="O949" s="243"/>
      <c r="P949" s="243"/>
      <c r="Q949" s="243"/>
      <c r="R949" s="243"/>
      <c r="S949" s="243"/>
      <c r="T949" s="243"/>
      <c r="U949" s="243"/>
      <c r="V949" s="243"/>
      <c r="W949" s="243"/>
      <c r="X949" s="243"/>
      <c r="Y949" s="243"/>
      <c r="Z949" s="243"/>
      <c r="AA949" s="243"/>
      <c r="AB949" s="243"/>
      <c r="AC949" s="243"/>
      <c r="AD949" s="243"/>
      <c r="AE949" s="243"/>
      <c r="AF949" s="243"/>
      <c r="AG949" s="243"/>
      <c r="AH949" s="243"/>
      <c r="AI949" s="243"/>
      <c r="AJ949" s="243"/>
      <c r="AK949" s="243"/>
      <c r="AL949" s="243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</row>
    <row r="950" ht="16.5" customHeight="1">
      <c r="A950" s="243"/>
      <c r="B950" s="243"/>
      <c r="C950" s="243"/>
      <c r="D950" s="243"/>
      <c r="E950" s="243"/>
      <c r="F950" s="243"/>
      <c r="G950" s="243"/>
      <c r="H950" s="243"/>
      <c r="I950" s="243"/>
      <c r="J950" s="243"/>
      <c r="K950" s="243"/>
      <c r="L950" s="243"/>
      <c r="M950" s="243"/>
      <c r="N950" s="243"/>
      <c r="O950" s="243"/>
      <c r="P950" s="243"/>
      <c r="Q950" s="243"/>
      <c r="R950" s="243"/>
      <c r="S950" s="243"/>
      <c r="T950" s="243"/>
      <c r="U950" s="243"/>
      <c r="V950" s="243"/>
      <c r="W950" s="243"/>
      <c r="X950" s="243"/>
      <c r="Y950" s="243"/>
      <c r="Z950" s="243"/>
      <c r="AA950" s="243"/>
      <c r="AB950" s="243"/>
      <c r="AC950" s="243"/>
      <c r="AD950" s="243"/>
      <c r="AE950" s="243"/>
      <c r="AF950" s="243"/>
      <c r="AG950" s="243"/>
      <c r="AH950" s="243"/>
      <c r="AI950" s="243"/>
      <c r="AJ950" s="243"/>
      <c r="AK950" s="243"/>
      <c r="AL950" s="243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</row>
    <row r="951" ht="16.5" customHeight="1">
      <c r="A951" s="243"/>
      <c r="B951" s="243"/>
      <c r="C951" s="243"/>
      <c r="D951" s="243"/>
      <c r="E951" s="243"/>
      <c r="F951" s="243"/>
      <c r="G951" s="243"/>
      <c r="H951" s="243"/>
      <c r="I951" s="243"/>
      <c r="J951" s="243"/>
      <c r="K951" s="243"/>
      <c r="L951" s="243"/>
      <c r="M951" s="243"/>
      <c r="N951" s="243"/>
      <c r="O951" s="243"/>
      <c r="P951" s="243"/>
      <c r="Q951" s="243"/>
      <c r="R951" s="243"/>
      <c r="S951" s="243"/>
      <c r="T951" s="243"/>
      <c r="U951" s="243"/>
      <c r="V951" s="243"/>
      <c r="W951" s="243"/>
      <c r="X951" s="243"/>
      <c r="Y951" s="243"/>
      <c r="Z951" s="243"/>
      <c r="AA951" s="243"/>
      <c r="AB951" s="243"/>
      <c r="AC951" s="243"/>
      <c r="AD951" s="243"/>
      <c r="AE951" s="243"/>
      <c r="AF951" s="243"/>
      <c r="AG951" s="243"/>
      <c r="AH951" s="243"/>
      <c r="AI951" s="243"/>
      <c r="AJ951" s="243"/>
      <c r="AK951" s="243"/>
      <c r="AL951" s="243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</row>
    <row r="952" ht="16.5" customHeight="1">
      <c r="A952" s="243"/>
      <c r="B952" s="243"/>
      <c r="C952" s="243"/>
      <c r="D952" s="243"/>
      <c r="E952" s="243"/>
      <c r="F952" s="243"/>
      <c r="G952" s="243"/>
      <c r="H952" s="243"/>
      <c r="I952" s="243"/>
      <c r="J952" s="243"/>
      <c r="K952" s="243"/>
      <c r="L952" s="243"/>
      <c r="M952" s="243"/>
      <c r="N952" s="243"/>
      <c r="O952" s="243"/>
      <c r="P952" s="243"/>
      <c r="Q952" s="243"/>
      <c r="R952" s="243"/>
      <c r="S952" s="243"/>
      <c r="T952" s="243"/>
      <c r="U952" s="243"/>
      <c r="V952" s="243"/>
      <c r="W952" s="243"/>
      <c r="X952" s="243"/>
      <c r="Y952" s="243"/>
      <c r="Z952" s="243"/>
      <c r="AA952" s="243"/>
      <c r="AB952" s="243"/>
      <c r="AC952" s="243"/>
      <c r="AD952" s="243"/>
      <c r="AE952" s="243"/>
      <c r="AF952" s="243"/>
      <c r="AG952" s="243"/>
      <c r="AH952" s="243"/>
      <c r="AI952" s="243"/>
      <c r="AJ952" s="243"/>
      <c r="AK952" s="243"/>
      <c r="AL952" s="243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</row>
    <row r="953" ht="16.5" customHeight="1">
      <c r="A953" s="243"/>
      <c r="B953" s="243"/>
      <c r="C953" s="243"/>
      <c r="D953" s="243"/>
      <c r="E953" s="243"/>
      <c r="F953" s="243"/>
      <c r="G953" s="243"/>
      <c r="H953" s="243"/>
      <c r="I953" s="243"/>
      <c r="J953" s="243"/>
      <c r="K953" s="243"/>
      <c r="L953" s="243"/>
      <c r="M953" s="243"/>
      <c r="N953" s="243"/>
      <c r="O953" s="243"/>
      <c r="P953" s="243"/>
      <c r="Q953" s="243"/>
      <c r="R953" s="243"/>
      <c r="S953" s="243"/>
      <c r="T953" s="243"/>
      <c r="U953" s="243"/>
      <c r="V953" s="243"/>
      <c r="W953" s="243"/>
      <c r="X953" s="243"/>
      <c r="Y953" s="243"/>
      <c r="Z953" s="243"/>
      <c r="AA953" s="243"/>
      <c r="AB953" s="243"/>
      <c r="AC953" s="243"/>
      <c r="AD953" s="243"/>
      <c r="AE953" s="243"/>
      <c r="AF953" s="243"/>
      <c r="AG953" s="243"/>
      <c r="AH953" s="243"/>
      <c r="AI953" s="243"/>
      <c r="AJ953" s="243"/>
      <c r="AK953" s="243"/>
      <c r="AL953" s="243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</row>
    <row r="954" ht="16.5" customHeight="1">
      <c r="A954" s="243"/>
      <c r="B954" s="243"/>
      <c r="C954" s="243"/>
      <c r="D954" s="243"/>
      <c r="E954" s="243"/>
      <c r="F954" s="243"/>
      <c r="G954" s="243"/>
      <c r="H954" s="243"/>
      <c r="I954" s="243"/>
      <c r="J954" s="243"/>
      <c r="K954" s="243"/>
      <c r="L954" s="243"/>
      <c r="M954" s="243"/>
      <c r="N954" s="243"/>
      <c r="O954" s="243"/>
      <c r="P954" s="243"/>
      <c r="Q954" s="243"/>
      <c r="R954" s="243"/>
      <c r="S954" s="243"/>
      <c r="T954" s="243"/>
      <c r="U954" s="243"/>
      <c r="V954" s="243"/>
      <c r="W954" s="243"/>
      <c r="X954" s="243"/>
      <c r="Y954" s="243"/>
      <c r="Z954" s="243"/>
      <c r="AA954" s="243"/>
      <c r="AB954" s="243"/>
      <c r="AC954" s="243"/>
      <c r="AD954" s="243"/>
      <c r="AE954" s="243"/>
      <c r="AF954" s="243"/>
      <c r="AG954" s="243"/>
      <c r="AH954" s="243"/>
      <c r="AI954" s="243"/>
      <c r="AJ954" s="243"/>
      <c r="AK954" s="243"/>
      <c r="AL954" s="243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</row>
    <row r="955" ht="16.5" customHeight="1">
      <c r="A955" s="243"/>
      <c r="B955" s="243"/>
      <c r="C955" s="243"/>
      <c r="D955" s="243"/>
      <c r="E955" s="243"/>
      <c r="F955" s="243"/>
      <c r="G955" s="243"/>
      <c r="H955" s="243"/>
      <c r="I955" s="243"/>
      <c r="J955" s="243"/>
      <c r="K955" s="243"/>
      <c r="L955" s="243"/>
      <c r="M955" s="243"/>
      <c r="N955" s="243"/>
      <c r="O955" s="243"/>
      <c r="P955" s="243"/>
      <c r="Q955" s="243"/>
      <c r="R955" s="243"/>
      <c r="S955" s="243"/>
      <c r="T955" s="243"/>
      <c r="U955" s="243"/>
      <c r="V955" s="243"/>
      <c r="W955" s="243"/>
      <c r="X955" s="243"/>
      <c r="Y955" s="243"/>
      <c r="Z955" s="243"/>
      <c r="AA955" s="243"/>
      <c r="AB955" s="243"/>
      <c r="AC955" s="243"/>
      <c r="AD955" s="243"/>
      <c r="AE955" s="243"/>
      <c r="AF955" s="243"/>
      <c r="AG955" s="243"/>
      <c r="AH955" s="243"/>
      <c r="AI955" s="243"/>
      <c r="AJ955" s="243"/>
      <c r="AK955" s="243"/>
      <c r="AL955" s="243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</row>
    <row r="956" ht="16.5" customHeight="1">
      <c r="A956" s="243"/>
      <c r="B956" s="243"/>
      <c r="C956" s="243"/>
      <c r="D956" s="243"/>
      <c r="E956" s="243"/>
      <c r="F956" s="243"/>
      <c r="G956" s="243"/>
      <c r="H956" s="243"/>
      <c r="I956" s="243"/>
      <c r="J956" s="243"/>
      <c r="K956" s="243"/>
      <c r="L956" s="243"/>
      <c r="M956" s="243"/>
      <c r="N956" s="243"/>
      <c r="O956" s="243"/>
      <c r="P956" s="243"/>
      <c r="Q956" s="243"/>
      <c r="R956" s="243"/>
      <c r="S956" s="243"/>
      <c r="T956" s="243"/>
      <c r="U956" s="243"/>
      <c r="V956" s="243"/>
      <c r="W956" s="243"/>
      <c r="X956" s="243"/>
      <c r="Y956" s="243"/>
      <c r="Z956" s="243"/>
      <c r="AA956" s="243"/>
      <c r="AB956" s="243"/>
      <c r="AC956" s="243"/>
      <c r="AD956" s="243"/>
      <c r="AE956" s="243"/>
      <c r="AF956" s="243"/>
      <c r="AG956" s="243"/>
      <c r="AH956" s="243"/>
      <c r="AI956" s="243"/>
      <c r="AJ956" s="243"/>
      <c r="AK956" s="243"/>
      <c r="AL956" s="243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</row>
    <row r="957" ht="16.5" customHeight="1">
      <c r="A957" s="243"/>
      <c r="B957" s="243"/>
      <c r="C957" s="243"/>
      <c r="D957" s="243"/>
      <c r="E957" s="243"/>
      <c r="F957" s="243"/>
      <c r="G957" s="243"/>
      <c r="H957" s="243"/>
      <c r="I957" s="243"/>
      <c r="J957" s="243"/>
      <c r="K957" s="243"/>
      <c r="L957" s="243"/>
      <c r="M957" s="243"/>
      <c r="N957" s="243"/>
      <c r="O957" s="243"/>
      <c r="P957" s="243"/>
      <c r="Q957" s="243"/>
      <c r="R957" s="243"/>
      <c r="S957" s="243"/>
      <c r="T957" s="243"/>
      <c r="U957" s="243"/>
      <c r="V957" s="243"/>
      <c r="W957" s="243"/>
      <c r="X957" s="243"/>
      <c r="Y957" s="243"/>
      <c r="Z957" s="243"/>
      <c r="AA957" s="243"/>
      <c r="AB957" s="243"/>
      <c r="AC957" s="243"/>
      <c r="AD957" s="243"/>
      <c r="AE957" s="243"/>
      <c r="AF957" s="243"/>
      <c r="AG957" s="243"/>
      <c r="AH957" s="243"/>
      <c r="AI957" s="243"/>
      <c r="AJ957" s="243"/>
      <c r="AK957" s="243"/>
      <c r="AL957" s="243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</row>
    <row r="958" ht="16.5" customHeight="1">
      <c r="A958" s="243"/>
      <c r="B958" s="243"/>
      <c r="C958" s="243"/>
      <c r="D958" s="243"/>
      <c r="E958" s="243"/>
      <c r="F958" s="243"/>
      <c r="G958" s="243"/>
      <c r="H958" s="243"/>
      <c r="I958" s="243"/>
      <c r="J958" s="243"/>
      <c r="K958" s="243"/>
      <c r="L958" s="243"/>
      <c r="M958" s="243"/>
      <c r="N958" s="243"/>
      <c r="O958" s="243"/>
      <c r="P958" s="243"/>
      <c r="Q958" s="243"/>
      <c r="R958" s="243"/>
      <c r="S958" s="243"/>
      <c r="T958" s="243"/>
      <c r="U958" s="243"/>
      <c r="V958" s="243"/>
      <c r="W958" s="243"/>
      <c r="X958" s="243"/>
      <c r="Y958" s="243"/>
      <c r="Z958" s="243"/>
      <c r="AA958" s="243"/>
      <c r="AB958" s="243"/>
      <c r="AC958" s="243"/>
      <c r="AD958" s="243"/>
      <c r="AE958" s="243"/>
      <c r="AF958" s="243"/>
      <c r="AG958" s="243"/>
      <c r="AH958" s="243"/>
      <c r="AI958" s="243"/>
      <c r="AJ958" s="243"/>
      <c r="AK958" s="243"/>
      <c r="AL958" s="243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</row>
    <row r="959" ht="16.5" customHeight="1">
      <c r="A959" s="243"/>
      <c r="B959" s="243"/>
      <c r="C959" s="243"/>
      <c r="D959" s="243"/>
      <c r="E959" s="243"/>
      <c r="F959" s="243"/>
      <c r="G959" s="243"/>
      <c r="H959" s="243"/>
      <c r="I959" s="243"/>
      <c r="J959" s="243"/>
      <c r="K959" s="243"/>
      <c r="L959" s="243"/>
      <c r="M959" s="243"/>
      <c r="N959" s="243"/>
      <c r="O959" s="243"/>
      <c r="P959" s="243"/>
      <c r="Q959" s="243"/>
      <c r="R959" s="243"/>
      <c r="S959" s="243"/>
      <c r="T959" s="243"/>
      <c r="U959" s="243"/>
      <c r="V959" s="243"/>
      <c r="W959" s="243"/>
      <c r="X959" s="243"/>
      <c r="Y959" s="243"/>
      <c r="Z959" s="243"/>
      <c r="AA959" s="243"/>
      <c r="AB959" s="243"/>
      <c r="AC959" s="243"/>
      <c r="AD959" s="243"/>
      <c r="AE959" s="243"/>
      <c r="AF959" s="243"/>
      <c r="AG959" s="243"/>
      <c r="AH959" s="243"/>
      <c r="AI959" s="243"/>
      <c r="AJ959" s="243"/>
      <c r="AK959" s="243"/>
      <c r="AL959" s="243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</row>
    <row r="960" ht="16.5" customHeight="1">
      <c r="A960" s="243"/>
      <c r="B960" s="243"/>
      <c r="C960" s="243"/>
      <c r="D960" s="243"/>
      <c r="E960" s="243"/>
      <c r="F960" s="243"/>
      <c r="G960" s="243"/>
      <c r="H960" s="243"/>
      <c r="I960" s="243"/>
      <c r="J960" s="243"/>
      <c r="K960" s="243"/>
      <c r="L960" s="243"/>
      <c r="M960" s="243"/>
      <c r="N960" s="243"/>
      <c r="O960" s="243"/>
      <c r="P960" s="243"/>
      <c r="Q960" s="243"/>
      <c r="R960" s="243"/>
      <c r="S960" s="243"/>
      <c r="T960" s="243"/>
      <c r="U960" s="243"/>
      <c r="V960" s="243"/>
      <c r="W960" s="243"/>
      <c r="X960" s="243"/>
      <c r="Y960" s="243"/>
      <c r="Z960" s="243"/>
      <c r="AA960" s="243"/>
      <c r="AB960" s="243"/>
      <c r="AC960" s="243"/>
      <c r="AD960" s="243"/>
      <c r="AE960" s="243"/>
      <c r="AF960" s="243"/>
      <c r="AG960" s="243"/>
      <c r="AH960" s="243"/>
      <c r="AI960" s="243"/>
      <c r="AJ960" s="243"/>
      <c r="AK960" s="243"/>
      <c r="AL960" s="243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</row>
    <row r="961" ht="16.5" customHeight="1">
      <c r="A961" s="243"/>
      <c r="B961" s="243"/>
      <c r="C961" s="243"/>
      <c r="D961" s="243"/>
      <c r="E961" s="243"/>
      <c r="F961" s="243"/>
      <c r="G961" s="243"/>
      <c r="H961" s="243"/>
      <c r="I961" s="243"/>
      <c r="J961" s="243"/>
      <c r="K961" s="243"/>
      <c r="L961" s="243"/>
      <c r="M961" s="243"/>
      <c r="N961" s="243"/>
      <c r="O961" s="243"/>
      <c r="P961" s="243"/>
      <c r="Q961" s="243"/>
      <c r="R961" s="243"/>
      <c r="S961" s="243"/>
      <c r="T961" s="243"/>
      <c r="U961" s="243"/>
      <c r="V961" s="243"/>
      <c r="W961" s="243"/>
      <c r="X961" s="243"/>
      <c r="Y961" s="243"/>
      <c r="Z961" s="243"/>
      <c r="AA961" s="243"/>
      <c r="AB961" s="243"/>
      <c r="AC961" s="243"/>
      <c r="AD961" s="243"/>
      <c r="AE961" s="243"/>
      <c r="AF961" s="243"/>
      <c r="AG961" s="243"/>
      <c r="AH961" s="243"/>
      <c r="AI961" s="243"/>
      <c r="AJ961" s="243"/>
      <c r="AK961" s="243"/>
      <c r="AL961" s="243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</row>
    <row r="962" ht="16.5" customHeight="1">
      <c r="A962" s="243"/>
      <c r="B962" s="243"/>
      <c r="C962" s="243"/>
      <c r="D962" s="243"/>
      <c r="E962" s="243"/>
      <c r="F962" s="243"/>
      <c r="G962" s="243"/>
      <c r="H962" s="243"/>
      <c r="I962" s="243"/>
      <c r="J962" s="243"/>
      <c r="K962" s="243"/>
      <c r="L962" s="243"/>
      <c r="M962" s="243"/>
      <c r="N962" s="243"/>
      <c r="O962" s="243"/>
      <c r="P962" s="243"/>
      <c r="Q962" s="243"/>
      <c r="R962" s="243"/>
      <c r="S962" s="243"/>
      <c r="T962" s="243"/>
      <c r="U962" s="243"/>
      <c r="V962" s="243"/>
      <c r="W962" s="243"/>
      <c r="X962" s="243"/>
      <c r="Y962" s="243"/>
      <c r="Z962" s="243"/>
      <c r="AA962" s="243"/>
      <c r="AB962" s="243"/>
      <c r="AC962" s="243"/>
      <c r="AD962" s="243"/>
      <c r="AE962" s="243"/>
      <c r="AF962" s="243"/>
      <c r="AG962" s="243"/>
      <c r="AH962" s="243"/>
      <c r="AI962" s="243"/>
      <c r="AJ962" s="243"/>
      <c r="AK962" s="243"/>
      <c r="AL962" s="243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</row>
    <row r="963" ht="16.5" customHeight="1">
      <c r="A963" s="243"/>
      <c r="B963" s="243"/>
      <c r="C963" s="243"/>
      <c r="D963" s="243"/>
      <c r="E963" s="243"/>
      <c r="F963" s="243"/>
      <c r="G963" s="243"/>
      <c r="H963" s="243"/>
      <c r="I963" s="243"/>
      <c r="J963" s="243"/>
      <c r="K963" s="243"/>
      <c r="L963" s="243"/>
      <c r="M963" s="243"/>
      <c r="N963" s="243"/>
      <c r="O963" s="243"/>
      <c r="P963" s="243"/>
      <c r="Q963" s="243"/>
      <c r="R963" s="243"/>
      <c r="S963" s="243"/>
      <c r="T963" s="243"/>
      <c r="U963" s="243"/>
      <c r="V963" s="243"/>
      <c r="W963" s="243"/>
      <c r="X963" s="243"/>
      <c r="Y963" s="243"/>
      <c r="Z963" s="243"/>
      <c r="AA963" s="243"/>
      <c r="AB963" s="243"/>
      <c r="AC963" s="243"/>
      <c r="AD963" s="243"/>
      <c r="AE963" s="243"/>
      <c r="AF963" s="243"/>
      <c r="AG963" s="243"/>
      <c r="AH963" s="243"/>
      <c r="AI963" s="243"/>
      <c r="AJ963" s="243"/>
      <c r="AK963" s="243"/>
      <c r="AL963" s="243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</row>
    <row r="964" ht="16.5" customHeight="1">
      <c r="A964" s="243"/>
      <c r="B964" s="243"/>
      <c r="C964" s="243"/>
      <c r="D964" s="243"/>
      <c r="E964" s="243"/>
      <c r="F964" s="243"/>
      <c r="G964" s="243"/>
      <c r="H964" s="243"/>
      <c r="I964" s="243"/>
      <c r="J964" s="243"/>
      <c r="K964" s="243"/>
      <c r="L964" s="243"/>
      <c r="M964" s="243"/>
      <c r="N964" s="243"/>
      <c r="O964" s="243"/>
      <c r="P964" s="243"/>
      <c r="Q964" s="243"/>
      <c r="R964" s="243"/>
      <c r="S964" s="243"/>
      <c r="T964" s="243"/>
      <c r="U964" s="243"/>
      <c r="V964" s="243"/>
      <c r="W964" s="243"/>
      <c r="X964" s="243"/>
      <c r="Y964" s="243"/>
      <c r="Z964" s="243"/>
      <c r="AA964" s="243"/>
      <c r="AB964" s="243"/>
      <c r="AC964" s="243"/>
      <c r="AD964" s="243"/>
      <c r="AE964" s="243"/>
      <c r="AF964" s="243"/>
      <c r="AG964" s="243"/>
      <c r="AH964" s="243"/>
      <c r="AI964" s="243"/>
      <c r="AJ964" s="243"/>
      <c r="AK964" s="243"/>
      <c r="AL964" s="243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</row>
    <row r="965" ht="16.5" customHeight="1">
      <c r="A965" s="243"/>
      <c r="B965" s="243"/>
      <c r="C965" s="243"/>
      <c r="D965" s="243"/>
      <c r="E965" s="243"/>
      <c r="F965" s="243"/>
      <c r="G965" s="243"/>
      <c r="H965" s="243"/>
      <c r="I965" s="243"/>
      <c r="J965" s="243"/>
      <c r="K965" s="243"/>
      <c r="L965" s="243"/>
      <c r="M965" s="243"/>
      <c r="N965" s="243"/>
      <c r="O965" s="243"/>
      <c r="P965" s="243"/>
      <c r="Q965" s="243"/>
      <c r="R965" s="243"/>
      <c r="S965" s="243"/>
      <c r="T965" s="243"/>
      <c r="U965" s="243"/>
      <c r="V965" s="243"/>
      <c r="W965" s="243"/>
      <c r="X965" s="243"/>
      <c r="Y965" s="243"/>
      <c r="Z965" s="243"/>
      <c r="AA965" s="243"/>
      <c r="AB965" s="243"/>
      <c r="AC965" s="243"/>
      <c r="AD965" s="243"/>
      <c r="AE965" s="243"/>
      <c r="AF965" s="243"/>
      <c r="AG965" s="243"/>
      <c r="AH965" s="243"/>
      <c r="AI965" s="243"/>
      <c r="AJ965" s="243"/>
      <c r="AK965" s="243"/>
      <c r="AL965" s="243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</row>
    <row r="966" ht="16.5" customHeight="1">
      <c r="A966" s="243"/>
      <c r="B966" s="243"/>
      <c r="C966" s="243"/>
      <c r="D966" s="243"/>
      <c r="E966" s="243"/>
      <c r="F966" s="243"/>
      <c r="G966" s="243"/>
      <c r="H966" s="243"/>
      <c r="I966" s="243"/>
      <c r="J966" s="243"/>
      <c r="K966" s="243"/>
      <c r="L966" s="243"/>
      <c r="M966" s="243"/>
      <c r="N966" s="243"/>
      <c r="O966" s="243"/>
      <c r="P966" s="243"/>
      <c r="Q966" s="243"/>
      <c r="R966" s="243"/>
      <c r="S966" s="243"/>
      <c r="T966" s="243"/>
      <c r="U966" s="243"/>
      <c r="V966" s="243"/>
      <c r="W966" s="243"/>
      <c r="X966" s="243"/>
      <c r="Y966" s="243"/>
      <c r="Z966" s="243"/>
      <c r="AA966" s="243"/>
      <c r="AB966" s="243"/>
      <c r="AC966" s="243"/>
      <c r="AD966" s="243"/>
      <c r="AE966" s="243"/>
      <c r="AF966" s="243"/>
      <c r="AG966" s="243"/>
      <c r="AH966" s="243"/>
      <c r="AI966" s="243"/>
      <c r="AJ966" s="243"/>
      <c r="AK966" s="243"/>
      <c r="AL966" s="243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</row>
    <row r="967" ht="16.5" customHeight="1">
      <c r="A967" s="243"/>
      <c r="B967" s="243"/>
      <c r="C967" s="243"/>
      <c r="D967" s="243"/>
      <c r="E967" s="243"/>
      <c r="F967" s="243"/>
      <c r="G967" s="243"/>
      <c r="H967" s="243"/>
      <c r="I967" s="243"/>
      <c r="J967" s="243"/>
      <c r="K967" s="243"/>
      <c r="L967" s="243"/>
      <c r="M967" s="243"/>
      <c r="N967" s="243"/>
      <c r="O967" s="243"/>
      <c r="P967" s="243"/>
      <c r="Q967" s="243"/>
      <c r="R967" s="243"/>
      <c r="S967" s="243"/>
      <c r="T967" s="243"/>
      <c r="U967" s="243"/>
      <c r="V967" s="243"/>
      <c r="W967" s="243"/>
      <c r="X967" s="243"/>
      <c r="Y967" s="243"/>
      <c r="Z967" s="243"/>
      <c r="AA967" s="243"/>
      <c r="AB967" s="243"/>
      <c r="AC967" s="243"/>
      <c r="AD967" s="243"/>
      <c r="AE967" s="243"/>
      <c r="AF967" s="243"/>
      <c r="AG967" s="243"/>
      <c r="AH967" s="243"/>
      <c r="AI967" s="243"/>
      <c r="AJ967" s="243"/>
      <c r="AK967" s="243"/>
      <c r="AL967" s="243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</row>
    <row r="968" ht="16.5" customHeight="1">
      <c r="A968" s="243"/>
      <c r="B968" s="243"/>
      <c r="C968" s="243"/>
      <c r="D968" s="243"/>
      <c r="E968" s="243"/>
      <c r="F968" s="243"/>
      <c r="G968" s="243"/>
      <c r="H968" s="243"/>
      <c r="I968" s="243"/>
      <c r="J968" s="243"/>
      <c r="K968" s="243"/>
      <c r="L968" s="243"/>
      <c r="M968" s="243"/>
      <c r="N968" s="243"/>
      <c r="O968" s="243"/>
      <c r="P968" s="243"/>
      <c r="Q968" s="243"/>
      <c r="R968" s="243"/>
      <c r="S968" s="243"/>
      <c r="T968" s="243"/>
      <c r="U968" s="243"/>
      <c r="V968" s="243"/>
      <c r="W968" s="243"/>
      <c r="X968" s="243"/>
      <c r="Y968" s="243"/>
      <c r="Z968" s="243"/>
      <c r="AA968" s="243"/>
      <c r="AB968" s="243"/>
      <c r="AC968" s="243"/>
      <c r="AD968" s="243"/>
      <c r="AE968" s="243"/>
      <c r="AF968" s="243"/>
      <c r="AG968" s="243"/>
      <c r="AH968" s="243"/>
      <c r="AI968" s="243"/>
      <c r="AJ968" s="243"/>
      <c r="AK968" s="243"/>
      <c r="AL968" s="243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</row>
    <row r="969" ht="16.5" customHeight="1">
      <c r="A969" s="243"/>
      <c r="B969" s="243"/>
      <c r="C969" s="243"/>
      <c r="D969" s="243"/>
      <c r="E969" s="243"/>
      <c r="F969" s="243"/>
      <c r="G969" s="243"/>
      <c r="H969" s="243"/>
      <c r="I969" s="243"/>
      <c r="J969" s="243"/>
      <c r="K969" s="243"/>
      <c r="L969" s="243"/>
      <c r="M969" s="243"/>
      <c r="N969" s="243"/>
      <c r="O969" s="243"/>
      <c r="P969" s="243"/>
      <c r="Q969" s="243"/>
      <c r="R969" s="243"/>
      <c r="S969" s="243"/>
      <c r="T969" s="243"/>
      <c r="U969" s="243"/>
      <c r="V969" s="243"/>
      <c r="W969" s="243"/>
      <c r="X969" s="243"/>
      <c r="Y969" s="243"/>
      <c r="Z969" s="243"/>
      <c r="AA969" s="243"/>
      <c r="AB969" s="243"/>
      <c r="AC969" s="243"/>
      <c r="AD969" s="243"/>
      <c r="AE969" s="243"/>
      <c r="AF969" s="243"/>
      <c r="AG969" s="243"/>
      <c r="AH969" s="243"/>
      <c r="AI969" s="243"/>
      <c r="AJ969" s="243"/>
      <c r="AK969" s="243"/>
      <c r="AL969" s="243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</row>
    <row r="970" ht="16.5" customHeight="1">
      <c r="A970" s="243"/>
      <c r="B970" s="243"/>
      <c r="C970" s="243"/>
      <c r="D970" s="243"/>
      <c r="E970" s="243"/>
      <c r="F970" s="243"/>
      <c r="G970" s="243"/>
      <c r="H970" s="243"/>
      <c r="I970" s="243"/>
      <c r="J970" s="243"/>
      <c r="K970" s="243"/>
      <c r="L970" s="243"/>
      <c r="M970" s="243"/>
      <c r="N970" s="243"/>
      <c r="O970" s="243"/>
      <c r="P970" s="243"/>
      <c r="Q970" s="243"/>
      <c r="R970" s="243"/>
      <c r="S970" s="243"/>
      <c r="T970" s="243"/>
      <c r="U970" s="243"/>
      <c r="V970" s="243"/>
      <c r="W970" s="243"/>
      <c r="X970" s="243"/>
      <c r="Y970" s="243"/>
      <c r="Z970" s="243"/>
      <c r="AA970" s="243"/>
      <c r="AB970" s="243"/>
      <c r="AC970" s="243"/>
      <c r="AD970" s="243"/>
      <c r="AE970" s="243"/>
      <c r="AF970" s="243"/>
      <c r="AG970" s="243"/>
      <c r="AH970" s="243"/>
      <c r="AI970" s="243"/>
      <c r="AJ970" s="243"/>
      <c r="AK970" s="243"/>
      <c r="AL970" s="243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</row>
    <row r="971" ht="16.5" customHeight="1">
      <c r="A971" s="243"/>
      <c r="B971" s="243"/>
      <c r="C971" s="243"/>
      <c r="D971" s="243"/>
      <c r="E971" s="243"/>
      <c r="F971" s="243"/>
      <c r="G971" s="243"/>
      <c r="H971" s="243"/>
      <c r="I971" s="243"/>
      <c r="J971" s="243"/>
      <c r="K971" s="243"/>
      <c r="L971" s="243"/>
      <c r="M971" s="243"/>
      <c r="N971" s="243"/>
      <c r="O971" s="243"/>
      <c r="P971" s="243"/>
      <c r="Q971" s="243"/>
      <c r="R971" s="243"/>
      <c r="S971" s="243"/>
      <c r="T971" s="243"/>
      <c r="U971" s="243"/>
      <c r="V971" s="243"/>
      <c r="W971" s="243"/>
      <c r="X971" s="243"/>
      <c r="Y971" s="243"/>
      <c r="Z971" s="243"/>
      <c r="AA971" s="243"/>
      <c r="AB971" s="243"/>
      <c r="AC971" s="243"/>
      <c r="AD971" s="243"/>
      <c r="AE971" s="243"/>
      <c r="AF971" s="243"/>
      <c r="AG971" s="243"/>
      <c r="AH971" s="243"/>
      <c r="AI971" s="243"/>
      <c r="AJ971" s="243"/>
      <c r="AK971" s="243"/>
      <c r="AL971" s="243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</row>
    <row r="972" ht="16.5" customHeight="1">
      <c r="A972" s="243"/>
      <c r="B972" s="243"/>
      <c r="C972" s="243"/>
      <c r="D972" s="243"/>
      <c r="E972" s="243"/>
      <c r="F972" s="243"/>
      <c r="G972" s="243"/>
      <c r="H972" s="243"/>
      <c r="I972" s="243"/>
      <c r="J972" s="243"/>
      <c r="K972" s="243"/>
      <c r="L972" s="243"/>
      <c r="M972" s="243"/>
      <c r="N972" s="243"/>
      <c r="O972" s="243"/>
      <c r="P972" s="243"/>
      <c r="Q972" s="243"/>
      <c r="R972" s="243"/>
      <c r="S972" s="243"/>
      <c r="T972" s="243"/>
      <c r="U972" s="243"/>
      <c r="V972" s="243"/>
      <c r="W972" s="243"/>
      <c r="X972" s="243"/>
      <c r="Y972" s="243"/>
      <c r="Z972" s="243"/>
      <c r="AA972" s="243"/>
      <c r="AB972" s="243"/>
      <c r="AC972" s="243"/>
      <c r="AD972" s="243"/>
      <c r="AE972" s="243"/>
      <c r="AF972" s="243"/>
      <c r="AG972" s="243"/>
      <c r="AH972" s="243"/>
      <c r="AI972" s="243"/>
      <c r="AJ972" s="243"/>
      <c r="AK972" s="243"/>
      <c r="AL972" s="243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</row>
    <row r="973" ht="16.5" customHeight="1">
      <c r="A973" s="243"/>
      <c r="B973" s="243"/>
      <c r="C973" s="243"/>
      <c r="D973" s="243"/>
      <c r="E973" s="243"/>
      <c r="F973" s="243"/>
      <c r="G973" s="243"/>
      <c r="H973" s="243"/>
      <c r="I973" s="243"/>
      <c r="J973" s="243"/>
      <c r="K973" s="243"/>
      <c r="L973" s="243"/>
      <c r="M973" s="243"/>
      <c r="N973" s="243"/>
      <c r="O973" s="243"/>
      <c r="P973" s="243"/>
      <c r="Q973" s="243"/>
      <c r="R973" s="243"/>
      <c r="S973" s="243"/>
      <c r="T973" s="243"/>
      <c r="U973" s="243"/>
      <c r="V973" s="243"/>
      <c r="W973" s="243"/>
      <c r="X973" s="243"/>
      <c r="Y973" s="243"/>
      <c r="Z973" s="243"/>
      <c r="AA973" s="243"/>
      <c r="AB973" s="243"/>
      <c r="AC973" s="243"/>
      <c r="AD973" s="243"/>
      <c r="AE973" s="243"/>
      <c r="AF973" s="243"/>
      <c r="AG973" s="243"/>
      <c r="AH973" s="243"/>
      <c r="AI973" s="243"/>
      <c r="AJ973" s="243"/>
      <c r="AK973" s="243"/>
      <c r="AL973" s="243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</row>
    <row r="974" ht="16.5" customHeight="1">
      <c r="A974" s="243"/>
      <c r="B974" s="243"/>
      <c r="C974" s="243"/>
      <c r="D974" s="243"/>
      <c r="E974" s="243"/>
      <c r="F974" s="243"/>
      <c r="G974" s="243"/>
      <c r="H974" s="243"/>
      <c r="I974" s="243"/>
      <c r="J974" s="243"/>
      <c r="K974" s="243"/>
      <c r="L974" s="243"/>
      <c r="M974" s="243"/>
      <c r="N974" s="243"/>
      <c r="O974" s="243"/>
      <c r="P974" s="243"/>
      <c r="Q974" s="243"/>
      <c r="R974" s="243"/>
      <c r="S974" s="243"/>
      <c r="T974" s="243"/>
      <c r="U974" s="243"/>
      <c r="V974" s="243"/>
      <c r="W974" s="243"/>
      <c r="X974" s="243"/>
      <c r="Y974" s="243"/>
      <c r="Z974" s="243"/>
      <c r="AA974" s="243"/>
      <c r="AB974" s="243"/>
      <c r="AC974" s="243"/>
      <c r="AD974" s="243"/>
      <c r="AE974" s="243"/>
      <c r="AF974" s="243"/>
      <c r="AG974" s="243"/>
      <c r="AH974" s="243"/>
      <c r="AI974" s="243"/>
      <c r="AJ974" s="243"/>
      <c r="AK974" s="243"/>
      <c r="AL974" s="243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</row>
    <row r="975" ht="16.5" customHeight="1">
      <c r="A975" s="243"/>
      <c r="B975" s="243"/>
      <c r="C975" s="243"/>
      <c r="D975" s="243"/>
      <c r="E975" s="243"/>
      <c r="F975" s="243"/>
      <c r="G975" s="243"/>
      <c r="H975" s="243"/>
      <c r="I975" s="243"/>
      <c r="J975" s="243"/>
      <c r="K975" s="243"/>
      <c r="L975" s="243"/>
      <c r="M975" s="243"/>
      <c r="N975" s="243"/>
      <c r="O975" s="243"/>
      <c r="P975" s="243"/>
      <c r="Q975" s="243"/>
      <c r="R975" s="243"/>
      <c r="S975" s="243"/>
      <c r="T975" s="243"/>
      <c r="U975" s="243"/>
      <c r="V975" s="243"/>
      <c r="W975" s="243"/>
      <c r="X975" s="243"/>
      <c r="Y975" s="243"/>
      <c r="Z975" s="243"/>
      <c r="AA975" s="243"/>
      <c r="AB975" s="243"/>
      <c r="AC975" s="243"/>
      <c r="AD975" s="243"/>
      <c r="AE975" s="243"/>
      <c r="AF975" s="243"/>
      <c r="AG975" s="243"/>
      <c r="AH975" s="243"/>
      <c r="AI975" s="243"/>
      <c r="AJ975" s="243"/>
      <c r="AK975" s="243"/>
      <c r="AL975" s="243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</row>
    <row r="976" ht="16.5" customHeight="1">
      <c r="A976" s="243"/>
      <c r="B976" s="243"/>
      <c r="C976" s="243"/>
      <c r="D976" s="243"/>
      <c r="E976" s="243"/>
      <c r="F976" s="243"/>
      <c r="G976" s="243"/>
      <c r="H976" s="243"/>
      <c r="I976" s="243"/>
      <c r="J976" s="243"/>
      <c r="K976" s="243"/>
      <c r="L976" s="243"/>
      <c r="M976" s="243"/>
      <c r="N976" s="243"/>
      <c r="O976" s="243"/>
      <c r="P976" s="243"/>
      <c r="Q976" s="243"/>
      <c r="R976" s="243"/>
      <c r="S976" s="243"/>
      <c r="T976" s="243"/>
      <c r="U976" s="243"/>
      <c r="V976" s="243"/>
      <c r="W976" s="243"/>
      <c r="X976" s="243"/>
      <c r="Y976" s="243"/>
      <c r="Z976" s="243"/>
      <c r="AA976" s="243"/>
      <c r="AB976" s="243"/>
      <c r="AC976" s="243"/>
      <c r="AD976" s="243"/>
      <c r="AE976" s="243"/>
      <c r="AF976" s="243"/>
      <c r="AG976" s="243"/>
      <c r="AH976" s="243"/>
      <c r="AI976" s="243"/>
      <c r="AJ976" s="243"/>
      <c r="AK976" s="243"/>
      <c r="AL976" s="243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</row>
    <row r="977" ht="16.5" customHeight="1">
      <c r="A977" s="243"/>
      <c r="B977" s="243"/>
      <c r="C977" s="243"/>
      <c r="D977" s="243"/>
      <c r="E977" s="243"/>
      <c r="F977" s="243"/>
      <c r="G977" s="243"/>
      <c r="H977" s="243"/>
      <c r="I977" s="243"/>
      <c r="J977" s="243"/>
      <c r="K977" s="243"/>
      <c r="L977" s="243"/>
      <c r="M977" s="243"/>
      <c r="N977" s="243"/>
      <c r="O977" s="243"/>
      <c r="P977" s="243"/>
      <c r="Q977" s="243"/>
      <c r="R977" s="243"/>
      <c r="S977" s="243"/>
      <c r="T977" s="243"/>
      <c r="U977" s="243"/>
      <c r="V977" s="243"/>
      <c r="W977" s="243"/>
      <c r="X977" s="243"/>
      <c r="Y977" s="243"/>
      <c r="Z977" s="243"/>
      <c r="AA977" s="243"/>
      <c r="AB977" s="243"/>
      <c r="AC977" s="243"/>
      <c r="AD977" s="243"/>
      <c r="AE977" s="243"/>
      <c r="AF977" s="243"/>
      <c r="AG977" s="243"/>
      <c r="AH977" s="243"/>
      <c r="AI977" s="243"/>
      <c r="AJ977" s="243"/>
      <c r="AK977" s="243"/>
      <c r="AL977" s="243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</row>
    <row r="978" ht="16.5" customHeight="1">
      <c r="A978" s="243"/>
      <c r="B978" s="243"/>
      <c r="C978" s="243"/>
      <c r="D978" s="243"/>
      <c r="E978" s="243"/>
      <c r="F978" s="243"/>
      <c r="G978" s="243"/>
      <c r="H978" s="243"/>
      <c r="I978" s="243"/>
      <c r="J978" s="243"/>
      <c r="K978" s="243"/>
      <c r="L978" s="243"/>
      <c r="M978" s="243"/>
      <c r="N978" s="243"/>
      <c r="O978" s="243"/>
      <c r="P978" s="243"/>
      <c r="Q978" s="243"/>
      <c r="R978" s="243"/>
      <c r="S978" s="243"/>
      <c r="T978" s="243"/>
      <c r="U978" s="243"/>
      <c r="V978" s="243"/>
      <c r="W978" s="243"/>
      <c r="X978" s="243"/>
      <c r="Y978" s="243"/>
      <c r="Z978" s="243"/>
      <c r="AA978" s="243"/>
      <c r="AB978" s="243"/>
      <c r="AC978" s="243"/>
      <c r="AD978" s="243"/>
      <c r="AE978" s="243"/>
      <c r="AF978" s="243"/>
      <c r="AG978" s="243"/>
      <c r="AH978" s="243"/>
      <c r="AI978" s="243"/>
      <c r="AJ978" s="243"/>
      <c r="AK978" s="243"/>
      <c r="AL978" s="243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</row>
    <row r="979" ht="16.5" customHeight="1">
      <c r="A979" s="243"/>
      <c r="B979" s="243"/>
      <c r="C979" s="243"/>
      <c r="D979" s="243"/>
      <c r="E979" s="243"/>
      <c r="F979" s="243"/>
      <c r="G979" s="243"/>
      <c r="H979" s="243"/>
      <c r="I979" s="243"/>
      <c r="J979" s="243"/>
      <c r="K979" s="243"/>
      <c r="L979" s="243"/>
      <c r="M979" s="243"/>
      <c r="N979" s="243"/>
      <c r="O979" s="243"/>
      <c r="P979" s="243"/>
      <c r="Q979" s="243"/>
      <c r="R979" s="243"/>
      <c r="S979" s="243"/>
      <c r="T979" s="243"/>
      <c r="U979" s="243"/>
      <c r="V979" s="243"/>
      <c r="W979" s="243"/>
      <c r="X979" s="243"/>
      <c r="Y979" s="243"/>
      <c r="Z979" s="243"/>
      <c r="AA979" s="243"/>
      <c r="AB979" s="243"/>
      <c r="AC979" s="243"/>
      <c r="AD979" s="243"/>
      <c r="AE979" s="243"/>
      <c r="AF979" s="243"/>
      <c r="AG979" s="243"/>
      <c r="AH979" s="243"/>
      <c r="AI979" s="243"/>
      <c r="AJ979" s="243"/>
      <c r="AK979" s="243"/>
      <c r="AL979" s="243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</row>
    <row r="980" ht="16.5" customHeight="1">
      <c r="A980" s="243"/>
      <c r="B980" s="243"/>
      <c r="C980" s="243"/>
      <c r="D980" s="243"/>
      <c r="E980" s="243"/>
      <c r="F980" s="243"/>
      <c r="G980" s="243"/>
      <c r="H980" s="243"/>
      <c r="I980" s="243"/>
      <c r="J980" s="243"/>
      <c r="K980" s="243"/>
      <c r="L980" s="243"/>
      <c r="M980" s="243"/>
      <c r="N980" s="243"/>
      <c r="O980" s="243"/>
      <c r="P980" s="243"/>
      <c r="Q980" s="243"/>
      <c r="R980" s="243"/>
      <c r="S980" s="243"/>
      <c r="T980" s="243"/>
      <c r="U980" s="243"/>
      <c r="V980" s="243"/>
      <c r="W980" s="243"/>
      <c r="X980" s="243"/>
      <c r="Y980" s="243"/>
      <c r="Z980" s="243"/>
      <c r="AA980" s="243"/>
      <c r="AB980" s="243"/>
      <c r="AC980" s="243"/>
      <c r="AD980" s="243"/>
      <c r="AE980" s="243"/>
      <c r="AF980" s="243"/>
      <c r="AG980" s="243"/>
      <c r="AH980" s="243"/>
      <c r="AI980" s="243"/>
      <c r="AJ980" s="243"/>
      <c r="AK980" s="243"/>
      <c r="AL980" s="243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</row>
    <row r="981" ht="16.5" customHeight="1">
      <c r="A981" s="243"/>
      <c r="B981" s="243"/>
      <c r="C981" s="243"/>
      <c r="D981" s="243"/>
      <c r="E981" s="243"/>
      <c r="F981" s="243"/>
      <c r="G981" s="243"/>
      <c r="H981" s="243"/>
      <c r="I981" s="243"/>
      <c r="J981" s="243"/>
      <c r="K981" s="243"/>
      <c r="L981" s="243"/>
      <c r="M981" s="243"/>
      <c r="N981" s="243"/>
      <c r="O981" s="243"/>
      <c r="P981" s="243"/>
      <c r="Q981" s="243"/>
      <c r="R981" s="243"/>
      <c r="S981" s="243"/>
      <c r="T981" s="243"/>
      <c r="U981" s="243"/>
      <c r="V981" s="243"/>
      <c r="W981" s="243"/>
      <c r="X981" s="243"/>
      <c r="Y981" s="243"/>
      <c r="Z981" s="243"/>
      <c r="AA981" s="243"/>
      <c r="AB981" s="243"/>
      <c r="AC981" s="243"/>
      <c r="AD981" s="243"/>
      <c r="AE981" s="243"/>
      <c r="AF981" s="243"/>
      <c r="AG981" s="243"/>
      <c r="AH981" s="243"/>
      <c r="AI981" s="243"/>
      <c r="AJ981" s="243"/>
      <c r="AK981" s="243"/>
      <c r="AL981" s="243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</row>
    <row r="982" ht="16.5" customHeight="1">
      <c r="A982" s="243"/>
      <c r="B982" s="243"/>
      <c r="C982" s="243"/>
      <c r="D982" s="243"/>
      <c r="E982" s="243"/>
      <c r="F982" s="243"/>
      <c r="G982" s="243"/>
      <c r="H982" s="243"/>
      <c r="I982" s="243"/>
      <c r="J982" s="243"/>
      <c r="K982" s="243"/>
      <c r="L982" s="243"/>
      <c r="M982" s="243"/>
      <c r="N982" s="243"/>
      <c r="O982" s="243"/>
      <c r="P982" s="243"/>
      <c r="Q982" s="243"/>
      <c r="R982" s="243"/>
      <c r="S982" s="243"/>
      <c r="T982" s="243"/>
      <c r="U982" s="243"/>
      <c r="V982" s="243"/>
      <c r="W982" s="243"/>
      <c r="X982" s="243"/>
      <c r="Y982" s="243"/>
      <c r="Z982" s="243"/>
      <c r="AA982" s="243"/>
      <c r="AB982" s="243"/>
      <c r="AC982" s="243"/>
      <c r="AD982" s="243"/>
      <c r="AE982" s="243"/>
      <c r="AF982" s="243"/>
      <c r="AG982" s="243"/>
      <c r="AH982" s="243"/>
      <c r="AI982" s="243"/>
      <c r="AJ982" s="243"/>
      <c r="AK982" s="243"/>
      <c r="AL982" s="243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</row>
    <row r="983" ht="16.5" customHeight="1">
      <c r="A983" s="243"/>
      <c r="B983" s="243"/>
      <c r="C983" s="243"/>
      <c r="D983" s="243"/>
      <c r="E983" s="243"/>
      <c r="F983" s="243"/>
      <c r="G983" s="243"/>
      <c r="H983" s="243"/>
      <c r="I983" s="243"/>
      <c r="J983" s="243"/>
      <c r="K983" s="243"/>
      <c r="L983" s="243"/>
      <c r="M983" s="243"/>
      <c r="N983" s="243"/>
      <c r="O983" s="243"/>
      <c r="P983" s="243"/>
      <c r="Q983" s="243"/>
      <c r="R983" s="243"/>
      <c r="S983" s="243"/>
      <c r="T983" s="243"/>
      <c r="U983" s="243"/>
      <c r="V983" s="243"/>
      <c r="W983" s="243"/>
      <c r="X983" s="243"/>
      <c r="Y983" s="243"/>
      <c r="Z983" s="243"/>
      <c r="AA983" s="243"/>
      <c r="AB983" s="243"/>
      <c r="AC983" s="243"/>
      <c r="AD983" s="243"/>
      <c r="AE983" s="243"/>
      <c r="AF983" s="243"/>
      <c r="AG983" s="243"/>
      <c r="AH983" s="243"/>
      <c r="AI983" s="243"/>
      <c r="AJ983" s="243"/>
      <c r="AK983" s="243"/>
      <c r="AL983" s="243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</row>
    <row r="984" ht="16.5" customHeight="1">
      <c r="A984" s="243"/>
      <c r="B984" s="243"/>
      <c r="C984" s="243"/>
      <c r="D984" s="243"/>
      <c r="E984" s="243"/>
      <c r="F984" s="243"/>
      <c r="G984" s="243"/>
      <c r="H984" s="243"/>
      <c r="I984" s="243"/>
      <c r="J984" s="243"/>
      <c r="K984" s="243"/>
      <c r="L984" s="243"/>
      <c r="M984" s="243"/>
      <c r="N984" s="243"/>
      <c r="O984" s="243"/>
      <c r="P984" s="243"/>
      <c r="Q984" s="243"/>
      <c r="R984" s="243"/>
      <c r="S984" s="243"/>
      <c r="T984" s="243"/>
      <c r="U984" s="243"/>
      <c r="V984" s="243"/>
      <c r="W984" s="243"/>
      <c r="X984" s="243"/>
      <c r="Y984" s="243"/>
      <c r="Z984" s="243"/>
      <c r="AA984" s="243"/>
      <c r="AB984" s="243"/>
      <c r="AC984" s="243"/>
      <c r="AD984" s="243"/>
      <c r="AE984" s="243"/>
      <c r="AF984" s="243"/>
      <c r="AG984" s="243"/>
      <c r="AH984" s="243"/>
      <c r="AI984" s="243"/>
      <c r="AJ984" s="243"/>
      <c r="AK984" s="243"/>
      <c r="AL984" s="243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</row>
    <row r="985" ht="16.5" customHeight="1">
      <c r="A985" s="243"/>
      <c r="B985" s="243"/>
      <c r="C985" s="243"/>
      <c r="D985" s="243"/>
      <c r="E985" s="243"/>
      <c r="F985" s="243"/>
      <c r="G985" s="243"/>
      <c r="H985" s="243"/>
      <c r="I985" s="243"/>
      <c r="J985" s="243"/>
      <c r="K985" s="243"/>
      <c r="L985" s="243"/>
      <c r="M985" s="243"/>
      <c r="N985" s="243"/>
      <c r="O985" s="243"/>
      <c r="P985" s="243"/>
      <c r="Q985" s="243"/>
      <c r="R985" s="243"/>
      <c r="S985" s="243"/>
      <c r="T985" s="243"/>
      <c r="U985" s="243"/>
      <c r="V985" s="243"/>
      <c r="W985" s="243"/>
      <c r="X985" s="243"/>
      <c r="Y985" s="243"/>
      <c r="Z985" s="243"/>
      <c r="AA985" s="243"/>
      <c r="AB985" s="243"/>
      <c r="AC985" s="243"/>
      <c r="AD985" s="243"/>
      <c r="AE985" s="243"/>
      <c r="AF985" s="243"/>
      <c r="AG985" s="243"/>
      <c r="AH985" s="243"/>
      <c r="AI985" s="243"/>
      <c r="AJ985" s="243"/>
      <c r="AK985" s="243"/>
      <c r="AL985" s="243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</row>
    <row r="986" ht="16.5" customHeight="1">
      <c r="A986" s="243"/>
      <c r="B986" s="243"/>
      <c r="C986" s="243"/>
      <c r="D986" s="243"/>
      <c r="E986" s="243"/>
      <c r="F986" s="243"/>
      <c r="G986" s="243"/>
      <c r="H986" s="243"/>
      <c r="I986" s="243"/>
      <c r="J986" s="243"/>
      <c r="K986" s="243"/>
      <c r="L986" s="243"/>
      <c r="M986" s="243"/>
      <c r="N986" s="243"/>
      <c r="O986" s="243"/>
      <c r="P986" s="243"/>
      <c r="Q986" s="243"/>
      <c r="R986" s="243"/>
      <c r="S986" s="243"/>
      <c r="T986" s="243"/>
      <c r="U986" s="243"/>
      <c r="V986" s="243"/>
      <c r="W986" s="243"/>
      <c r="X986" s="243"/>
      <c r="Y986" s="243"/>
      <c r="Z986" s="243"/>
      <c r="AA986" s="243"/>
      <c r="AB986" s="243"/>
      <c r="AC986" s="243"/>
      <c r="AD986" s="243"/>
      <c r="AE986" s="243"/>
      <c r="AF986" s="243"/>
      <c r="AG986" s="243"/>
      <c r="AH986" s="243"/>
      <c r="AI986" s="243"/>
      <c r="AJ986" s="243"/>
      <c r="AK986" s="243"/>
      <c r="AL986" s="243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</row>
    <row r="987" ht="16.5" customHeight="1">
      <c r="A987" s="243"/>
      <c r="B987" s="243"/>
      <c r="C987" s="243"/>
      <c r="D987" s="243"/>
      <c r="E987" s="243"/>
      <c r="F987" s="243"/>
      <c r="G987" s="243"/>
      <c r="H987" s="243"/>
      <c r="I987" s="243"/>
      <c r="J987" s="243"/>
      <c r="K987" s="243"/>
      <c r="L987" s="243"/>
      <c r="M987" s="243"/>
      <c r="N987" s="243"/>
      <c r="O987" s="243"/>
      <c r="P987" s="243"/>
      <c r="Q987" s="243"/>
      <c r="R987" s="243"/>
      <c r="S987" s="243"/>
      <c r="T987" s="243"/>
      <c r="U987" s="243"/>
      <c r="V987" s="243"/>
      <c r="W987" s="243"/>
      <c r="X987" s="243"/>
      <c r="Y987" s="243"/>
      <c r="Z987" s="243"/>
      <c r="AA987" s="243"/>
      <c r="AB987" s="243"/>
      <c r="AC987" s="243"/>
      <c r="AD987" s="243"/>
      <c r="AE987" s="243"/>
      <c r="AF987" s="243"/>
      <c r="AG987" s="243"/>
      <c r="AH987" s="243"/>
      <c r="AI987" s="243"/>
      <c r="AJ987" s="243"/>
      <c r="AK987" s="243"/>
      <c r="AL987" s="243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</row>
    <row r="988" ht="16.5" customHeight="1">
      <c r="A988" s="243"/>
      <c r="B988" s="243"/>
      <c r="C988" s="243"/>
      <c r="D988" s="243"/>
      <c r="E988" s="243"/>
      <c r="F988" s="243"/>
      <c r="G988" s="243"/>
      <c r="H988" s="243"/>
      <c r="I988" s="243"/>
      <c r="J988" s="243"/>
      <c r="K988" s="243"/>
      <c r="L988" s="243"/>
      <c r="M988" s="243"/>
      <c r="N988" s="243"/>
      <c r="O988" s="243"/>
      <c r="P988" s="243"/>
      <c r="Q988" s="243"/>
      <c r="R988" s="243"/>
      <c r="S988" s="243"/>
      <c r="T988" s="243"/>
      <c r="U988" s="243"/>
      <c r="V988" s="243"/>
      <c r="W988" s="243"/>
      <c r="X988" s="243"/>
      <c r="Y988" s="243"/>
      <c r="Z988" s="243"/>
      <c r="AA988" s="243"/>
      <c r="AB988" s="243"/>
      <c r="AC988" s="243"/>
      <c r="AD988" s="243"/>
      <c r="AE988" s="243"/>
      <c r="AF988" s="243"/>
      <c r="AG988" s="243"/>
      <c r="AH988" s="243"/>
      <c r="AI988" s="243"/>
      <c r="AJ988" s="243"/>
      <c r="AK988" s="243"/>
      <c r="AL988" s="243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</row>
    <row r="989" ht="16.5" customHeight="1">
      <c r="A989" s="243"/>
      <c r="B989" s="243"/>
      <c r="C989" s="243"/>
      <c r="D989" s="243"/>
      <c r="E989" s="243"/>
      <c r="F989" s="243"/>
      <c r="G989" s="243"/>
      <c r="H989" s="243"/>
      <c r="I989" s="243"/>
      <c r="J989" s="243"/>
      <c r="K989" s="243"/>
      <c r="L989" s="243"/>
      <c r="M989" s="243"/>
      <c r="N989" s="243"/>
      <c r="O989" s="243"/>
      <c r="P989" s="243"/>
      <c r="Q989" s="243"/>
      <c r="R989" s="243"/>
      <c r="S989" s="243"/>
      <c r="T989" s="243"/>
      <c r="U989" s="243"/>
      <c r="V989" s="243"/>
      <c r="W989" s="243"/>
      <c r="X989" s="243"/>
      <c r="Y989" s="243"/>
      <c r="Z989" s="243"/>
      <c r="AA989" s="243"/>
      <c r="AB989" s="243"/>
      <c r="AC989" s="243"/>
      <c r="AD989" s="243"/>
      <c r="AE989" s="243"/>
      <c r="AF989" s="243"/>
      <c r="AG989" s="243"/>
      <c r="AH989" s="243"/>
      <c r="AI989" s="243"/>
      <c r="AJ989" s="243"/>
      <c r="AK989" s="243"/>
      <c r="AL989" s="243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</row>
    <row r="990" ht="16.5" customHeight="1">
      <c r="A990" s="243"/>
      <c r="B990" s="243"/>
      <c r="C990" s="243"/>
      <c r="D990" s="243"/>
      <c r="E990" s="243"/>
      <c r="F990" s="243"/>
      <c r="G990" s="243"/>
      <c r="H990" s="243"/>
      <c r="I990" s="243"/>
      <c r="J990" s="243"/>
      <c r="K990" s="243"/>
      <c r="L990" s="243"/>
      <c r="M990" s="243"/>
      <c r="N990" s="243"/>
      <c r="O990" s="243"/>
      <c r="P990" s="243"/>
      <c r="Q990" s="243"/>
      <c r="R990" s="243"/>
      <c r="S990" s="243"/>
      <c r="T990" s="243"/>
      <c r="U990" s="243"/>
      <c r="V990" s="243"/>
      <c r="W990" s="243"/>
      <c r="X990" s="243"/>
      <c r="Y990" s="243"/>
      <c r="Z990" s="243"/>
      <c r="AA990" s="243"/>
      <c r="AB990" s="243"/>
      <c r="AC990" s="243"/>
      <c r="AD990" s="243"/>
      <c r="AE990" s="243"/>
      <c r="AF990" s="243"/>
      <c r="AG990" s="243"/>
      <c r="AH990" s="243"/>
      <c r="AI990" s="243"/>
      <c r="AJ990" s="243"/>
      <c r="AK990" s="243"/>
      <c r="AL990" s="243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</row>
    <row r="991" ht="16.5" customHeight="1">
      <c r="A991" s="243"/>
      <c r="B991" s="243"/>
      <c r="C991" s="243"/>
      <c r="D991" s="243"/>
      <c r="E991" s="243"/>
      <c r="F991" s="243"/>
      <c r="G991" s="243"/>
      <c r="H991" s="243"/>
      <c r="I991" s="243"/>
      <c r="J991" s="243"/>
      <c r="K991" s="243"/>
      <c r="L991" s="243"/>
      <c r="M991" s="243"/>
      <c r="N991" s="243"/>
      <c r="O991" s="243"/>
      <c r="P991" s="243"/>
      <c r="Q991" s="243"/>
      <c r="R991" s="243"/>
      <c r="S991" s="243"/>
      <c r="T991" s="243"/>
      <c r="U991" s="243"/>
      <c r="V991" s="243"/>
      <c r="W991" s="243"/>
      <c r="X991" s="243"/>
      <c r="Y991" s="243"/>
      <c r="Z991" s="243"/>
      <c r="AA991" s="243"/>
      <c r="AB991" s="243"/>
      <c r="AC991" s="243"/>
      <c r="AD991" s="243"/>
      <c r="AE991" s="243"/>
      <c r="AF991" s="243"/>
      <c r="AG991" s="243"/>
      <c r="AH991" s="243"/>
      <c r="AI991" s="243"/>
      <c r="AJ991" s="243"/>
      <c r="AK991" s="243"/>
      <c r="AL991" s="243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</row>
    <row r="992" ht="16.5" customHeight="1">
      <c r="A992" s="243"/>
      <c r="B992" s="243"/>
      <c r="C992" s="243"/>
      <c r="D992" s="243"/>
      <c r="E992" s="243"/>
      <c r="F992" s="243"/>
      <c r="G992" s="243"/>
      <c r="H992" s="243"/>
      <c r="I992" s="243"/>
      <c r="J992" s="243"/>
      <c r="K992" s="243"/>
      <c r="L992" s="243"/>
      <c r="M992" s="243"/>
      <c r="N992" s="243"/>
      <c r="O992" s="243"/>
      <c r="P992" s="243"/>
      <c r="Q992" s="243"/>
      <c r="R992" s="243"/>
      <c r="S992" s="243"/>
      <c r="T992" s="243"/>
      <c r="U992" s="243"/>
      <c r="V992" s="243"/>
      <c r="W992" s="243"/>
      <c r="X992" s="243"/>
      <c r="Y992" s="243"/>
      <c r="Z992" s="243"/>
      <c r="AA992" s="243"/>
      <c r="AB992" s="243"/>
      <c r="AC992" s="243"/>
      <c r="AD992" s="243"/>
      <c r="AE992" s="243"/>
      <c r="AF992" s="243"/>
      <c r="AG992" s="243"/>
      <c r="AH992" s="243"/>
      <c r="AI992" s="243"/>
      <c r="AJ992" s="243"/>
      <c r="AK992" s="243"/>
      <c r="AL992" s="243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</row>
    <row r="993" ht="16.5" customHeight="1">
      <c r="A993" s="243"/>
      <c r="B993" s="243"/>
      <c r="C993" s="243"/>
      <c r="D993" s="243"/>
      <c r="E993" s="243"/>
      <c r="F993" s="243"/>
      <c r="G993" s="243"/>
      <c r="H993" s="243"/>
      <c r="I993" s="243"/>
      <c r="J993" s="243"/>
      <c r="K993" s="243"/>
      <c r="L993" s="243"/>
      <c r="M993" s="243"/>
      <c r="N993" s="243"/>
      <c r="O993" s="243"/>
      <c r="P993" s="243"/>
      <c r="Q993" s="243"/>
      <c r="R993" s="243"/>
      <c r="S993" s="243"/>
      <c r="T993" s="243"/>
      <c r="U993" s="243"/>
      <c r="V993" s="243"/>
      <c r="W993" s="243"/>
      <c r="X993" s="243"/>
      <c r="Y993" s="243"/>
      <c r="Z993" s="243"/>
      <c r="AA993" s="243"/>
      <c r="AB993" s="243"/>
      <c r="AC993" s="243"/>
      <c r="AD993" s="243"/>
      <c r="AE993" s="243"/>
      <c r="AF993" s="243"/>
      <c r="AG993" s="243"/>
      <c r="AH993" s="243"/>
      <c r="AI993" s="243"/>
      <c r="AJ993" s="243"/>
      <c r="AK993" s="243"/>
      <c r="AL993" s="243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</row>
    <row r="994" ht="16.5" customHeight="1">
      <c r="A994" s="243"/>
      <c r="B994" s="243"/>
      <c r="C994" s="243"/>
      <c r="D994" s="243"/>
      <c r="E994" s="243"/>
      <c r="F994" s="243"/>
      <c r="G994" s="243"/>
      <c r="H994" s="243"/>
      <c r="I994" s="243"/>
      <c r="J994" s="243"/>
      <c r="K994" s="243"/>
      <c r="L994" s="243"/>
      <c r="M994" s="243"/>
      <c r="N994" s="243"/>
      <c r="O994" s="243"/>
      <c r="P994" s="243"/>
      <c r="Q994" s="243"/>
      <c r="R994" s="243"/>
      <c r="S994" s="243"/>
      <c r="T994" s="243"/>
      <c r="U994" s="243"/>
      <c r="V994" s="243"/>
      <c r="W994" s="243"/>
      <c r="X994" s="243"/>
      <c r="Y994" s="243"/>
      <c r="Z994" s="243"/>
      <c r="AA994" s="243"/>
      <c r="AB994" s="243"/>
      <c r="AC994" s="243"/>
      <c r="AD994" s="243"/>
      <c r="AE994" s="243"/>
      <c r="AF994" s="243"/>
      <c r="AG994" s="243"/>
      <c r="AH994" s="243"/>
      <c r="AI994" s="243"/>
      <c r="AJ994" s="243"/>
      <c r="AK994" s="243"/>
      <c r="AL994" s="243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</row>
    <row r="995" ht="16.5" customHeight="1">
      <c r="A995" s="243"/>
      <c r="B995" s="243"/>
      <c r="C995" s="243"/>
      <c r="D995" s="243"/>
      <c r="E995" s="243"/>
      <c r="F995" s="243"/>
      <c r="G995" s="243"/>
      <c r="H995" s="243"/>
      <c r="I995" s="243"/>
      <c r="J995" s="243"/>
      <c r="K995" s="243"/>
      <c r="L995" s="243"/>
      <c r="M995" s="243"/>
      <c r="N995" s="243"/>
      <c r="O995" s="243"/>
      <c r="P995" s="243"/>
      <c r="Q995" s="243"/>
      <c r="R995" s="243"/>
      <c r="S995" s="243"/>
      <c r="T995" s="243"/>
      <c r="U995" s="243"/>
      <c r="V995" s="243"/>
      <c r="W995" s="243"/>
      <c r="X995" s="243"/>
      <c r="Y995" s="243"/>
      <c r="Z995" s="243"/>
      <c r="AA995" s="243"/>
      <c r="AB995" s="243"/>
      <c r="AC995" s="243"/>
      <c r="AD995" s="243"/>
      <c r="AE995" s="243"/>
      <c r="AF995" s="243"/>
      <c r="AG995" s="243"/>
      <c r="AH995" s="243"/>
      <c r="AI995" s="243"/>
      <c r="AJ995" s="243"/>
      <c r="AK995" s="243"/>
      <c r="AL995" s="243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</row>
    <row r="996" ht="16.5" customHeight="1">
      <c r="A996" s="243"/>
      <c r="B996" s="243"/>
      <c r="C996" s="243"/>
      <c r="D996" s="243"/>
      <c r="E996" s="243"/>
      <c r="F996" s="243"/>
      <c r="G996" s="243"/>
      <c r="H996" s="243"/>
      <c r="I996" s="243"/>
      <c r="J996" s="243"/>
      <c r="K996" s="243"/>
      <c r="L996" s="243"/>
      <c r="M996" s="243"/>
      <c r="N996" s="243"/>
      <c r="O996" s="243"/>
      <c r="P996" s="243"/>
      <c r="Q996" s="243"/>
      <c r="R996" s="243"/>
      <c r="S996" s="243"/>
      <c r="T996" s="243"/>
      <c r="U996" s="243"/>
      <c r="V996" s="243"/>
      <c r="W996" s="243"/>
      <c r="X996" s="243"/>
      <c r="Y996" s="243"/>
      <c r="Z996" s="243"/>
      <c r="AA996" s="243"/>
      <c r="AB996" s="243"/>
      <c r="AC996" s="243"/>
      <c r="AD996" s="243"/>
      <c r="AE996" s="243"/>
      <c r="AF996" s="243"/>
      <c r="AG996" s="243"/>
      <c r="AH996" s="243"/>
      <c r="AI996" s="243"/>
      <c r="AJ996" s="243"/>
      <c r="AK996" s="243"/>
      <c r="AL996" s="243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</row>
    <row r="997" ht="16.5" customHeight="1">
      <c r="A997" s="243"/>
      <c r="B997" s="243"/>
      <c r="C997" s="243"/>
      <c r="D997" s="243"/>
      <c r="E997" s="243"/>
      <c r="F997" s="243"/>
      <c r="G997" s="243"/>
      <c r="H997" s="243"/>
      <c r="I997" s="243"/>
      <c r="J997" s="243"/>
      <c r="K997" s="243"/>
      <c r="L997" s="243"/>
      <c r="M997" s="243"/>
      <c r="N997" s="243"/>
      <c r="O997" s="243"/>
      <c r="P997" s="243"/>
      <c r="Q997" s="243"/>
      <c r="R997" s="243"/>
      <c r="S997" s="243"/>
      <c r="T997" s="243"/>
      <c r="U997" s="243"/>
      <c r="V997" s="243"/>
      <c r="W997" s="243"/>
      <c r="X997" s="243"/>
      <c r="Y997" s="243"/>
      <c r="Z997" s="243"/>
      <c r="AA997" s="243"/>
      <c r="AB997" s="243"/>
      <c r="AC997" s="243"/>
      <c r="AD997" s="243"/>
      <c r="AE997" s="243"/>
      <c r="AF997" s="243"/>
      <c r="AG997" s="243"/>
      <c r="AH997" s="243"/>
      <c r="AI997" s="243"/>
      <c r="AJ997" s="243"/>
      <c r="AK997" s="243"/>
      <c r="AL997" s="243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</row>
    <row r="998" ht="16.5" customHeight="1">
      <c r="A998" s="243"/>
      <c r="B998" s="243"/>
      <c r="C998" s="243"/>
      <c r="D998" s="243"/>
      <c r="E998" s="243"/>
      <c r="F998" s="243"/>
      <c r="G998" s="243"/>
      <c r="H998" s="243"/>
      <c r="I998" s="243"/>
      <c r="J998" s="243"/>
      <c r="K998" s="243"/>
      <c r="L998" s="243"/>
      <c r="M998" s="243"/>
      <c r="N998" s="243"/>
      <c r="O998" s="243"/>
      <c r="P998" s="243"/>
      <c r="Q998" s="243"/>
      <c r="R998" s="243"/>
      <c r="S998" s="243"/>
      <c r="T998" s="243"/>
      <c r="U998" s="243"/>
      <c r="V998" s="243"/>
      <c r="W998" s="243"/>
      <c r="X998" s="243"/>
      <c r="Y998" s="243"/>
      <c r="Z998" s="243"/>
      <c r="AA998" s="243"/>
      <c r="AB998" s="243"/>
      <c r="AC998" s="243"/>
      <c r="AD998" s="243"/>
      <c r="AE998" s="243"/>
      <c r="AF998" s="243"/>
      <c r="AG998" s="243"/>
      <c r="AH998" s="243"/>
      <c r="AI998" s="243"/>
      <c r="AJ998" s="243"/>
      <c r="AK998" s="243"/>
      <c r="AL998" s="243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</row>
    <row r="999" ht="16.5" customHeight="1">
      <c r="A999" s="243"/>
      <c r="B999" s="243"/>
      <c r="C999" s="243"/>
      <c r="D999" s="243"/>
      <c r="E999" s="243"/>
      <c r="F999" s="243"/>
      <c r="G999" s="243"/>
      <c r="H999" s="243"/>
      <c r="I999" s="243"/>
      <c r="J999" s="243"/>
      <c r="K999" s="243"/>
      <c r="L999" s="243"/>
      <c r="M999" s="243"/>
      <c r="N999" s="243"/>
      <c r="O999" s="243"/>
      <c r="P999" s="243"/>
      <c r="Q999" s="243"/>
      <c r="R999" s="243"/>
      <c r="S999" s="243"/>
      <c r="T999" s="243"/>
      <c r="U999" s="243"/>
      <c r="V999" s="243"/>
      <c r="W999" s="243"/>
      <c r="X999" s="243"/>
      <c r="Y999" s="243"/>
      <c r="Z999" s="243"/>
      <c r="AA999" s="243"/>
      <c r="AB999" s="243"/>
      <c r="AC999" s="243"/>
      <c r="AD999" s="243"/>
      <c r="AE999" s="243"/>
      <c r="AF999" s="243"/>
      <c r="AG999" s="243"/>
      <c r="AH999" s="243"/>
      <c r="AI999" s="243"/>
      <c r="AJ999" s="243"/>
      <c r="AK999" s="243"/>
      <c r="AL999" s="243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</row>
    <row r="1000" ht="16.5" customHeight="1">
      <c r="A1000" s="243"/>
      <c r="B1000" s="243"/>
      <c r="C1000" s="243"/>
      <c r="D1000" s="243"/>
      <c r="E1000" s="243"/>
      <c r="F1000" s="243"/>
      <c r="G1000" s="243"/>
      <c r="H1000" s="243"/>
      <c r="I1000" s="243"/>
      <c r="J1000" s="243"/>
      <c r="K1000" s="243"/>
      <c r="L1000" s="243"/>
      <c r="M1000" s="243"/>
      <c r="N1000" s="243"/>
      <c r="O1000" s="243"/>
      <c r="P1000" s="243"/>
      <c r="Q1000" s="243"/>
      <c r="R1000" s="243"/>
      <c r="S1000" s="243"/>
      <c r="T1000" s="243"/>
      <c r="U1000" s="243"/>
      <c r="V1000" s="243"/>
      <c r="W1000" s="243"/>
      <c r="X1000" s="243"/>
      <c r="Y1000" s="243"/>
      <c r="Z1000" s="243"/>
      <c r="AA1000" s="243"/>
      <c r="AB1000" s="243"/>
      <c r="AC1000" s="243"/>
      <c r="AD1000" s="243"/>
      <c r="AE1000" s="243"/>
      <c r="AF1000" s="243"/>
      <c r="AG1000" s="243"/>
      <c r="AH1000" s="243"/>
      <c r="AI1000" s="243"/>
      <c r="AJ1000" s="243"/>
      <c r="AK1000" s="243"/>
      <c r="AL1000" s="243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</row>
    <row r="1001" ht="16.5" customHeight="1">
      <c r="A1001" s="243"/>
      <c r="B1001" s="243"/>
      <c r="C1001" s="243"/>
      <c r="D1001" s="243"/>
      <c r="E1001" s="243"/>
      <c r="F1001" s="243"/>
      <c r="G1001" s="243"/>
      <c r="H1001" s="243"/>
      <c r="I1001" s="243"/>
      <c r="J1001" s="243"/>
      <c r="K1001" s="243"/>
      <c r="L1001" s="243"/>
      <c r="M1001" s="243"/>
      <c r="N1001" s="243"/>
      <c r="O1001" s="243"/>
      <c r="P1001" s="243"/>
      <c r="Q1001" s="243"/>
      <c r="R1001" s="243"/>
      <c r="S1001" s="243"/>
      <c r="T1001" s="243"/>
      <c r="U1001" s="243"/>
      <c r="V1001" s="243"/>
      <c r="W1001" s="243"/>
      <c r="X1001" s="243"/>
      <c r="Y1001" s="243"/>
      <c r="Z1001" s="243"/>
      <c r="AA1001" s="243"/>
      <c r="AB1001" s="243"/>
      <c r="AC1001" s="243"/>
      <c r="AD1001" s="243"/>
      <c r="AE1001" s="243"/>
      <c r="AF1001" s="243"/>
      <c r="AG1001" s="243"/>
      <c r="AH1001" s="243"/>
      <c r="AI1001" s="243"/>
      <c r="AJ1001" s="243"/>
      <c r="AK1001" s="243"/>
      <c r="AL1001" s="243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</row>
    <row r="1002" ht="16.5" customHeight="1">
      <c r="A1002" s="243"/>
      <c r="B1002" s="243"/>
      <c r="C1002" s="243"/>
      <c r="D1002" s="243"/>
      <c r="E1002" s="243"/>
      <c r="F1002" s="243"/>
      <c r="G1002" s="243"/>
      <c r="H1002" s="243"/>
      <c r="I1002" s="243"/>
      <c r="J1002" s="243"/>
      <c r="K1002" s="243"/>
      <c r="L1002" s="243"/>
      <c r="M1002" s="243"/>
      <c r="N1002" s="243"/>
      <c r="O1002" s="243"/>
      <c r="P1002" s="243"/>
      <c r="Q1002" s="243"/>
      <c r="R1002" s="243"/>
      <c r="S1002" s="243"/>
      <c r="T1002" s="243"/>
      <c r="U1002" s="243"/>
      <c r="V1002" s="243"/>
      <c r="W1002" s="243"/>
      <c r="X1002" s="243"/>
      <c r="Y1002" s="243"/>
      <c r="Z1002" s="243"/>
      <c r="AA1002" s="243"/>
      <c r="AB1002" s="243"/>
      <c r="AC1002" s="243"/>
      <c r="AD1002" s="243"/>
      <c r="AE1002" s="243"/>
      <c r="AF1002" s="243"/>
      <c r="AG1002" s="243"/>
      <c r="AH1002" s="243"/>
      <c r="AI1002" s="243"/>
      <c r="AJ1002" s="243"/>
      <c r="AK1002" s="243"/>
      <c r="AL1002" s="243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</row>
    <row r="1003" ht="16.5" customHeight="1">
      <c r="A1003" s="243"/>
      <c r="B1003" s="243"/>
      <c r="C1003" s="243"/>
      <c r="D1003" s="243"/>
      <c r="E1003" s="243"/>
      <c r="F1003" s="243"/>
      <c r="G1003" s="243"/>
      <c r="H1003" s="243"/>
      <c r="I1003" s="243"/>
      <c r="J1003" s="243"/>
      <c r="K1003" s="243"/>
      <c r="L1003" s="243"/>
      <c r="M1003" s="243"/>
      <c r="N1003" s="243"/>
      <c r="O1003" s="243"/>
      <c r="P1003" s="243"/>
      <c r="Q1003" s="243"/>
      <c r="R1003" s="243"/>
      <c r="S1003" s="243"/>
      <c r="T1003" s="243"/>
      <c r="U1003" s="243"/>
      <c r="V1003" s="243"/>
      <c r="W1003" s="243"/>
      <c r="X1003" s="243"/>
      <c r="Y1003" s="243"/>
      <c r="Z1003" s="243"/>
      <c r="AA1003" s="243"/>
      <c r="AB1003" s="243"/>
      <c r="AC1003" s="243"/>
      <c r="AD1003" s="243"/>
      <c r="AE1003" s="243"/>
      <c r="AF1003" s="243"/>
      <c r="AG1003" s="243"/>
      <c r="AH1003" s="243"/>
      <c r="AI1003" s="243"/>
      <c r="AJ1003" s="243"/>
      <c r="AK1003" s="243"/>
      <c r="AL1003" s="243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</row>
  </sheetData>
  <printOptions/>
  <pageMargins bottom="0.75" footer="0.0" header="0.0" left="0.7" right="0.7" top="0.75"/>
  <pageSetup orientation="landscape"/>
  <drawing r:id="rId1"/>
</worksheet>
</file>