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hidden" name="SkillTreeInfo2.10" sheetId="1" r:id="rId3"/>
    <sheet state="visible" name="2.10.3 SP Bonus Optimizer" sheetId="2" r:id="rId4"/>
    <sheet state="visible" name="EDITING Artifact Optimizer" sheetId="3" r:id="rId5"/>
    <sheet state="visible" name="MyBuilds" sheetId="4" r:id="rId6"/>
    <sheet state="hidden" name="2.9 Artifact Optimizer" sheetId="5" r:id="rId7"/>
    <sheet state="visible" name="EquipCompare" sheetId="6" r:id="rId8"/>
    <sheet state="visible" name="UpdateLog1023" sheetId="7" r:id="rId9"/>
    <sheet state="hidden" name="2.9.5Changes" sheetId="8" r:id="rId10"/>
    <sheet state="hidden" name="LS tool" sheetId="9" r:id="rId11"/>
  </sheets>
  <definedNames/>
  <calcPr/>
</workbook>
</file>

<file path=xl/comments1.xml><?xml version="1.0" encoding="utf-8"?>
<comments xmlns:r="http://schemas.openxmlformats.org/officeDocument/2006/relationships" xmlns="http://schemas.openxmlformats.org/spreadsheetml/2006/main">
  <authors>
    <author/>
  </authors>
  <commentList>
    <comment authorId="0" ref="P3">
      <text>
        <t xml:space="preserve">Quick Time Event
</t>
      </text>
    </comment>
    <comment authorId="0" ref="M4">
      <text>
        <t xml:space="preserve">If you own The Master's Sword artifact you will get decreases efficiency for early ranks of Chivalric Order</t>
      </text>
    </comment>
  </commentList>
</comments>
</file>

<file path=xl/sharedStrings.xml><?xml version="1.0" encoding="utf-8"?>
<sst xmlns="http://schemas.openxmlformats.org/spreadsheetml/2006/main" count="3725" uniqueCount="1265">
  <si>
    <t>TalentID</t>
  </si>
  <si>
    <t>Branch</t>
  </si>
  <si>
    <t>Slot</t>
  </si>
  <si>
    <t>SPReq</t>
  </si>
  <si>
    <t>TalentReq</t>
  </si>
  <si>
    <t>Tier</t>
  </si>
  <si>
    <t>Name</t>
  </si>
  <si>
    <t>Note</t>
  </si>
  <si>
    <t>MaxLevel</t>
  </si>
  <si>
    <t>S0</t>
  </si>
  <si>
    <t>S1</t>
  </si>
  <si>
    <t>S2</t>
  </si>
  <si>
    <t>S3</t>
  </si>
  <si>
    <t>S4</t>
  </si>
  <si>
    <t>S5</t>
  </si>
  <si>
    <t>S6</t>
  </si>
  <si>
    <t>S7</t>
  </si>
  <si>
    <t>S8</t>
  </si>
  <si>
    <t>S9</t>
  </si>
  <si>
    <t>S10</t>
  </si>
  <si>
    <t>S11</t>
  </si>
  <si>
    <t>S12</t>
  </si>
  <si>
    <t>S13</t>
  </si>
  <si>
    <t>S14</t>
  </si>
  <si>
    <t>S15</t>
  </si>
  <si>
    <t>S16</t>
  </si>
  <si>
    <t>S17</t>
  </si>
  <si>
    <t>S18</t>
  </si>
  <si>
    <t>S19</t>
  </si>
  <si>
    <t>S20</t>
  </si>
  <si>
    <t>S21</t>
  </si>
  <si>
    <t>S22</t>
  </si>
  <si>
    <t>S23</t>
  </si>
  <si>
    <t>S24</t>
  </si>
  <si>
    <t>S25</t>
  </si>
  <si>
    <t>C0</t>
  </si>
  <si>
    <t>C1</t>
  </si>
  <si>
    <t>C2</t>
  </si>
  <si>
    <t>C3</t>
  </si>
  <si>
    <t>C4</t>
  </si>
  <si>
    <t>C5</t>
  </si>
  <si>
    <t>C6</t>
  </si>
  <si>
    <t>C7</t>
  </si>
  <si>
    <t>C8</t>
  </si>
  <si>
    <t>C9</t>
  </si>
  <si>
    <t>C10</t>
  </si>
  <si>
    <t>C11</t>
  </si>
  <si>
    <t>C12</t>
  </si>
  <si>
    <t>C13</t>
  </si>
  <si>
    <t>C14</t>
  </si>
  <si>
    <t>C15</t>
  </si>
  <si>
    <t>C16</t>
  </si>
  <si>
    <t>C17</t>
  </si>
  <si>
    <t>C18</t>
  </si>
  <si>
    <t>C19</t>
  </si>
  <si>
    <t>C20</t>
  </si>
  <si>
    <t>C21</t>
  </si>
  <si>
    <t>C22</t>
  </si>
  <si>
    <t>C23</t>
  </si>
  <si>
    <t>C24</t>
  </si>
  <si>
    <t>C25</t>
  </si>
  <si>
    <t>BonusTypeA</t>
  </si>
  <si>
    <t>A0</t>
  </si>
  <si>
    <t>A1</t>
  </si>
  <si>
    <t>A2</t>
  </si>
  <si>
    <t>A3</t>
  </si>
  <si>
    <t>A4</t>
  </si>
  <si>
    <t>A5</t>
  </si>
  <si>
    <t>A6</t>
  </si>
  <si>
    <t>A7</t>
  </si>
  <si>
    <t>A8</t>
  </si>
  <si>
    <t>A9</t>
  </si>
  <si>
    <t>A10</t>
  </si>
  <si>
    <t>A11</t>
  </si>
  <si>
    <t>A12</t>
  </si>
  <si>
    <t>A13</t>
  </si>
  <si>
    <t>A14</t>
  </si>
  <si>
    <t>A15</t>
  </si>
  <si>
    <t>A16</t>
  </si>
  <si>
    <t>A17</t>
  </si>
  <si>
    <t>A18</t>
  </si>
  <si>
    <t>A19</t>
  </si>
  <si>
    <t>A20</t>
  </si>
  <si>
    <t>A21</t>
  </si>
  <si>
    <t>A22</t>
  </si>
  <si>
    <t>A23</t>
  </si>
  <si>
    <t>A24</t>
  </si>
  <si>
    <t>A25</t>
  </si>
  <si>
    <t>BonusTypeB</t>
  </si>
  <si>
    <t>B0</t>
  </si>
  <si>
    <t>B1</t>
  </si>
  <si>
    <t>B2</t>
  </si>
  <si>
    <t>B3</t>
  </si>
  <si>
    <t>B4</t>
  </si>
  <si>
    <t>B5</t>
  </si>
  <si>
    <t>B6</t>
  </si>
  <si>
    <t>B7</t>
  </si>
  <si>
    <t>B8</t>
  </si>
  <si>
    <t>B9</t>
  </si>
  <si>
    <t>B10</t>
  </si>
  <si>
    <t>B11</t>
  </si>
  <si>
    <t>B12</t>
  </si>
  <si>
    <t>B13</t>
  </si>
  <si>
    <t>B14</t>
  </si>
  <si>
    <t>B15</t>
  </si>
  <si>
    <t>B16</t>
  </si>
  <si>
    <t>B17</t>
  </si>
  <si>
    <t>B18</t>
  </si>
  <si>
    <t>B19</t>
  </si>
  <si>
    <t>B20</t>
  </si>
  <si>
    <t>B21</t>
  </si>
  <si>
    <t>B22</t>
  </si>
  <si>
    <t>B23</t>
  </si>
  <si>
    <t>B24</t>
  </si>
  <si>
    <t>B25</t>
  </si>
  <si>
    <t>BonusTypeC</t>
  </si>
  <si>
    <t>BonusAmountC</t>
  </si>
  <si>
    <t>TapDmg</t>
  </si>
  <si>
    <t>BranchRed</t>
  </si>
  <si>
    <t>None</t>
  </si>
  <si>
    <t>I</t>
  </si>
  <si>
    <t>Knight's Valor</t>
  </si>
  <si>
    <t>Increased tap damage</t>
  </si>
  <si>
    <t>-</t>
  </si>
  <si>
    <t>TapDamage</t>
  </si>
  <si>
    <t>%</t>
  </si>
  <si>
    <t>TapDmgFromHelpers</t>
  </si>
  <si>
    <t>II</t>
  </si>
  <si>
    <t>Chivalric Order</t>
  </si>
  <si>
    <t>Increased tap damage from heroes</t>
  </si>
  <si>
    <t>TapDamageFromHelpers</t>
  </si>
  <si>
    <r>
      <rPr>
        <color rgb="FFFF0000"/>
        <sz val="18.0"/>
      </rPr>
      <t>#1.</t>
    </r>
    <r>
      <t xml:space="preserve"> Which skills </t>
    </r>
    <r>
      <rPr>
        <color rgb="FFFF0000"/>
      </rPr>
      <t>MUST</t>
    </r>
    <r>
      <t xml:space="preserve"> you use to get to your Max Stage with your desired build? </t>
    </r>
    <r>
      <rPr>
        <color rgb="FFFF0000"/>
      </rPr>
      <t>Check</t>
    </r>
    <r>
      <t xml:space="preserve"> all that apply</t>
    </r>
  </si>
  <si>
    <t>PetDmg</t>
  </si>
  <si>
    <t>Pet Evolution</t>
  </si>
  <si>
    <t>Increased pet damage</t>
  </si>
  <si>
    <t>PetDamage</t>
  </si>
  <si>
    <t>PetTapCountToAttack</t>
  </si>
  <si>
    <t>PetGoldQTE</t>
  </si>
  <si>
    <t>Heart of Midas</t>
  </si>
  <si>
    <t>Give multiple of monster gold drop QTE</t>
  </si>
  <si>
    <t>GoldBoss</t>
  </si>
  <si>
    <t>PetGoldQTECooldown</t>
  </si>
  <si>
    <t>Heavenly Strike</t>
  </si>
  <si>
    <t>HeavyStrikes</t>
  </si>
  <si>
    <t>III</t>
  </si>
  <si>
    <t>Cleaving Strike</t>
  </si>
  <si>
    <t>Increased max critical damage</t>
  </si>
  <si>
    <t>CritMaxDamage</t>
  </si>
  <si>
    <t>✔</t>
  </si>
  <si>
    <t>CritChance</t>
  </si>
  <si>
    <r>
      <t xml:space="preserve">ARTIFACT OPTIMIZER V2.10 </t>
    </r>
    <r>
      <rPr>
        <rFont val="Calibri"/>
        <color rgb="FFFFFFFF"/>
        <sz val="8.0"/>
      </rPr>
      <t>Last Updated:9/09/18</t>
    </r>
  </si>
  <si>
    <t>FireTapSkillBoost</t>
  </si>
  <si>
    <r>
      <rPr>
        <color rgb="FFFF0000"/>
        <sz val="24.0"/>
      </rPr>
      <t>#2.</t>
    </r>
    <r>
      <rPr>
        <sz val="18.0"/>
      </rPr>
      <t xml:space="preserve"> </t>
    </r>
    <r>
      <rPr>
        <sz val="12.0"/>
      </rPr>
      <t xml:space="preserve">Build Damage Choice? </t>
    </r>
    <r>
      <t xml:space="preserve">
</t>
    </r>
    <r>
      <rPr>
        <sz val="12.0"/>
      </rPr>
      <t>(</t>
    </r>
    <r>
      <rPr>
        <color rgb="FFFF0000"/>
        <sz val="14.0"/>
      </rPr>
      <t>choose ----&gt;</t>
    </r>
    <r>
      <rPr>
        <sz val="12.0"/>
      </rPr>
      <t>)</t>
    </r>
  </si>
  <si>
    <t>Summon Inferno</t>
  </si>
  <si>
    <t>Increased Fire Sword damage</t>
  </si>
  <si>
    <t>TapBoostSkillAmount</t>
  </si>
  <si>
    <t>TapBoostSkillDuration</t>
  </si>
  <si>
    <t>PetQTE</t>
  </si>
  <si>
    <t>Lightning Burst</t>
  </si>
  <si>
    <t>Increased pet QTE damage / Pet splash count</t>
  </si>
  <si>
    <t>SC Damage</t>
  </si>
  <si>
    <t>PetAttackQTEDamage</t>
  </si>
  <si>
    <t>PetAttackQTESplashCount</t>
  </si>
  <si>
    <t>Frenzy</t>
  </si>
  <si>
    <t>Crit%</t>
  </si>
  <si>
    <t>IV</t>
  </si>
  <si>
    <t>Barbaric Fury</t>
  </si>
  <si>
    <t>Bonus tap attacks per second / increased tap damage</t>
  </si>
  <si>
    <t>ActiveTapDamage</t>
  </si>
  <si>
    <t>FrenzyCount</t>
  </si>
  <si>
    <t>&lt;reset artifacts in the left column only</t>
  </si>
  <si>
    <t>BossDmgQTE</t>
  </si>
  <si>
    <t>Flash Zip</t>
  </si>
  <si>
    <t>Pet Boss damage QTE</t>
  </si>
  <si>
    <t>PetBossQTEDamage</t>
  </si>
  <si>
    <t>PetQTECooldownMult</t>
  </si>
  <si>
    <t>Ignore If No PreReq</t>
  </si>
  <si>
    <t>PetBossQTEDuration</t>
  </si>
  <si>
    <t>AllHelperDmg</t>
  </si>
  <si>
    <t>BranchYellow</t>
  </si>
  <si>
    <t>Master Commander</t>
  </si>
  <si>
    <t>Increased damge to all hero types</t>
  </si>
  <si>
    <t>Off</t>
  </si>
  <si>
    <t>AllHelperDamage</t>
  </si>
  <si>
    <t>ChestGold</t>
  </si>
  <si>
    <t>Spoils of War</t>
  </si>
  <si>
    <t>Boost to chesterson gold / chesterton chance</t>
  </si>
  <si>
    <t>ChestAmount</t>
  </si>
  <si>
    <t>ChestChance</t>
  </si>
  <si>
    <t>HelperDmgSkillBoost</t>
  </si>
  <si>
    <t>Heroic Might</t>
  </si>
  <si>
    <t>War Cry damage / Inspired Hero count</t>
  </si>
  <si>
    <t>InspiredHelperDamage</t>
  </si>
  <si>
    <t>InspiredHelperCount</t>
  </si>
  <si>
    <t>in e15</t>
  </si>
  <si>
    <t>Last Updated:9/10/18</t>
  </si>
  <si>
    <t>ClanShipDmg</t>
  </si>
  <si>
    <t>Aerial Assault</t>
  </si>
  <si>
    <t>Increased clan ship damage / max splash count</t>
  </si>
  <si>
    <t>ClanShipDamage</t>
  </si>
  <si>
    <t>ClanShipSplashCount</t>
  </si>
  <si>
    <t>HelperBoost</t>
  </si>
  <si>
    <t>Tactical Insight</t>
  </si>
  <si>
    <t>Unlockable skill boost for heroes</t>
  </si>
  <si>
    <t>Deadly Strike</t>
  </si>
  <si>
    <t>HelperMultiplicativeSkillBoost</t>
  </si>
  <si>
    <t>HelperAdditiveSkillBoost</t>
  </si>
  <si>
    <t>HelperInspiredWeaken</t>
  </si>
  <si>
    <t>Searing Light</t>
  </si>
  <si>
    <t>Inspired heroes weaken Titans during War Cry</t>
  </si>
  <si>
    <r>
      <t xml:space="preserve">Artifacts </t>
    </r>
    <r>
      <rPr>
        <sz val="9.0"/>
      </rPr>
      <t>(%Lifetime)</t>
    </r>
  </si>
  <si>
    <t>InspiredHelperWeaken</t>
  </si>
  <si>
    <t>Chesterson%</t>
  </si>
  <si>
    <t>HelperBoostSkillDuration</t>
  </si>
  <si>
    <t>ClanQTE</t>
  </si>
  <si>
    <t>Coordinated Offensive</t>
  </si>
  <si>
    <t>Summon clan member Clan Ship QTE</t>
  </si>
  <si>
    <t>ActiveAllHelperDamage</t>
  </si>
  <si>
    <t>ClanQTECooldown</t>
  </si>
  <si>
    <t>HelperDmgQTE</t>
  </si>
  <si>
    <t>Astral Awakening</t>
  </si>
  <si>
    <t>Increased Hero QTE damage per bounce</t>
  </si>
  <si>
    <t>HelperQTEDamage</t>
  </si>
  <si>
    <t>On/Off?</t>
  </si>
  <si>
    <t>HelperQTECount</t>
  </si>
  <si>
    <t>ClanShipStun</t>
  </si>
  <si>
    <t>Anchoring Shot</t>
  </si>
  <si>
    <t>Stun Titan for increased damage</t>
  </si>
  <si>
    <t>&lt;Set unowned artifacts to 0, don't have to ignore</t>
  </si>
  <si>
    <t>ClanShipStunDamage</t>
  </si>
  <si>
    <t>ClanShipStunDuration</t>
  </si>
  <si>
    <t>MPCapacityBoost</t>
  </si>
  <si>
    <t>BranchBlue</t>
  </si>
  <si>
    <t>Limit Break</t>
  </si>
  <si>
    <t>Increased mana capacity and regen</t>
  </si>
  <si>
    <t>Insufficient SP Ignored</t>
  </si>
  <si>
    <t>ManaPoolCap</t>
  </si>
  <si>
    <t>ManaRegen</t>
  </si>
  <si>
    <t>TIPS OFF</t>
  </si>
  <si>
    <t>MidasSkillBoost</t>
  </si>
  <si>
    <t>Midas Ultimate</t>
  </si>
  <si>
    <t>HoM multiplier + fairy gold mult</t>
  </si>
  <si>
    <t>HandOfMidasSkillAmount</t>
  </si>
  <si>
    <t>FairyGold</t>
  </si>
  <si>
    <t>BurstSkillBoost</t>
  </si>
  <si>
    <t>Angelic Radiance</t>
  </si>
  <si>
    <t>Increased damage + splash through bosses</t>
  </si>
  <si>
    <t>BurstDamageSkillAmount</t>
  </si>
  <si>
    <t>BurstSkillSplashSkipCount</t>
  </si>
  <si>
    <t>MAXLVL</t>
  </si>
  <si>
    <t>ARTILVL</t>
  </si>
  <si>
    <t>IG IF 0</t>
  </si>
  <si>
    <t>IG USER CHOICE</t>
  </si>
  <si>
    <t>IG SPECIAL CASE</t>
  </si>
  <si>
    <t>FINAL IG STATUS</t>
  </si>
  <si>
    <t>Damage Catagory</t>
  </si>
  <si>
    <t>Icons</t>
  </si>
  <si>
    <t>Arti Eff vs dmg type</t>
  </si>
  <si>
    <t>effect</t>
  </si>
  <si>
    <t>test</t>
  </si>
  <si>
    <t>CloneDmg</t>
  </si>
  <si>
    <t>cost</t>
  </si>
  <si>
    <t>ad%</t>
  </si>
  <si>
    <t>arti dmg%</t>
  </si>
  <si>
    <t>cum cost</t>
  </si>
  <si>
    <t>%/lifetime spent</t>
  </si>
  <si>
    <t>efficiency</t>
  </si>
  <si>
    <t>ranking</t>
  </si>
  <si>
    <t>Phantom Vengeance</t>
  </si>
  <si>
    <t>Increased clone dmg + attack rate</t>
  </si>
  <si>
    <t>for hs</t>
  </si>
  <si>
    <t>Alt Names</t>
  </si>
  <si>
    <t>Names</t>
  </si>
  <si>
    <t>ShadowCloneSkillAmount</t>
  </si>
  <si>
    <r>
      <rPr>
        <b/>
        <sz val="11.0"/>
      </rPr>
      <t>link to live sheet:</t>
    </r>
    <r>
      <rPr>
        <sz val="11.0"/>
      </rPr>
      <t xml:space="preserve"> </t>
    </r>
    <r>
      <rPr>
        <color rgb="FF0000FF"/>
        <sz val="9.0"/>
      </rPr>
      <t>https://tinyurl.com/TT2Optimizer</t>
    </r>
  </si>
  <si>
    <t>Hand of Midas</t>
  </si>
  <si>
    <t>ShadowCloneSkillAttackRate</t>
  </si>
  <si>
    <t>MultiSpawn%</t>
  </si>
  <si>
    <t>Fairy</t>
  </si>
  <si>
    <t>Fairy Charm</t>
  </si>
  <si>
    <t>Multi-fairy spawn bonus + lower fairy spawn cooldown</t>
  </si>
  <si>
    <t>QTE Ignored</t>
  </si>
  <si>
    <t>FairySpawnChance</t>
  </si>
  <si>
    <t>FairyCooldown</t>
  </si>
  <si>
    <t>ManaStealSkillBoost</t>
  </si>
  <si>
    <t>Mana Siphon</t>
  </si>
  <si>
    <t>Chance to gain additional mana per tap</t>
  </si>
  <si>
    <t>ManaTapRegen</t>
  </si>
  <si>
    <t>ManaStealChance</t>
  </si>
  <si>
    <t>CloneSkillBoost</t>
  </si>
  <si>
    <t>Eternal Darkness</t>
  </si>
  <si>
    <t>Increased clone duration + splash skip</t>
  </si>
  <si>
    <t>Reddit:/u/Killerparrot6
Discord: Parrot6#7225</t>
  </si>
  <si>
    <t>Fire Sword</t>
  </si>
  <si>
    <t>Master's Sword Arti</t>
  </si>
  <si>
    <t>ShadowCloneSkillDuration</t>
  </si>
  <si>
    <t>ShadowCloneSplashSkipCount</t>
  </si>
  <si>
    <t>Obtained</t>
  </si>
  <si>
    <t>ManaMonster</t>
  </si>
  <si>
    <t>Manni Mana</t>
  </si>
  <si>
    <t>Chance for mana monster to spawn (gives mana)</t>
  </si>
  <si>
    <t>☑</t>
  </si>
  <si>
    <t>Utility Ignored</t>
  </si>
  <si>
    <t>ManaMonsterAmount</t>
  </si>
  <si>
    <t>ManaMonsterSpawnChance</t>
  </si>
  <si>
    <t>2.10 notes</t>
  </si>
  <si>
    <t>&lt;% of lifetime spent relics in BoS</t>
  </si>
  <si>
    <t>CritSkillBoost</t>
  </si>
  <si>
    <t>Lightning Strike</t>
  </si>
  <si>
    <t>Chance to deal damage equal to percent of monster hp</t>
  </si>
  <si>
    <t>War Cry</t>
  </si>
  <si>
    <t>Online</t>
  </si>
  <si>
    <t>LightningStrikeDamage</t>
  </si>
  <si>
    <t>LightningStrikeEfficiency</t>
  </si>
  <si>
    <t>LightningStrikeChance</t>
  </si>
  <si>
    <t>BossTimer</t>
  </si>
  <si>
    <t>Dimensional Shift</t>
  </si>
  <si>
    <t>Increase active skill effects and duration</t>
  </si>
  <si>
    <t>On</t>
  </si>
  <si>
    <t>ShadowCloneAllSkillBoost</t>
  </si>
  <si>
    <t>ShadowCloneAllSkillDurationRate</t>
  </si>
  <si>
    <t>*Searing Light being calc'd over 30 seconds|lvl25 WC|HM lvl</t>
  </si>
  <si>
    <t>OfflineGold</t>
  </si>
  <si>
    <t>BranchGreen</t>
  </si>
  <si>
    <t>Master Thief</t>
  </si>
  <si>
    <t>All Gold / Inactive gold bonus</t>
  </si>
  <si>
    <t>GoldAll</t>
  </si>
  <si>
    <t>TIPS?</t>
  </si>
  <si>
    <t>InactiveGold</t>
  </si>
  <si>
    <t>CritSkillBoostDmg</t>
  </si>
  <si>
    <t>Assassinate</t>
  </si>
  <si>
    <t>Deadly Strike damage boost</t>
  </si>
  <si>
    <t>Build Independent</t>
  </si>
  <si>
    <t>CritBoostSkillAmount</t>
  </si>
  <si>
    <t>Shadow Clone</t>
  </si>
  <si>
    <t>CritBoostSkillDuration</t>
  </si>
  <si>
    <t>AutoAdvance</t>
  </si>
  <si>
    <t>Silent March</t>
  </si>
  <si>
    <t>Damage / speed increase during inactive play</t>
  </si>
  <si>
    <t>InactiveAllDamage</t>
  </si>
  <si>
    <t>MonsterInactiveSpawnDuration</t>
  </si>
  <si>
    <t>InactiveAdvance</t>
  </si>
  <si>
    <t>MultiMonsters</t>
  </si>
  <si>
    <t>Ambush</t>
  </si>
  <si>
    <t>Increased multi spawn chance</t>
  </si>
  <si>
    <t>Filter</t>
  </si>
  <si>
    <t>MultiMonstersMaxCount</t>
  </si>
  <si>
    <t>PetOfflineDmg</t>
  </si>
  <si>
    <t>Twilight's Veil</t>
  </si>
  <si>
    <t>Increased Inactive pet damage</t>
  </si>
  <si>
    <t>InactivePetDamage</t>
  </si>
  <si>
    <t>DeadlyDamagePet</t>
  </si>
  <si>
    <t xml:space="preserve">Toggle Here To Turn TIPS OFF &gt; </t>
  </si>
  <si>
    <t>InactiveClanShip</t>
  </si>
  <si>
    <t>Ghost Ship</t>
  </si>
  <si>
    <t>Inactive Ship damage + crit</t>
  </si>
  <si>
    <t>InactiveShipDamage</t>
  </si>
  <si>
    <t>DeadlyDamageShip</t>
  </si>
  <si>
    <t>OfflineCloneDmg</t>
  </si>
  <si>
    <t>Shadow Assassin</t>
  </si>
  <si>
    <t>Increased Inactive clone damage</t>
  </si>
  <si>
    <t>Gold Type</t>
  </si>
  <si>
    <t>InactiveCloneDamage</t>
  </si>
  <si>
    <t>DeadlyDamageClone</t>
  </si>
  <si>
    <t>Next Level Efficiency</t>
  </si>
  <si>
    <t>SP Cost</t>
  </si>
  <si>
    <t>Remaining SP:</t>
  </si>
  <si>
    <t>Starting SP (edit this -&gt;):</t>
  </si>
  <si>
    <t>Damage Types</t>
  </si>
  <si>
    <t>TAP</t>
  </si>
  <si>
    <t>PET</t>
  </si>
  <si>
    <t>SC</t>
  </si>
  <si>
    <t>HS</t>
  </si>
  <si>
    <t>SHIP</t>
  </si>
  <si>
    <t>Book of Shadows</t>
  </si>
  <si>
    <t>Standard (click to change)</t>
  </si>
  <si>
    <t>KNIGHT</t>
  </si>
  <si>
    <t>arti costs</t>
  </si>
  <si>
    <t>artifacts owned:</t>
  </si>
  <si>
    <t>Tier List</t>
  </si>
  <si>
    <t>Warlord</t>
  </si>
  <si>
    <t>Damage:</t>
  </si>
  <si>
    <t>Screenshot Here!</t>
  </si>
  <si>
    <t>SoTV</t>
  </si>
  <si>
    <t>v2.10.3</t>
  </si>
  <si>
    <t>xTap</t>
  </si>
  <si>
    <t>Stone of the Valrunes</t>
  </si>
  <si>
    <t>in Millions</t>
  </si>
  <si>
    <t>sum purchase cost:</t>
  </si>
  <si>
    <t>S</t>
  </si>
  <si>
    <t>GoldType:</t>
  </si>
  <si>
    <t>///========</t>
  </si>
  <si>
    <t>xGold</t>
  </si>
  <si>
    <t>========\\\</t>
  </si>
  <si>
    <t>q</t>
  </si>
  <si>
    <t>xHero</t>
  </si>
  <si>
    <t>Chest of Contentment</t>
  </si>
  <si>
    <t>in Billions</t>
  </si>
  <si>
    <t>Online/Offline:</t>
  </si>
  <si>
    <t>|||</t>
  </si>
  <si>
    <t>xDeadlyStrike</t>
  </si>
  <si>
    <t>Heroic Shield</t>
  </si>
  <si>
    <t>in Trillions</t>
  </si>
  <si>
    <t>A</t>
  </si>
  <si>
    <t>Hero Type:</t>
  </si>
  <si>
    <t>Ranged</t>
  </si>
  <si>
    <t>✖</t>
  </si>
  <si>
    <t>xWarcry</t>
  </si>
  <si>
    <t>Book of Prophecy</t>
  </si>
  <si>
    <t>Ground/Flying:</t>
  </si>
  <si>
    <t>Ground</t>
  </si>
  <si>
    <t>StealthGold</t>
  </si>
  <si>
    <t>xFireSword</t>
  </si>
  <si>
    <t>Khrysos Bowl</t>
  </si>
  <si>
    <t>in e20</t>
  </si>
  <si>
    <t>Vid Tutorial:</t>
  </si>
  <si>
    <t>https://youtu.be/w5H5wRuThnQ</t>
  </si>
  <si>
    <t>&lt;watch This</t>
  </si>
  <si>
    <t>xSwordAttack</t>
  </si>
  <si>
    <t>Zakynthos Coin</t>
  </si>
  <si>
    <t>xCritDamage</t>
  </si>
  <si>
    <t>Great Fay Medallion</t>
  </si>
  <si>
    <t>F</t>
  </si>
  <si>
    <t>Neko Sculpture</t>
  </si>
  <si>
    <t>tinyurl.com/tt2Optimizer</t>
  </si>
  <si>
    <t>xpHoM</t>
  </si>
  <si>
    <t>Coins of Ebizu</t>
  </si>
  <si>
    <t xml:space="preserve">on </t>
  </si>
  <si>
    <t>Ingame Build Paste</t>
  </si>
  <si>
    <t>Build Dependent</t>
  </si>
  <si>
    <t>The Bronzed Compass</t>
  </si>
  <si>
    <t>B</t>
  </si>
  <si>
    <t>FotS</t>
  </si>
  <si>
    <t>Flute of the Soloist</t>
  </si>
  <si>
    <t xml:space="preserve"> SORCERER</t>
  </si>
  <si>
    <t>xSC</t>
  </si>
  <si>
    <t>ROGUE</t>
  </si>
  <si>
    <t>Heavenly Sword</t>
  </si>
  <si>
    <t>If you choose MAX, enter 0 for ones you don't own</t>
  </si>
  <si>
    <r>
      <rPr>
        <color rgb="FFFF0000"/>
      </rPr>
      <t>(BETA)</t>
    </r>
    <r>
      <t xml:space="preserve"> Build Load/Save</t>
    </r>
  </si>
  <si>
    <t>Select Build:</t>
  </si>
  <si>
    <t>xShip</t>
  </si>
  <si>
    <t>Divine Retribution</t>
  </si>
  <si>
    <t>PetFairy</t>
  </si>
  <si>
    <t>Choose a Option:</t>
  </si>
  <si>
    <t>Save Name:</t>
  </si>
  <si>
    <t>xHS</t>
  </si>
  <si>
    <t>Drunken Hammer</t>
  </si>
  <si>
    <t>Auto level artis to MAX(set unowned=0)</t>
  </si>
  <si>
    <t>=======\\\</t>
  </si>
  <si>
    <t>=========\\\</t>
  </si>
  <si>
    <t xml:space="preserve">      |||</t>
  </si>
  <si>
    <t xml:space="preserve"> v-------|</t>
  </si>
  <si>
    <t>^--Click here to load selected build</t>
  </si>
  <si>
    <t>xPet</t>
  </si>
  <si>
    <t>Samosek Sword</t>
  </si>
  <si>
    <t>Artifacts</t>
  </si>
  <si>
    <t xml:space="preserve">&lt;--| </t>
  </si>
  <si>
    <t>Need to deselect the "Save Name:" field before clicking save or it cant access the field</t>
  </si>
  <si>
    <t>xCompanion</t>
  </si>
  <si>
    <t>Ignore Skills Individually by Toggling Here, Cell will turn red if Ignored</t>
  </si>
  <si>
    <t>The Retaliator</t>
  </si>
  <si>
    <t>Hourglass of the Impatient</t>
  </si>
  <si>
    <t>xFundamental</t>
  </si>
  <si>
    <t>&lt; Skill Name</t>
  </si>
  <si>
    <t>HoS</t>
  </si>
  <si>
    <t>Stryfe's Peace</t>
  </si>
  <si>
    <t>&lt; Skill Rank</t>
  </si>
  <si>
    <t>Phantom Timepiece</t>
  </si>
  <si>
    <t>Appollo</t>
  </si>
  <si>
    <t>Hero's Blade</t>
  </si>
  <si>
    <t>&lt; Skill Next Level Efficiency</t>
  </si>
  <si>
    <t>Forbidden Scroll</t>
  </si>
  <si>
    <t>this i</t>
  </si>
  <si>
    <t>Calisto</t>
  </si>
  <si>
    <t>The Sword of Storms</t>
  </si>
  <si>
    <t xml:space="preserve">                                          </t>
  </si>
  <si>
    <t>Ring of Fealty</t>
  </si>
  <si>
    <t>sp</t>
  </si>
  <si>
    <t>Icon</t>
  </si>
  <si>
    <t>AltName</t>
  </si>
  <si>
    <t>ShortHand</t>
  </si>
  <si>
    <t>effectAatX</t>
  </si>
  <si>
    <t>effectAatX+1</t>
  </si>
  <si>
    <t>effectBatX</t>
  </si>
  <si>
    <t>effectBatX+1</t>
  </si>
  <si>
    <t>costatX</t>
  </si>
  <si>
    <t>Cumm cost</t>
  </si>
  <si>
    <t>EffatX</t>
  </si>
  <si>
    <t>AltEffatX</t>
  </si>
  <si>
    <t>Chosen Effect</t>
  </si>
  <si>
    <t>Rank</t>
  </si>
  <si>
    <t>ActiveRatio</t>
  </si>
  <si>
    <t>QTE</t>
  </si>
  <si>
    <t>Ignore if not enough SP</t>
  </si>
  <si>
    <t>Utility Ignored?</t>
  </si>
  <si>
    <t>Ignore Due to choices?</t>
  </si>
  <si>
    <t>Ignore Specifically by User</t>
  </si>
  <si>
    <t>Ignore if prereq not spec'd?</t>
  </si>
  <si>
    <t>Final Ignore Status?</t>
  </si>
  <si>
    <t>Levels</t>
  </si>
  <si>
    <t>Blade of Damoc</t>
  </si>
  <si>
    <t>Furies Bow</t>
  </si>
  <si>
    <t>Glacial Axe</t>
  </si>
  <si>
    <t>DeleteRowToDeleteBuild</t>
  </si>
  <si>
    <t>Tap Damage</t>
  </si>
  <si>
    <t>Pet Damage</t>
  </si>
  <si>
    <t>HS Damage</t>
  </si>
  <si>
    <t>Ship Damage</t>
  </si>
  <si>
    <t>Hero Damage</t>
  </si>
  <si>
    <t>Cumm Eff at Current Level</t>
  </si>
  <si>
    <t>AltEffFormula</t>
  </si>
  <si>
    <t>Chosen</t>
  </si>
  <si>
    <t>Helmet of Madne</t>
  </si>
  <si>
    <t>Charm of the Ancient</t>
  </si>
  <si>
    <t>KV</t>
  </si>
  <si>
    <t>Aegis</t>
  </si>
  <si>
    <t>COr</t>
  </si>
  <si>
    <t>EV</t>
  </si>
  <si>
    <t>HoM</t>
  </si>
  <si>
    <t>CS</t>
  </si>
  <si>
    <t>SI</t>
  </si>
  <si>
    <t>LB</t>
  </si>
  <si>
    <t>BF</t>
  </si>
  <si>
    <t>FZ</t>
  </si>
  <si>
    <t>MC</t>
  </si>
  <si>
    <t>SoW</t>
  </si>
  <si>
    <t>HM</t>
  </si>
  <si>
    <t>AAs</t>
  </si>
  <si>
    <t>TI</t>
  </si>
  <si>
    <t>SL</t>
  </si>
  <si>
    <t>COf</t>
  </si>
  <si>
    <t>AAw</t>
  </si>
  <si>
    <t>AS</t>
  </si>
  <si>
    <t>MU</t>
  </si>
  <si>
    <t>AR</t>
  </si>
  <si>
    <t>PV</t>
  </si>
  <si>
    <t>FC</t>
  </si>
  <si>
    <t>MS</t>
  </si>
  <si>
    <t>ED</t>
  </si>
  <si>
    <t>MM</t>
  </si>
  <si>
    <t>LS</t>
  </si>
  <si>
    <t>DSh</t>
  </si>
  <si>
    <t>MT</t>
  </si>
  <si>
    <t>SM</t>
  </si>
  <si>
    <t>AM</t>
  </si>
  <si>
    <t>TV</t>
  </si>
  <si>
    <t>GS</t>
  </si>
  <si>
    <t>SA</t>
  </si>
  <si>
    <t>SP</t>
  </si>
  <si>
    <t>Damage</t>
  </si>
  <si>
    <t>Gold</t>
  </si>
  <si>
    <t>Version#</t>
  </si>
  <si>
    <t>BuildName</t>
  </si>
  <si>
    <t>Gjalarhorn</t>
  </si>
  <si>
    <t>Tiny Titan Tree</t>
  </si>
  <si>
    <t>Swamp Gauntlet</t>
  </si>
  <si>
    <t>2.10Shipphmom</t>
  </si>
  <si>
    <t>pHoM</t>
  </si>
  <si>
    <t>v2.10</t>
  </si>
  <si>
    <t>[Core] SC Fairy</t>
  </si>
  <si>
    <t>[Core] SC Phom</t>
  </si>
  <si>
    <t>Amethyst Staff</t>
  </si>
  <si>
    <t>[Core] Ship Phom</t>
  </si>
  <si>
    <t>Helm of Hermes</t>
  </si>
  <si>
    <t>[Core] Ship Fairy</t>
  </si>
  <si>
    <t>SCphomNoASH</t>
  </si>
  <si>
    <t>Infinity Pendulum</t>
  </si>
  <si>
    <t>SCfairyNoASH</t>
  </si>
  <si>
    <t>ParrotSCFairy</t>
  </si>
  <si>
    <t>Bad</t>
  </si>
  <si>
    <t>Fruit of Eden</t>
  </si>
  <si>
    <t>Glove of Kuma</t>
  </si>
  <si>
    <t>Influential Elixir</t>
  </si>
  <si>
    <t>Titan Spear</t>
  </si>
  <si>
    <t>xMidasGold</t>
  </si>
  <si>
    <t>https://vignette.wikia.nocookie.net/tap-titans-2/images/3/33/Knight%27s_Valor_Icon.png/revision/latest?cb=20180118180719</t>
  </si>
  <si>
    <t>O'Ryan's Charm</t>
  </si>
  <si>
    <t>Oak Staff</t>
  </si>
  <si>
    <t>RocAuraBoost</t>
  </si>
  <si>
    <t>Heart of Storms</t>
  </si>
  <si>
    <t>The Arcana Cloak</t>
  </si>
  <si>
    <t>1COr/</t>
  </si>
  <si>
    <t>AuraBoostArti</t>
  </si>
  <si>
    <t>Apollo Orb</t>
  </si>
  <si>
    <t>https://vignette.wikia.nocookie.net/tap-titans-2/images/f/f0/Chivalric_Order_Icon.png/revision/latest?cb=20180118180734</t>
  </si>
  <si>
    <t>Hunter's Ointment</t>
  </si>
  <si>
    <t>Stealth</t>
  </si>
  <si>
    <t>1EV/</t>
  </si>
  <si>
    <t>https://vignette.wikia.nocookie.net/tap-titans-2/images/5/5f/Pet_Evolution_Icon.png/revision/latest?cb=20180118180741</t>
  </si>
  <si>
    <t>Earrings of Portara</t>
  </si>
  <si>
    <t>Ambrosia Elixir</t>
  </si>
  <si>
    <t>https://vignette.wikia.nocookie.net/tap-titans-2/images/9/97/Heart_of_Midas_Icon.png/revision/latest?cb=20180118181547</t>
  </si>
  <si>
    <t>19CS/</t>
  </si>
  <si>
    <t>Avian Feather</t>
  </si>
  <si>
    <t>Mystic Staff</t>
  </si>
  <si>
    <t>https://vignette.wikia.nocookie.net/tap-titans-2/images/2/26/Cleaving_Strike_Icon.png/revision/latest?cb=20180118181728</t>
  </si>
  <si>
    <t>WarlordBoost</t>
  </si>
  <si>
    <t>1SI/</t>
  </si>
  <si>
    <t>Corrupted Rune Heart</t>
  </si>
  <si>
    <t>https://vignette.wikia.nocookie.net/tap-titans-2/images/4/4b/Summon_Inferno_Icon.png/revision/latest?cb=20180118181548</t>
  </si>
  <si>
    <t>Mystical Beans of Senzu</t>
  </si>
  <si>
    <t>KnightBoost</t>
  </si>
  <si>
    <t>https://vignette.wikia.nocookie.net/tap-titans-2/images/f/f0/Lightning_Burst_Icon.png/revision/latest?cb=20180118181548</t>
  </si>
  <si>
    <t>Durendal Sword</t>
  </si>
  <si>
    <t>Egg of Fortune</t>
  </si>
  <si>
    <t>https://vignette.wikia.nocookie.net/tap-titans-2/images/3/36/Barbaric_Fury_Icon.png/revision/latest?cb=20180118181546</t>
  </si>
  <si>
    <t>https://vignette.wikia.nocookie.net/tap-titans-2/images/8/8a/Flash_Zip_Icon.png/revision/latest?cb=20180118181547</t>
  </si>
  <si>
    <t>SorcBoost</t>
  </si>
  <si>
    <t>Helheim Skull</t>
  </si>
  <si>
    <t>C</t>
  </si>
  <si>
    <t>Divine Chalice</t>
  </si>
  <si>
    <t>2MC/</t>
  </si>
  <si>
    <t>https://vignette.wikia.nocookie.net/tap-titans-2/images/6/60/Master_Commander_Icon.png/revision/latest?cb=20180118193547</t>
  </si>
  <si>
    <t>7SoW/</t>
  </si>
  <si>
    <t>RogueBoost</t>
  </si>
  <si>
    <t>https://vignette.wikia.nocookie.net/tap-titans-2/images/8/87/Spoils_of_War_Icon.png/revision/latest?cb=20180118193642</t>
  </si>
  <si>
    <t>Oath's Burden</t>
  </si>
  <si>
    <t>Invader's Shield</t>
  </si>
  <si>
    <t>1HM/</t>
  </si>
  <si>
    <t>https://vignette.wikia.nocookie.net/tap-titans-2/images/c/c9/Heroic_Might_Icon.png/revision/latest?cb=20180118193544</t>
  </si>
  <si>
    <t>Crown of the Constellation</t>
  </si>
  <si>
    <t>Axe of Muerte</t>
  </si>
  <si>
    <t>https://vignette.wikia.nocookie.net/tap-titans-2/images/f/f4/Aerial_Assault_Icon.png/revision/latest?cb=20180118193539</t>
  </si>
  <si>
    <t>14TI/</t>
  </si>
  <si>
    <t>Titania's Sceptre</t>
  </si>
  <si>
    <t>Essence of the Kitsune</t>
  </si>
  <si>
    <t>https://vignette.wikia.nocookie.net/tap-titans-2/images/d/d5/Tactical_Insight_Icon.png/revision/latest?cb=20180118193643</t>
  </si>
  <si>
    <t>1SL/</t>
  </si>
  <si>
    <t>Fagin's Grip</t>
  </si>
  <si>
    <t>Boots of Hermes</t>
  </si>
  <si>
    <t>https://vignette.wikia.nocookie.net/tap-titans-2/images/b/b2/Searing_Light_Icon.png/revision/latest?cb=20180904162940</t>
  </si>
  <si>
    <t>Ring of Calisto</t>
  </si>
  <si>
    <t>https://vignette.wikia.nocookie.net/tap-titans-2/images/1/12/Coordinated_Offensive_Icon.png/revision/latest?cb=20180118193542</t>
  </si>
  <si>
    <t>Unbound Gauntlet</t>
  </si>
  <si>
    <t>2.9 Artifact Optimizer</t>
  </si>
  <si>
    <t>https://vignette.wikia.nocookie.net/tap-titans-2/images/9/97/Astral_Awakening_Icon.png/revision/latest?cb=20180118193541</t>
  </si>
  <si>
    <t>@er</t>
  </si>
  <si>
    <t>Damage Type</t>
  </si>
  <si>
    <t>Blade of Damocles</t>
  </si>
  <si>
    <t>Oberon Pendant</t>
  </si>
  <si>
    <t>Hero Dmg Type</t>
  </si>
  <si>
    <t>Flying/Ground</t>
  </si>
  <si>
    <t>Online/Offline</t>
  </si>
  <si>
    <t>Step Amount</t>
  </si>
  <si>
    <t>https://vignette.wikia.nocookie.net/tap-titans-2/images/b/bc/Anchoring_Shot_Icon.png/revision/latest?cb=20180118193540</t>
  </si>
  <si>
    <r>
      <rPr>
        <color rgb="FFFF0000"/>
      </rPr>
      <t>NEW</t>
    </r>
    <r>
      <t xml:space="preserve"> Desired BoS %</t>
    </r>
  </si>
  <si>
    <t>(will suggets BoS first if lifetime relics &lt; desired%. Ignore suggestion amt underneath)</t>
  </si>
  <si>
    <t>Layout</t>
  </si>
  <si>
    <t>2LB/</t>
  </si>
  <si>
    <t>Helmet of Madness</t>
  </si>
  <si>
    <t>https://vignette.wikia.nocookie.net/tap-titans-2/images/9/94/Limit_Break_Icon.png/revision/latest?cb=20180118193545</t>
  </si>
  <si>
    <t>Lucky Foot of Al-mi'raj</t>
  </si>
  <si>
    <t>Fairy Gold</t>
  </si>
  <si>
    <t>20MU/</t>
  </si>
  <si>
    <t>Spell</t>
  </si>
  <si>
    <t>Titanium Plating</t>
  </si>
  <si>
    <t>https://vignette.wikia.nocookie.net/tap-titans-2/images/3/3d/Midas_Ultimate_Icon.png/revision/latest?cb=20180118193548</t>
  </si>
  <si>
    <t>Lost King's Mask</t>
  </si>
  <si>
    <t>Horizontal</t>
  </si>
  <si>
    <t>Artifact Levels</t>
  </si>
  <si>
    <t>https://vignette.wikia.nocookie.net/tap-titans-2/images/2/28/Angelic_Radiance_Icon.png/revision/latest?cb=20180118193540</t>
  </si>
  <si>
    <t>25PV/</t>
  </si>
  <si>
    <t>Relics Spent on:</t>
  </si>
  <si>
    <t>Moonlight Bracelet</t>
  </si>
  <si>
    <t>Staff of Radiance</t>
  </si>
  <si>
    <t>https://vignette.wikia.nocookie.net/tap-titans-2/images/4/4c/Phantom_Vengeance_Icon.png/revision/latest?cb=20180118193548</t>
  </si>
  <si>
    <t>1FC/</t>
  </si>
  <si>
    <t>https://vignette.wikia.nocookie.net/tap-titans-2/images/8/88/Fairy_Charm_Icon.png/revision/latest?cb=20180118193543</t>
  </si>
  <si>
    <t>Morgelai Sword</t>
  </si>
  <si>
    <t>Upgrade Cost:</t>
  </si>
  <si>
    <t>https://vignette.wikia.nocookie.net/tap-titans-2/images/7/77/Mana_Siphon_Icon.png/revision/latest?cb=20180118193546</t>
  </si>
  <si>
    <t>Invader's Gjalarhorn</t>
  </si>
  <si>
    <t>The Master's Sword</t>
  </si>
  <si>
    <t>1ED/</t>
  </si>
  <si>
    <t>https://vignette.wikia.nocookie.net/tap-titans-2/images/4/44/Eternal_Darkness_Icon.png/revision/latest?cb=20180118193543</t>
  </si>
  <si>
    <t>Titan's Mask</t>
  </si>
  <si>
    <t>The Magnifier</t>
  </si>
  <si>
    <t>https://vignette.wikia.nocookie.net/tap-titans-2/images/1/13/Manni_Mana_Icon.png/revision/latest?cb=20180118193546</t>
  </si>
  <si>
    <t>Upgrade Amount:</t>
  </si>
  <si>
    <t>Royal Toxin</t>
  </si>
  <si>
    <t>The Treasure of Fergus</t>
  </si>
  <si>
    <t>https://vignette.wikia.nocookie.net/tap-titans-2/images/a/a5/Lightning_Strike_Icon.png/revision/latest?cb=20180118193545</t>
  </si>
  <si>
    <t>15DSh/</t>
  </si>
  <si>
    <t>Laborer's Pendant</t>
  </si>
  <si>
    <t>The White Dwarf</t>
  </si>
  <si>
    <t>https://vignette.wikia.nocookie.net/tap-titans-2/images/6/6f/Dimensional_Shift_Icon.png/revision/latest?cb=20180118193542</t>
  </si>
  <si>
    <t>11MT/</t>
  </si>
  <si>
    <t>Bringer of Ragnarok</t>
  </si>
  <si>
    <t xml:space="preserve">  </t>
  </si>
  <si>
    <t>https://vignette.wikia.nocookie.net/tap-titans-2/images/2/20/Master_Thief_Icon.png/revision/latest?cb=20180118193547</t>
  </si>
  <si>
    <t>Aram Spear</t>
  </si>
  <si>
    <t>9AS/</t>
  </si>
  <si>
    <t>Parchment of Foresight</t>
  </si>
  <si>
    <t>https://vignette.wikia.nocookie.net/tap-titans-2/images/0/05/Assassinate_Icon.png/revision/latest?cb=20180118193541</t>
  </si>
  <si>
    <t>Ward of the Darkness</t>
  </si>
  <si>
    <t>https://vignette.wikia.nocookie.net/tap-titans-2/images/b/b0/Silent_March_Icon.png/revision/latest?cb=20180118193642</t>
  </si>
  <si>
    <t>Future stats:</t>
  </si>
  <si>
    <t>1AM/</t>
  </si>
  <si>
    <t>Elixir of Eden</t>
  </si>
  <si>
    <t>https://vignette.wikia.nocookie.net/tap-titans-2/images/7/72/Ambush_Icon.png/revision/latest?cb=20180118193539</t>
  </si>
  <si>
    <t>https://vignette.wikia.nocookie.net/tap-titans-2/images/0/0f/Twilight%27s_Veil_Icon.png/revision/latest?cb=20180118193643</t>
  </si>
  <si>
    <t xml:space="preserve"> </t>
  </si>
  <si>
    <t>Additional Info/Options</t>
  </si>
  <si>
    <t>https://vignette.wikia.nocookie.net/tap-titans-2/images/f/f9/Ghost_Ship_Icon.png/revision/latest?cb=20180118193544</t>
  </si>
  <si>
    <t>6SA/</t>
  </si>
  <si>
    <t>https://vignette.wikia.nocookie.net/tap-titans-2/images/f/f3/Shadow_Assassin_Icon.png/revision/latest?cb=20180118193640</t>
  </si>
  <si>
    <t>prev level</t>
  </si>
  <si>
    <t>current level</t>
  </si>
  <si>
    <t>Level%Change</t>
  </si>
  <si>
    <t>Extended Ranks:</t>
  </si>
  <si>
    <t>hs</t>
  </si>
  <si>
    <t>sc</t>
  </si>
  <si>
    <t>ship</t>
  </si>
  <si>
    <t>pet</t>
  </si>
  <si>
    <t>tap</t>
  </si>
  <si>
    <t>hero</t>
  </si>
  <si>
    <t>AllHero</t>
  </si>
  <si>
    <t>spell</t>
  </si>
  <si>
    <t>melee</t>
  </si>
  <si>
    <t>ranged</t>
  </si>
  <si>
    <t>All Gold</t>
  </si>
  <si>
    <t>Boss Gold</t>
  </si>
  <si>
    <t>Chesterson Gold</t>
  </si>
  <si>
    <t>Strength of artis for your dmg type. 1 point = ~25ms from artis (disregard Strength Score if you are past ~15k MS)</t>
  </si>
  <si>
    <t>Tap Dmg</t>
  </si>
  <si>
    <t>Show all ranks on left arti column</t>
  </si>
  <si>
    <t>All Dmg</t>
  </si>
  <si>
    <t>Crit Dmg</t>
  </si>
  <si>
    <t>Flat Mana</t>
  </si>
  <si>
    <t>Flat Regen</t>
  </si>
  <si>
    <t>Flat Chest Chance</t>
  </si>
  <si>
    <t>Flat x10 Gold</t>
  </si>
  <si>
    <t>Hide Tiers:</t>
  </si>
  <si>
    <t>Flat Crit</t>
  </si>
  <si>
    <t>Selected</t>
  </si>
  <si>
    <t>Hide tier rank beside each artifact</t>
  </si>
  <si>
    <t>Show (%Lifetime):</t>
  </si>
  <si>
    <t>&gt;10%lifetime</t>
  </si>
  <si>
    <t>Scratch Paper</t>
  </si>
  <si>
    <t>base</t>
  </si>
  <si>
    <t>Toggle visibility of (%Lifetime) Info</t>
  </si>
  <si>
    <t>fia</t>
  </si>
  <si>
    <t>Effect</t>
  </si>
  <si>
    <t>Cost</t>
  </si>
  <si>
    <t>%ArtiDmgEff</t>
  </si>
  <si>
    <t>CurrentCumCost</t>
  </si>
  <si>
    <t>Step amounts</t>
  </si>
  <si>
    <t>Sorted By:</t>
  </si>
  <si>
    <t>FALSE = IGNORED</t>
  </si>
  <si>
    <t>AD%</t>
  </si>
  <si>
    <t>artifact rank</t>
  </si>
  <si>
    <t>icon</t>
  </si>
  <si>
    <t>name</t>
  </si>
  <si>
    <t>level</t>
  </si>
  <si>
    <t>switch formula</t>
  </si>
  <si>
    <t>Rank after Suggestion</t>
  </si>
  <si>
    <t>Step Sizes</t>
  </si>
  <si>
    <t>selected:</t>
  </si>
  <si>
    <t>Max affordable lvls</t>
  </si>
  <si>
    <t>Suggested</t>
  </si>
  <si>
    <t>level after suggested</t>
  </si>
  <si>
    <t>cost of upgrade</t>
  </si>
  <si>
    <t>Cost at suggested</t>
  </si>
  <si>
    <t>effect at suggest</t>
  </si>
  <si>
    <t>Rank After</t>
  </si>
  <si>
    <t>level after</t>
  </si>
  <si>
    <t>multiple buys?</t>
  </si>
  <si>
    <t>Selected Build:</t>
  </si>
  <si>
    <t>Equipment #1</t>
  </si>
  <si>
    <t>All Hero</t>
  </si>
  <si>
    <t>vTopLeftCSVHere</t>
  </si>
  <si>
    <t>Spell Damage</t>
  </si>
  <si>
    <t>Artifact22</t>
  </si>
  <si>
    <t>PrestigeRelic</t>
  </si>
  <si>
    <t>Bonus Relics every pretige</t>
  </si>
  <si>
    <t>Test</t>
  </si>
  <si>
    <t>Artifact2</t>
  </si>
  <si>
    <t>GoldPerRunningActiveSkill</t>
  </si>
  <si>
    <t>Gold Per enabled active skill</t>
  </si>
  <si>
    <t>Artifact19</t>
  </si>
  <si>
    <t>Treasure Box Amount</t>
  </si>
  <si>
    <t>Artifact1</t>
  </si>
  <si>
    <t>+2% Gold from Boss Monsters</t>
  </si>
  <si>
    <t>Slash</t>
  </si>
  <si>
    <t>Artifact20</t>
  </si>
  <si>
    <t>Extra Gold for everything</t>
  </si>
  <si>
    <t>Artifact66</t>
  </si>
  <si>
    <t>UnskilledGold</t>
  </si>
  <si>
    <t>Extra Gold for Idle + Inactive Play</t>
  </si>
  <si>
    <t>Artifact43</t>
  </si>
  <si>
    <t>Extra Gold for Inactive Play</t>
  </si>
  <si>
    <t>Shadow Clone Damage</t>
  </si>
  <si>
    <t>Artifact44</t>
  </si>
  <si>
    <t>Fairy Gold Bonus</t>
  </si>
  <si>
    <t>Artifact45</t>
  </si>
  <si>
    <t>PetGoldQTEAmount</t>
  </si>
  <si>
    <t>Gold Bonus applied to splash kills</t>
  </si>
  <si>
    <t>Artifact79</t>
  </si>
  <si>
    <t>MultiMonstersGold</t>
  </si>
  <si>
    <t>Fill in the in-game values here</t>
  </si>
  <si>
    <t>Increase all artifact damage</t>
  </si>
  <si>
    <t>Artifact82</t>
  </si>
  <si>
    <t>GoldSpecialty</t>
  </si>
  <si>
    <t>All damage</t>
  </si>
  <si>
    <t>Artifact84</t>
  </si>
  <si>
    <t>DamagePerRunningActiveSkill</t>
  </si>
  <si>
    <t>Increase Tap Damage</t>
  </si>
  <si>
    <t>Artifact26</t>
  </si>
  <si>
    <t>HSArtifactDamage</t>
  </si>
  <si>
    <t>Increase Sword Attack Damage</t>
  </si>
  <si>
    <t>Artifact31</t>
  </si>
  <si>
    <t>AllDamage</t>
  </si>
  <si>
    <t>Increase critical damage</t>
  </si>
  <si>
    <t>xFS Dmg</t>
  </si>
  <si>
    <t>Artifact29</t>
  </si>
  <si>
    <t>Increase all helpers' damage</t>
  </si>
  <si>
    <t>Artifact51</t>
  </si>
  <si>
    <t>SwordAttackDamage</t>
  </si>
  <si>
    <t>Increase Melee helpers damage</t>
  </si>
  <si>
    <t>boss damage</t>
  </si>
  <si>
    <t>Artifact59</t>
  </si>
  <si>
    <t>CritDamage</t>
  </si>
  <si>
    <t>Increase Range helpers damage</t>
  </si>
  <si>
    <t>Artifact83</t>
  </si>
  <si>
    <t>FundamentalDamage</t>
  </si>
  <si>
    <t>fairy gold</t>
  </si>
  <si>
    <t>Increase magic helpers' damage</t>
  </si>
  <si>
    <t>Artifact35</t>
  </si>
  <si>
    <t>increase ground helper dmg</t>
  </si>
  <si>
    <t>Artifact32</t>
  </si>
  <si>
    <t>MeleeHelperDamage</t>
  </si>
  <si>
    <t>increase flying helper dmg</t>
  </si>
  <si>
    <t>Manni Mana chance</t>
  </si>
  <si>
    <t>Artifact33</t>
  </si>
  <si>
    <t>RangedHelperDamage</t>
  </si>
  <si>
    <t>Increase Pet Damage</t>
  </si>
  <si>
    <t>Artifact34</t>
  </si>
  <si>
    <t>SpellHelperDamage</t>
  </si>
  <si>
    <t>Increase Clan Ship Damage</t>
  </si>
  <si>
    <t>Artifact61</t>
  </si>
  <si>
    <t>GroundHelperDamage</t>
  </si>
  <si>
    <t>multi-spawn chance</t>
  </si>
  <si>
    <t>increase companion dmg</t>
  </si>
  <si>
    <t>Artifact62</t>
  </si>
  <si>
    <t>FlyingHelperDamage</t>
  </si>
  <si>
    <t>increase all pet dmg bonuses</t>
  </si>
  <si>
    <t>Artifact38</t>
  </si>
  <si>
    <t>increase all pet gold bonuses</t>
  </si>
  <si>
    <t>xDS Dmg</t>
  </si>
  <si>
    <t>Artifact30</t>
  </si>
  <si>
    <t>Increase Idle + Inactive Damage</t>
  </si>
  <si>
    <t>inactive damage</t>
  </si>
  <si>
    <t>Artifact64</t>
  </si>
  <si>
    <t>CompanionDamage</t>
  </si>
  <si>
    <t>Heart of Midas gold</t>
  </si>
  <si>
    <t>Increase Inactive Damage</t>
  </si>
  <si>
    <t>boss gold x10 chance</t>
  </si>
  <si>
    <t>Artifact52</t>
  </si>
  <si>
    <t>AllPetDamageEffect</t>
  </si>
  <si>
    <t>Increase Splash Damage</t>
  </si>
  <si>
    <t>deadly chance</t>
  </si>
  <si>
    <t>Artifact53</t>
  </si>
  <si>
    <t>AllPetGoldEffect</t>
  </si>
  <si>
    <t>increase non boss dmg</t>
  </si>
  <si>
    <t>xHS Dmg</t>
  </si>
  <si>
    <t>Artifact67</t>
  </si>
  <si>
    <t>UnskilledDamage</t>
  </si>
  <si>
    <t>increase dmg vs bosses</t>
  </si>
  <si>
    <t>inactive gold</t>
  </si>
  <si>
    <t>Artifact42</t>
  </si>
  <si>
    <t>Chesterson chance</t>
  </si>
  <si>
    <t>increase tapDmg, FS, PetDmg</t>
  </si>
  <si>
    <t>critical chance</t>
  </si>
  <si>
    <t>Artifact46</t>
  </si>
  <si>
    <t>SplashDamage</t>
  </si>
  <si>
    <t>increase AllHero, ClanShip, WC</t>
  </si>
  <si>
    <t>Artifact55</t>
  </si>
  <si>
    <t>TitanDamage</t>
  </si>
  <si>
    <t>increase HoM, HS, SC</t>
  </si>
  <si>
    <t>Artifact56</t>
  </si>
  <si>
    <t>BossDamage</t>
  </si>
  <si>
    <t>increase inactiveGold/Dmg, DS</t>
  </si>
  <si>
    <t>Artifact75</t>
  </si>
  <si>
    <t>KnightBonusBoost</t>
  </si>
  <si>
    <t>Inc all non aura equipment</t>
  </si>
  <si>
    <t>Artifact76</t>
  </si>
  <si>
    <t>WarlordBonusBoost</t>
  </si>
  <si>
    <t>SwordBoost</t>
  </si>
  <si>
    <t>Artifact77</t>
  </si>
  <si>
    <t>SorcererBonusBoost</t>
  </si>
  <si>
    <t>HelmetBoost</t>
  </si>
  <si>
    <t>Artifact78</t>
  </si>
  <si>
    <t>RogueBonusBoost</t>
  </si>
  <si>
    <t>Armor Boost</t>
  </si>
  <si>
    <t>Artifact40</t>
  </si>
  <si>
    <t>AllEquipmentEffect</t>
  </si>
  <si>
    <t>Aura Boost</t>
  </si>
  <si>
    <t>Artifact25</t>
  </si>
  <si>
    <t>SlashBoost</t>
  </si>
  <si>
    <t>Artifact17</t>
  </si>
  <si>
    <t>Increase all active skill effects</t>
  </si>
  <si>
    <t>Invader's Gjallarhorn</t>
  </si>
  <si>
    <t>Artifact23</t>
  </si>
  <si>
    <t>ArmorBoost</t>
  </si>
  <si>
    <t>Increase this active skill's effect</t>
  </si>
  <si>
    <t>Artifact73</t>
  </si>
  <si>
    <t>AuraBoost</t>
  </si>
  <si>
    <t>Artifact28</t>
  </si>
  <si>
    <t>Artifact47</t>
  </si>
  <si>
    <t>AllActiveSkillAmount</t>
  </si>
  <si>
    <t>Artifact11</t>
  </si>
  <si>
    <t>Artifact41</t>
  </si>
  <si>
    <t>Artifact9</t>
  </si>
  <si>
    <t>increase active skill cooldowns</t>
  </si>
  <si>
    <t>Artifact10</t>
  </si>
  <si>
    <t>Increase all active skill duration</t>
  </si>
  <si>
    <t>Artifact7</t>
  </si>
  <si>
    <t>HelperBoostSkillAmount</t>
  </si>
  <si>
    <t>Increase this active skill duration</t>
  </si>
  <si>
    <t>Artifact6</t>
  </si>
  <si>
    <t>Artifact65</t>
  </si>
  <si>
    <t>AllActiveSkillCooldownRate</t>
  </si>
  <si>
    <t>Artifact48</t>
  </si>
  <si>
    <t>AllActiveSkillDuration</t>
  </si>
  <si>
    <t>Artifact13</t>
  </si>
  <si>
    <t>Artifact15</t>
  </si>
  <si>
    <t>HandOfMidasSkillDuration</t>
  </si>
  <si>
    <t>Decrease this active skill mana cost</t>
  </si>
  <si>
    <t>Horizontal Layout</t>
  </si>
  <si>
    <t>Artifact16</t>
  </si>
  <si>
    <t>Vertical Layout</t>
  </si>
  <si>
    <t>Artifact14</t>
  </si>
  <si>
    <t>Artifact12</t>
  </si>
  <si>
    <t>Artifact36</t>
  </si>
  <si>
    <t>BurstDamageSkillMana</t>
  </si>
  <si>
    <t>Artifact27</t>
  </si>
  <si>
    <t>CritBoostSkillMana</t>
  </si>
  <si>
    <t>Artifact39</t>
  </si>
  <si>
    <t>HandOfMidasSkillMana</t>
  </si>
  <si>
    <t>Increase Mana Capacity</t>
  </si>
  <si>
    <t>Artifact37</t>
  </si>
  <si>
    <t>TapBoostSkillMana</t>
  </si>
  <si>
    <t>Increase mana regen</t>
  </si>
  <si>
    <t>Artifact3</t>
  </si>
  <si>
    <t>HelperBoostSkillMana</t>
  </si>
  <si>
    <t>Increase mana refend percentage</t>
  </si>
  <si>
    <t>Artifact8</t>
  </si>
  <si>
    <t>ShadowCloneSkillMana</t>
  </si>
  <si>
    <t>Treasure Box Chance</t>
  </si>
  <si>
    <t>Artifact50</t>
  </si>
  <si>
    <t>Chances of 10x money</t>
  </si>
  <si>
    <t>Artifact58</t>
  </si>
  <si>
    <t>Chance to get double fairy</t>
  </si>
  <si>
    <t>Artifact68</t>
  </si>
  <si>
    <t>ManaRefundPercent</t>
  </si>
  <si>
    <t>Critical Strike Chance</t>
  </si>
  <si>
    <t>Artifact18</t>
  </si>
  <si>
    <t>Increase multi spawn chance</t>
  </si>
  <si>
    <t>Artifact21</t>
  </si>
  <si>
    <t>Goldx10Chance</t>
  </si>
  <si>
    <t>Increase stage skip monster chance</t>
  </si>
  <si>
    <t>Artifact5</t>
  </si>
  <si>
    <t>Increase mega bomb monster chance</t>
  </si>
  <si>
    <t>Artifact4</t>
  </si>
  <si>
    <t>Increase mana monster chance</t>
  </si>
  <si>
    <t>Artifact54</t>
  </si>
  <si>
    <t>Multiply all stats panel probabilities</t>
  </si>
  <si>
    <t>Artifact70</t>
  </si>
  <si>
    <t>StageSkipMonsterSpawnChance</t>
  </si>
  <si>
    <t>decrease upgrade costs</t>
  </si>
  <si>
    <t>Artifact74</t>
  </si>
  <si>
    <t>MegaBombSpawnChance</t>
  </si>
  <si>
    <t>Heroes &amp; Upgrade Cost</t>
  </si>
  <si>
    <t>Artifact72</t>
  </si>
  <si>
    <t>Increase helper weapon strength</t>
  </si>
  <si>
    <t>Artifact69</t>
  </si>
  <si>
    <t>AllProbabilityBoost</t>
  </si>
  <si>
    <t>Sword Master Upgrade Cost</t>
  </si>
  <si>
    <t>Artifact63</t>
  </si>
  <si>
    <t>AllUpgradeCost</t>
  </si>
  <si>
    <t>reduce monster hp</t>
  </si>
  <si>
    <t>Artifact24</t>
  </si>
  <si>
    <t>HelperUpgradeCost</t>
  </si>
  <si>
    <t>increase boss timer length</t>
  </si>
  <si>
    <t>Artifact71</t>
  </si>
  <si>
    <t>HelperWeaponBoost</t>
  </si>
  <si>
    <t>Artifact49</t>
  </si>
  <si>
    <t>Artifact80</t>
  </si>
  <si>
    <t>AllArtifactDamageEffect</t>
  </si>
  <si>
    <t>Artifact81</t>
  </si>
  <si>
    <t>AllArtifactGoldEffect</t>
  </si>
  <si>
    <t>Artifact85</t>
  </si>
  <si>
    <t>DamagePerOwnedArtifact</t>
  </si>
  <si>
    <t>Artifact57</t>
  </si>
  <si>
    <t>MonsterHP</t>
  </si>
  <si>
    <t>Artifact60</t>
  </si>
  <si>
    <t>BossTimerDuration</t>
  </si>
  <si>
    <t>&lt;- Total Multi</t>
  </si>
  <si>
    <t>Equipment #2 (compare Vs)</t>
  </si>
  <si>
    <t>&lt;- xTimes stronger than Equipment#1</t>
  </si>
  <si>
    <t>Most Recent Reddit Post:</t>
  </si>
  <si>
    <t>https://www.reddit.com/r/TapTitans2/comments/9d0qbe/spartifact_optimizer_updated_v210/</t>
  </si>
  <si>
    <t>Date</t>
  </si>
  <si>
    <t>SP Optimizer</t>
  </si>
  <si>
    <t>xSC Dmg</t>
  </si>
  <si>
    <t>xWC Dmg</t>
  </si>
  <si>
    <t>Melee Damage</t>
  </si>
  <si>
    <t>Ranged Damage</t>
  </si>
  <si>
    <t>Artifact Optimizer</t>
  </si>
  <si>
    <t>Sword Attack Damage</t>
  </si>
  <si>
    <t>Rogue Gold</t>
  </si>
  <si>
    <t>2.11 Update</t>
  </si>
  <si>
    <t>Weapon</t>
  </si>
  <si>
    <t>2.11 Update
Added 2 new artis</t>
  </si>
  <si>
    <t>Helmet</t>
  </si>
  <si>
    <t>Chest</t>
  </si>
  <si>
    <t>Clan Ship Damage</t>
  </si>
  <si>
    <t>small % lifetime fix, automax bug for ward of darkness/aram spear</t>
  </si>
  <si>
    <t>2.10.3 Update
-no changes</t>
  </si>
  <si>
    <t>2.10.3 Update
-added 2 artis</t>
  </si>
  <si>
    <t>ground hero damage</t>
  </si>
  <si>
    <t>2.10 Update
-added searing light/ratio changes</t>
  </si>
  <si>
    <t>2.10 Update
-added 3 artis/ratios changes</t>
  </si>
  <si>
    <t>bug with dshift</t>
  </si>
  <si>
    <t>Bugs</t>
  </si>
  <si>
    <t>Updated ratios/scripts in preperation for 2.9.5, Have to wait til patch hits to update Skill tree values
All done!</t>
  </si>
  <si>
    <t>Updated ratios in preperation for 2.9.5</t>
  </si>
  <si>
    <t>Fixed load/save a bit.. was messed up</t>
  </si>
  <si>
    <t>Added Load/Save Features and a MyBuilds sheet for them to be saved/viewed at MyBuilds Sheet. Delete rows if you want to remove that build. SEEMS to be working okay.</t>
  </si>
  <si>
    <t>gjalarhorn*</t>
  </si>
  <si>
    <t>Added %lifetime options on the bottom</t>
  </si>
  <si>
    <t>Fixed some ratios (tldr more HM for hs/sc/pet)</t>
  </si>
  <si>
    <t>Added functionality to Auto Max right side of arti page: Enter any negative number if it is unowned (to fix common bos% problem)
Added ME to yell at you (if you turn on hints). (debugging window, will spit out errors or observations)</t>
  </si>
  <si>
    <t>Added Splash skip into skill names when &gt; rank 1 to help know how high you need
Resorted options up top to flow better</t>
  </si>
  <si>
    <t>Added % lifetime relics visible when ANY arti passes 10% lifetime (error catching help hopefully)</t>
  </si>
  <si>
    <t>non-boss damage</t>
  </si>
  <si>
    <t>flying hero damage</t>
  </si>
  <si>
    <t>perk gold</t>
  </si>
  <si>
    <t>Hand of Midas gold</t>
  </si>
  <si>
    <t>fairy multi-spawn chance</t>
  </si>
  <si>
    <t>chest gold x10 chance</t>
  </si>
  <si>
    <t>all probability boost</t>
  </si>
  <si>
    <t>Portar spawn chance</t>
  </si>
  <si>
    <t>Crit Damage</t>
  </si>
  <si>
    <t>All Damage</t>
  </si>
  <si>
    <t>TI Changes</t>
  </si>
  <si>
    <t>HomEffA</t>
  </si>
  <si>
    <t>HomEffect B</t>
  </si>
  <si>
    <t>0.0023 to 0.0025</t>
  </si>
  <si>
    <t>.</t>
  </si>
  <si>
    <t>0.0042 to 0.0047</t>
  </si>
  <si>
    <t>1.3 to 1.45</t>
  </si>
  <si>
    <t>0.0062 to 0.0076</t>
  </si>
  <si>
    <t>4.73 to 4.79</t>
  </si>
  <si>
    <t>1.4 to 1.75</t>
  </si>
  <si>
    <t>0.0088 to 0.0105</t>
  </si>
  <si>
    <t>8.52 to 8.78</t>
  </si>
  <si>
    <t>1.57 to 2.22</t>
  </si>
  <si>
    <t>0.0114 to 0.0134</t>
  </si>
  <si>
    <t>15.4 to 16.1</t>
  </si>
  <si>
    <t>1.76 to 2.8</t>
  </si>
  <si>
    <t>0.014 to 0.017</t>
  </si>
  <si>
    <t>27.7 to 29.5</t>
  </si>
  <si>
    <t>1.97 to 3.54</t>
  </si>
  <si>
    <t>0.0172 to 0.0212</t>
  </si>
  <si>
    <t>55.3 to 60.2</t>
  </si>
  <si>
    <t>2.28 to 4.69</t>
  </si>
  <si>
    <t>0.0209 to 0.0254</t>
  </si>
  <si>
    <t>122 to 136</t>
  </si>
  <si>
    <t>2.74 to 6.5</t>
  </si>
  <si>
    <t>0.0247 to 0.0302</t>
  </si>
  <si>
    <t>270 to 309</t>
  </si>
  <si>
    <t>3.28 to 8.99</t>
  </si>
  <si>
    <t>0.029 to 0.0358</t>
  </si>
  <si>
    <t>659 to 776</t>
  </si>
  <si>
    <t>4.07 to 13</t>
  </si>
  <si>
    <t>0.0339 to 0.042</t>
  </si>
  <si>
    <t>1770 to 2150</t>
  </si>
  <si>
    <t>5.21 to 19.7</t>
  </si>
  <si>
    <t>0.0393 to 0.0488</t>
  </si>
  <si>
    <t>5230 to 6590</t>
  </si>
  <si>
    <t>6.88 to 31.1</t>
  </si>
  <si>
    <t>0.0453 to 0.0568</t>
  </si>
  <si>
    <t>16900 to 22200</t>
  </si>
  <si>
    <t>9.36 to 51.4</t>
  </si>
  <si>
    <t>0.0523 to 0.0655</t>
  </si>
  <si>
    <t>65800 to 90200</t>
  </si>
  <si>
    <t>13.5 to 92.5</t>
  </si>
  <si>
    <t>0.0599 to 0.0754</t>
  </si>
  <si>
    <t>279000 to 402000</t>
  </si>
  <si>
    <t>19.9 to 174</t>
  </si>
  <si>
    <t>0.0686 to 0.0866</t>
  </si>
  <si>
    <t>1410000 to 2140000</t>
  </si>
  <si>
    <t>31.1 to 356</t>
  </si>
  <si>
    <t>0.0783 to 0.0995</t>
  </si>
  <si>
    <t>8420000 to 13500000</t>
  </si>
  <si>
    <t>51 to 793</t>
  </si>
  <si>
    <t>0.0895 to 0.1143</t>
  </si>
  <si>
    <t>64400000 to 110000000</t>
  </si>
  <si>
    <t>89.8 to 2000</t>
  </si>
  <si>
    <t>0.1023 to 0.1309</t>
  </si>
  <si>
    <t>625000000 to 1140000000</t>
  </si>
  <si>
    <t>169 to 5760</t>
  </si>
  <si>
    <t>0.1166 to 0.1494</t>
  </si>
  <si>
    <t>7650000000 to 15000000000</t>
  </si>
  <si>
    <t>338 to 18700</t>
  </si>
  <si>
    <t>0.1326 to 0.1709</t>
  </si>
  <si>
    <t>118000000000 to 249000000000</t>
  </si>
  <si>
    <t>716 to 69300</t>
  </si>
  <si>
    <t>0.151 to 0.1955</t>
  </si>
  <si>
    <t>2620000000000 to 6020000000000</t>
  </si>
  <si>
    <t>1660 to 317000</t>
  </si>
  <si>
    <t>0.1721 to 0.2235</t>
  </si>
  <si>
    <t>83600000000000 to 210000000000000</t>
  </si>
  <si>
    <t>4190 to 1790000</t>
  </si>
  <si>
    <t>0.1959 to 0.256</t>
  </si>
  <si>
    <t>3810000000000000 to 10500000000000000</t>
  </si>
  <si>
    <t>11400 to 12500000</t>
  </si>
  <si>
    <t>0.2234 to 0.2933</t>
  </si>
  <si>
    <t>282000000000000000 to 864000000000000000</t>
  </si>
  <si>
    <t>34200 to 119000000</t>
  </si>
  <si>
    <t>LS Tool</t>
  </si>
  <si>
    <t>Inputs</t>
  </si>
  <si>
    <t>Lightning Strike Level</t>
  </si>
  <si>
    <t>All Probability(Eg. 1.055):</t>
  </si>
  <si>
    <t>Lucky Foot owned?</t>
  </si>
  <si>
    <t>Owned</t>
  </si>
  <si>
    <t xml:space="preserve"> Necro Set Completed?</t>
  </si>
  <si>
    <t>Not Completed</t>
  </si>
  <si>
    <t>Attempts/Sec</t>
  </si>
  <si>
    <t>Seconds willing to wait per kill</t>
  </si>
  <si>
    <t>(1-20 suggested)</t>
  </si>
  <si>
    <t>LS Proc Chance</t>
  </si>
  <si>
    <t>LS Hits</t>
  </si>
  <si>
    <t>Level</t>
  </si>
  <si>
    <t>cumm</t>
  </si>
  <si>
    <t>Manni Mana Level</t>
  </si>
  <si>
    <t>AmbushA</t>
  </si>
  <si>
    <t>AmbushB</t>
  </si>
  <si>
    <t>Ambush Level</t>
  </si>
  <si>
    <t>Manni % Enchancement</t>
  </si>
  <si>
    <t>Manni Arti owned?</t>
  </si>
  <si>
    <t>Multispawn%:</t>
  </si>
  <si>
    <t>AvgMana/NonBossEncounter</t>
  </si>
  <si>
    <t>Cumm AvgMana/SP spent</t>
  </si>
  <si>
    <t>cumm eff</t>
  </si>
  <si>
    <t>next Level Eff</t>
  </si>
  <si>
    <t>v TOP LEFT OF ARRIFACT CSV GOES HERE</t>
  </si>
  <si>
    <t>Ignore?</t>
  </si>
  <si>
    <t>BonusType</t>
  </si>
  <si>
    <t>EffectPerLevel</t>
  </si>
  <si>
    <t>GrowthMax</t>
  </si>
  <si>
    <t>GrowthRate</t>
  </si>
  <si>
    <t>GrowthExpo</t>
  </si>
  <si>
    <t>DamageBonus</t>
  </si>
  <si>
    <t>CostCoef</t>
  </si>
  <si>
    <t>CostExpo</t>
  </si>
  <si>
    <t>ArtifactID</t>
  </si>
  <si>
    <t>IgnoreBox or Type</t>
  </si>
  <si>
    <t>level &lt; 1</t>
  </si>
  <si>
    <t>Ignore AND</t>
  </si>
  <si>
    <t>SplashGold</t>
  </si>
  <si>
    <t>Active Ratio</t>
  </si>
  <si>
    <t>Row Containing</t>
  </si>
  <si>
    <t>Artifact Name</t>
  </si>
  <si>
    <t>Max Level</t>
  </si>
  <si>
    <t>Switch Equation</t>
  </si>
  <si>
    <t>Total Effect</t>
  </si>
  <si>
    <t>Ignored?</t>
  </si>
  <si>
    <t>Chosen Theme:</t>
  </si>
  <si>
    <t>Total Damage Multi</t>
  </si>
  <si>
    <t>ignore</t>
  </si>
  <si>
    <t>E218</t>
  </si>
  <si>
    <t>Row 1</t>
  </si>
  <si>
    <t>Themes:</t>
  </si>
  <si>
    <t>Hs ingore</t>
  </si>
  <si>
    <t>E219</t>
  </si>
  <si>
    <t>Dark</t>
  </si>
  <si>
    <t>E220</t>
  </si>
  <si>
    <t>Light</t>
  </si>
  <si>
    <t>E221</t>
  </si>
  <si>
    <t>Coder</t>
  </si>
  <si>
    <t>E222</t>
  </si>
  <si>
    <t>Contrast</t>
  </si>
  <si>
    <t>E223</t>
  </si>
  <si>
    <t>Top15</t>
  </si>
  <si>
    <t>E224</t>
  </si>
  <si>
    <t>Top15,10,5,1</t>
  </si>
  <si>
    <t>E225</t>
  </si>
  <si>
    <t>Top1,2,3,4,5</t>
  </si>
  <si>
    <t>E226</t>
  </si>
  <si>
    <t>xSplashGold</t>
  </si>
  <si>
    <t>E227</t>
  </si>
  <si>
    <t>Row 2</t>
  </si>
  <si>
    <t>Standard</t>
  </si>
  <si>
    <t>E228</t>
  </si>
  <si>
    <t>E229</t>
  </si>
  <si>
    <t>E230</t>
  </si>
  <si>
    <t>E231</t>
  </si>
  <si>
    <t>E232</t>
  </si>
  <si>
    <t>E233</t>
  </si>
  <si>
    <t>E234</t>
  </si>
  <si>
    <t>E235</t>
  </si>
  <si>
    <t>E236</t>
  </si>
  <si>
    <t>Row 3</t>
  </si>
  <si>
    <t>E237</t>
  </si>
  <si>
    <t>E238</t>
  </si>
  <si>
    <t>E239</t>
  </si>
  <si>
    <t>E240</t>
  </si>
  <si>
    <t>E241</t>
  </si>
  <si>
    <t>E242</t>
  </si>
  <si>
    <t>E243</t>
  </si>
  <si>
    <t>E244</t>
  </si>
  <si>
    <t>E245</t>
  </si>
  <si>
    <t>Row 4</t>
  </si>
  <si>
    <t>E246</t>
  </si>
  <si>
    <t>E247</t>
  </si>
  <si>
    <t>E248</t>
  </si>
  <si>
    <t>E249</t>
  </si>
  <si>
    <t>E250</t>
  </si>
  <si>
    <t>Row 5</t>
  </si>
  <si>
    <t>E251</t>
  </si>
  <si>
    <t>E252</t>
  </si>
  <si>
    <t>E253</t>
  </si>
  <si>
    <t>E254</t>
  </si>
  <si>
    <t>E255</t>
  </si>
  <si>
    <t>E256</t>
  </si>
  <si>
    <t>E257</t>
  </si>
  <si>
    <t>E258</t>
  </si>
  <si>
    <t>E259</t>
  </si>
  <si>
    <t>Row 6</t>
  </si>
  <si>
    <t>E260</t>
  </si>
  <si>
    <t>E261</t>
  </si>
  <si>
    <t>E262</t>
  </si>
  <si>
    <t>E263</t>
  </si>
  <si>
    <t>E264</t>
  </si>
  <si>
    <t>E265</t>
  </si>
  <si>
    <t>E266</t>
  </si>
  <si>
    <t>E267</t>
  </si>
  <si>
    <t>E268</t>
  </si>
  <si>
    <t>Row 7</t>
  </si>
  <si>
    <t>E269</t>
  </si>
  <si>
    <t>E270</t>
  </si>
  <si>
    <t>E271</t>
  </si>
  <si>
    <t>E272</t>
  </si>
  <si>
    <t>E273</t>
  </si>
  <si>
    <t>E274</t>
  </si>
  <si>
    <t>E275</t>
  </si>
  <si>
    <t>E276</t>
  </si>
  <si>
    <t>E277</t>
  </si>
  <si>
    <t>Row 8</t>
  </si>
  <si>
    <t>E278</t>
  </si>
  <si>
    <t>E279</t>
  </si>
  <si>
    <t>E280</t>
  </si>
  <si>
    <t>E281</t>
  </si>
  <si>
    <t>E282</t>
  </si>
  <si>
    <t>E283</t>
  </si>
  <si>
    <t>E284</t>
  </si>
  <si>
    <t>E285</t>
  </si>
  <si>
    <t>E286</t>
  </si>
  <si>
    <t>E287</t>
  </si>
  <si>
    <t>E288</t>
  </si>
  <si>
    <t>E289</t>
  </si>
  <si>
    <t>E290</t>
  </si>
</sst>
</file>

<file path=xl/styles.xml><?xml version="1.0" encoding="utf-8"?>
<styleSheet xmlns="http://schemas.openxmlformats.org/spreadsheetml/2006/main" xmlns:x14ac="http://schemas.microsoft.com/office/spreadsheetml/2009/9/ac" xmlns:mc="http://schemas.openxmlformats.org/markup-compatibility/2006">
  <numFmts count="11">
    <numFmt numFmtId="164" formatCode="#,##0.0000"/>
    <numFmt numFmtId="165" formatCode="#,##0.0000000"/>
    <numFmt numFmtId="166" formatCode="0.0%"/>
    <numFmt numFmtId="167" formatCode="#,##0.00000"/>
    <numFmt numFmtId="168" formatCode="0.0000"/>
    <numFmt numFmtId="169" formatCode="0.0000000000000"/>
    <numFmt numFmtId="170" formatCode="#,##0.000000"/>
    <numFmt numFmtId="171" formatCode="m/d/yy"/>
    <numFmt numFmtId="172" formatCode="0.00000000E+00"/>
    <numFmt numFmtId="173" formatCode="#,##0.000000000000"/>
    <numFmt numFmtId="174" formatCode="#,##0.0"/>
  </numFmts>
  <fonts count="87">
    <font>
      <sz val="11.0"/>
      <color rgb="FF000000"/>
      <name val="Calibri"/>
    </font>
    <font/>
    <font>
      <sz val="16.0"/>
      <color rgb="FF00FF00"/>
      <name val="Permanent Marker"/>
    </font>
    <font>
      <sz val="11.0"/>
      <name val="Calibri"/>
    </font>
    <font>
      <b/>
      <sz val="12.0"/>
    </font>
    <font>
      <b/>
    </font>
    <font>
      <b/>
      <sz val="9.0"/>
    </font>
    <font>
      <b/>
      <sz val="14.0"/>
    </font>
    <font>
      <b/>
      <sz val="10.0"/>
    </font>
    <font>
      <b/>
      <sz val="15.0"/>
    </font>
    <font>
      <b/>
      <sz val="11.0"/>
      <color rgb="FF00FF00"/>
    </font>
    <font>
      <b/>
      <sz val="18.0"/>
      <color rgb="FF00FF00"/>
    </font>
    <font>
      <sz val="6.0"/>
      <color rgb="FF00FF00"/>
    </font>
    <font>
      <b/>
      <sz val="8.0"/>
      <color rgb="FF00FF00"/>
    </font>
    <font>
      <sz val="10.0"/>
    </font>
    <font>
      <color rgb="FF00FF00"/>
    </font>
    <font>
      <sz val="6.0"/>
    </font>
    <font>
      <b/>
      <color rgb="FF000000"/>
    </font>
    <font>
      <b/>
      <color rgb="FF00FF00"/>
    </font>
    <font>
      <color rgb="FFFFFFFF"/>
    </font>
    <font>
      <sz val="12.0"/>
    </font>
    <font>
      <b/>
      <sz val="11.0"/>
    </font>
    <font>
      <b/>
      <sz val="12.0"/>
      <color rgb="FF000000"/>
    </font>
    <font>
      <sz val="11.0"/>
      <color rgb="FF000000"/>
      <name val="Inconsolata"/>
    </font>
    <font>
      <b/>
      <color rgb="FF00FFFF"/>
    </font>
    <font>
      <sz val="12.0"/>
      <color rgb="FF3A3A3A"/>
      <name val="Helvetica Neue"/>
    </font>
    <font>
      <b/>
      <sz val="11.0"/>
      <color rgb="FF000000"/>
      <name val="Calibri"/>
    </font>
    <font>
      <b/>
      <name val="Calibri"/>
    </font>
    <font>
      <u/>
      <color rgb="FF00FF00"/>
    </font>
    <font>
      <color rgb="FF000000"/>
    </font>
    <font>
      <sz val="11.0"/>
      <color rgb="FFFF0000"/>
    </font>
    <font>
      <u/>
      <sz val="8.0"/>
      <color rgb="FF00FFFF"/>
    </font>
    <font>
      <b/>
      <sz val="9.0"/>
      <color rgb="FFFF0000"/>
    </font>
    <font>
      <u/>
      <sz val="11.0"/>
      <color rgb="FFFFFFFF"/>
      <name val="Comfortaa"/>
    </font>
    <font>
      <sz val="9.0"/>
      <color rgb="FF000000"/>
    </font>
    <font>
      <b/>
      <sz val="11.0"/>
      <name val="Calibri"/>
    </font>
    <font>
      <b/>
      <name val="Franklin Gothic"/>
    </font>
    <font>
      <b/>
      <sz val="11.0"/>
      <color rgb="FF000000"/>
      <name val="Franklin Gothic"/>
    </font>
    <font>
      <sz val="10.0"/>
      <color rgb="FF00FF00"/>
    </font>
    <font>
      <b/>
      <color rgb="FFFFFFFF"/>
    </font>
    <font>
      <b/>
      <sz val="12.0"/>
      <color rgb="FF00FF00"/>
    </font>
    <font>
      <u/>
      <sz val="11.0"/>
      <color rgb="FFFFFFFF"/>
      <name val="Comfortaa"/>
    </font>
    <font>
      <sz val="6.0"/>
      <color rgb="FF000000"/>
    </font>
    <font>
      <u/>
      <sz val="11.0"/>
      <color rgb="FF000000"/>
      <name val="Comfortaa"/>
    </font>
    <font>
      <color rgb="FF000000"/>
      <name val="Arial"/>
    </font>
    <font>
      <sz val="9.0"/>
      <color rgb="FF00FF00"/>
    </font>
    <font>
      <sz val="9.0"/>
    </font>
    <font>
      <u/>
      <color rgb="FF1155CC"/>
      <name val="Arial"/>
    </font>
    <font>
      <sz val="11.0"/>
      <color rgb="FF000000"/>
      <name val="Docs-Calibri"/>
    </font>
    <font>
      <u/>
      <color rgb="FF1155CC"/>
      <name val="Arial"/>
    </font>
    <font>
      <sz val="18.0"/>
      <color rgb="FFFFFF00"/>
      <name val="Franklin Gothic"/>
    </font>
    <font>
      <b/>
      <color rgb="FFFFFF00"/>
    </font>
    <font>
      <b/>
      <color rgb="FFFFFF00"/>
      <name val="Franklin Gothic"/>
    </font>
    <font>
      <b/>
      <sz val="10.0"/>
      <color rgb="FFFFFF00"/>
      <name val="Franklin Gothic"/>
    </font>
    <font>
      <sz val="8.0"/>
      <color rgb="FFFFFF00"/>
    </font>
    <font>
      <b/>
      <sz val="18.0"/>
      <color rgb="FF000000"/>
    </font>
    <font>
      <b/>
      <sz val="10.0"/>
      <color rgb="FF000000"/>
    </font>
    <font>
      <color rgb="FFFF0000"/>
    </font>
    <font>
      <b/>
      <color rgb="FF00FF00"/>
      <name val="Calibri"/>
    </font>
    <font>
      <b/>
      <color rgb="FF00FF00"/>
      <name val="Franklin Gothic"/>
    </font>
    <font>
      <b/>
      <sz val="9.0"/>
      <color rgb="FF000000"/>
    </font>
    <font>
      <sz val="7.0"/>
      <color rgb="FFFF0000"/>
    </font>
    <font>
      <sz val="11.0"/>
      <color rgb="FFFFFF00"/>
      <name val="Franklin Gothic"/>
    </font>
    <font>
      <color rgb="FF000000"/>
      <name val="Franklin Gothic"/>
    </font>
    <font>
      <sz val="9.0"/>
      <color rgb="FFFFFF00"/>
      <name val="Franklin Gothic"/>
    </font>
    <font>
      <b/>
      <sz val="11.0"/>
      <color rgb="FFEFEFEF"/>
      <name val="Franklin Gothic"/>
    </font>
    <font>
      <b/>
      <sz val="11.0"/>
      <color rgb="FFFFFFFF"/>
      <name val="Franklin Gothic"/>
    </font>
    <font>
      <sz val="11.0"/>
      <color rgb="FFFFFF00"/>
      <name val="Calibri"/>
    </font>
    <font>
      <b/>
      <sz val="14.0"/>
      <color rgb="FFFF00FF"/>
      <name val="Franklin Gothic"/>
    </font>
    <font>
      <b/>
      <sz val="11.0"/>
      <color rgb="FFFFFF00"/>
      <name val="Franklin Gothic"/>
    </font>
    <font>
      <b/>
      <sz val="11.0"/>
      <name val="Franklin Gothic"/>
    </font>
    <font>
      <b/>
      <sz val="11.0"/>
      <color rgb="FF666666"/>
      <name val="Franklin Gothic"/>
    </font>
    <font>
      <sz val="8.0"/>
    </font>
    <font>
      <b/>
      <sz val="18.0"/>
      <color rgb="FFFFFFFF"/>
    </font>
    <font>
      <color rgb="FFFFFF00"/>
    </font>
    <font>
      <sz val="24.0"/>
      <color rgb="FFFF9900"/>
      <name val="Permanent Marker"/>
    </font>
    <font>
      <b/>
      <sz val="9.0"/>
      <name val="Franklin Gothic"/>
    </font>
    <font>
      <b/>
      <sz val="10.0"/>
      <color rgb="FFFF9900"/>
    </font>
    <font>
      <sz val="10.0"/>
      <color rgb="FF999999"/>
      <name val="Franklin Gothic"/>
    </font>
    <font>
      <sz val="10.0"/>
      <color rgb="FFFF9900"/>
    </font>
    <font>
      <b/>
      <color rgb="FFFF9900"/>
      <name val="Franklin Gothic"/>
    </font>
    <font>
      <b/>
      <u/>
      <sz val="8.0"/>
      <color rgb="FF0000FF"/>
    </font>
    <font>
      <b/>
      <sz val="18.0"/>
    </font>
    <font>
      <b/>
      <color rgb="FF3266D5"/>
      <name val="Inconsolata"/>
    </font>
    <font>
      <b/>
      <sz val="24.0"/>
      <name val="Franklin Gothic"/>
    </font>
    <font>
      <sz val="11.0"/>
      <name val="Franklin Gothic"/>
    </font>
    <font>
      <sz val="12.0"/>
      <color rgb="FF3A3A3A"/>
      <name val="&quot;Helvetica Neue&quot;"/>
    </font>
  </fonts>
  <fills count="49">
    <fill>
      <patternFill patternType="none"/>
    </fill>
    <fill>
      <patternFill patternType="lightGray"/>
    </fill>
    <fill>
      <patternFill patternType="solid">
        <fgColor rgb="FF000000"/>
        <bgColor rgb="FF000000"/>
      </patternFill>
    </fill>
    <fill>
      <patternFill patternType="solid">
        <fgColor rgb="FFC27BA0"/>
        <bgColor rgb="FFC27BA0"/>
      </patternFill>
    </fill>
    <fill>
      <patternFill patternType="solid">
        <fgColor rgb="FF00FF00"/>
        <bgColor rgb="FF00FF00"/>
      </patternFill>
    </fill>
    <fill>
      <patternFill patternType="solid">
        <fgColor rgb="FF6AA84F"/>
        <bgColor rgb="FF6AA84F"/>
      </patternFill>
    </fill>
    <fill>
      <patternFill patternType="solid">
        <fgColor rgb="FFFFFFFF"/>
        <bgColor rgb="FFFFFFFF"/>
      </patternFill>
    </fill>
    <fill>
      <patternFill patternType="solid">
        <fgColor rgb="FFFFEF9C"/>
        <bgColor rgb="FFFFEF9C"/>
      </patternFill>
    </fill>
    <fill>
      <patternFill patternType="solid">
        <fgColor rgb="FFE06666"/>
        <bgColor rgb="FFE06666"/>
      </patternFill>
    </fill>
    <fill>
      <patternFill patternType="solid">
        <fgColor rgb="FFEA9999"/>
        <bgColor rgb="FFEA9999"/>
      </patternFill>
    </fill>
    <fill>
      <patternFill patternType="solid">
        <fgColor rgb="FFFFD966"/>
        <bgColor rgb="FFFFD966"/>
      </patternFill>
    </fill>
    <fill>
      <patternFill patternType="solid">
        <fgColor rgb="FFFFE599"/>
        <bgColor rgb="FFFFE599"/>
      </patternFill>
    </fill>
    <fill>
      <patternFill patternType="solid">
        <fgColor rgb="FF00FFFF"/>
        <bgColor rgb="FF00FFFF"/>
      </patternFill>
    </fill>
    <fill>
      <patternFill patternType="solid">
        <fgColor rgb="FF93C47D"/>
        <bgColor rgb="FF93C47D"/>
      </patternFill>
    </fill>
    <fill>
      <patternFill patternType="solid">
        <fgColor rgb="FFCC4125"/>
        <bgColor rgb="FFCC4125"/>
      </patternFill>
    </fill>
    <fill>
      <patternFill patternType="solid">
        <fgColor rgb="FFFAFAFA"/>
        <bgColor rgb="FFFAFAFA"/>
      </patternFill>
    </fill>
    <fill>
      <patternFill patternType="solid">
        <fgColor rgb="FF6D9EEB"/>
        <bgColor rgb="FF6D9EEB"/>
      </patternFill>
    </fill>
    <fill>
      <patternFill patternType="solid">
        <fgColor rgb="FF9FC5E8"/>
        <bgColor rgb="FF9FC5E8"/>
      </patternFill>
    </fill>
    <fill>
      <patternFill patternType="solid">
        <fgColor rgb="FFB6D7A8"/>
        <bgColor rgb="FFB6D7A8"/>
      </patternFill>
    </fill>
    <fill>
      <patternFill patternType="solid">
        <fgColor rgb="FFFF00FF"/>
        <bgColor rgb="FFFF00FF"/>
      </patternFill>
    </fill>
    <fill>
      <patternFill patternType="solid">
        <fgColor rgb="FFF9CB9C"/>
        <bgColor rgb="FFF9CB9C"/>
      </patternFill>
    </fill>
    <fill>
      <patternFill patternType="solid">
        <fgColor rgb="FF6FA8DC"/>
        <bgColor rgb="FF6FA8DC"/>
      </patternFill>
    </fill>
    <fill>
      <patternFill patternType="solid">
        <fgColor rgb="FFA64D79"/>
        <bgColor rgb="FFA64D79"/>
      </patternFill>
    </fill>
    <fill>
      <patternFill patternType="solid">
        <fgColor rgb="FF38761D"/>
        <bgColor rgb="FF38761D"/>
      </patternFill>
    </fill>
    <fill>
      <patternFill patternType="solid">
        <fgColor rgb="FF4A86E8"/>
        <bgColor rgb="FF4A86E8"/>
      </patternFill>
    </fill>
    <fill>
      <patternFill patternType="solid">
        <fgColor rgb="FFD9EAD3"/>
        <bgColor rgb="FFD9EAD3"/>
      </patternFill>
    </fill>
    <fill>
      <patternFill patternType="solid">
        <fgColor rgb="FFB45F06"/>
        <bgColor rgb="FFB45F06"/>
      </patternFill>
    </fill>
    <fill>
      <patternFill patternType="solid">
        <fgColor rgb="FF999999"/>
        <bgColor rgb="FF999999"/>
      </patternFill>
    </fill>
    <fill>
      <patternFill patternType="solid">
        <fgColor rgb="FFE69138"/>
        <bgColor rgb="FFE69138"/>
      </patternFill>
    </fill>
    <fill>
      <patternFill patternType="solid">
        <fgColor rgb="FFFF0000"/>
        <bgColor rgb="FFFF0000"/>
      </patternFill>
    </fill>
    <fill>
      <patternFill patternType="solid">
        <fgColor rgb="FFFF9900"/>
        <bgColor rgb="FFFF9900"/>
      </patternFill>
    </fill>
    <fill>
      <patternFill patternType="solid">
        <fgColor rgb="FFCFE2F3"/>
        <bgColor rgb="FFCFE2F3"/>
      </patternFill>
    </fill>
    <fill>
      <patternFill patternType="solid">
        <fgColor rgb="FFF6B26B"/>
        <bgColor rgb="FFF6B26B"/>
      </patternFill>
    </fill>
    <fill>
      <patternFill patternType="solid">
        <fgColor rgb="FFCC0000"/>
        <bgColor rgb="FFCC0000"/>
      </patternFill>
    </fill>
    <fill>
      <patternFill patternType="solid">
        <fgColor rgb="FF3D85C6"/>
        <bgColor rgb="FF3D85C6"/>
      </patternFill>
    </fill>
    <fill>
      <patternFill patternType="solid">
        <fgColor rgb="FFFFFF00"/>
        <bgColor rgb="FFFFFF00"/>
      </patternFill>
    </fill>
    <fill>
      <patternFill patternType="solid">
        <fgColor rgb="FFA4C2F4"/>
        <bgColor rgb="FFA4C2F4"/>
      </patternFill>
    </fill>
    <fill>
      <patternFill patternType="solid">
        <fgColor rgb="FFFFF2CC"/>
        <bgColor rgb="FFFFF2CC"/>
      </patternFill>
    </fill>
    <fill>
      <patternFill patternType="solid">
        <fgColor rgb="FFFCE5CD"/>
        <bgColor rgb="FFFCE5CD"/>
      </patternFill>
    </fill>
    <fill>
      <patternFill patternType="solid">
        <fgColor rgb="FFD5A6BD"/>
        <bgColor rgb="FFD5A6BD"/>
      </patternFill>
    </fill>
    <fill>
      <patternFill patternType="solid">
        <fgColor rgb="FFEAD1DC"/>
        <bgColor rgb="FFEAD1DC"/>
      </patternFill>
    </fill>
    <fill>
      <patternFill patternType="solid">
        <fgColor rgb="FF008B00"/>
        <bgColor rgb="FF008B00"/>
      </patternFill>
    </fill>
    <fill>
      <patternFill patternType="solid">
        <fgColor rgb="FF006800"/>
        <bgColor rgb="FF006800"/>
      </patternFill>
    </fill>
    <fill>
      <patternFill patternType="solid">
        <fgColor rgb="FFB9B900"/>
        <bgColor rgb="FFB9B900"/>
      </patternFill>
    </fill>
    <fill>
      <patternFill patternType="solid">
        <fgColor rgb="FFB4A7D6"/>
        <bgColor rgb="FFB4A7D6"/>
      </patternFill>
    </fill>
    <fill>
      <patternFill patternType="solid">
        <fgColor rgb="FF3C78D8"/>
        <bgColor rgb="FF3C78D8"/>
      </patternFill>
    </fill>
    <fill>
      <patternFill patternType="solid">
        <fgColor rgb="FF134F5C"/>
        <bgColor rgb="FF134F5C"/>
      </patternFill>
    </fill>
    <fill>
      <patternFill patternType="solid">
        <fgColor rgb="FF274E13"/>
        <bgColor rgb="FF274E13"/>
      </patternFill>
    </fill>
    <fill>
      <patternFill patternType="solid">
        <fgColor rgb="FFBF9000"/>
        <bgColor rgb="FFBF9000"/>
      </patternFill>
    </fill>
  </fills>
  <borders count="156">
    <border/>
    <border>
      <left style="thick">
        <color rgb="FF000000"/>
      </left>
      <top style="thick">
        <color rgb="FF000000"/>
      </top>
    </border>
    <border>
      <top style="thick">
        <color rgb="FF000000"/>
      </top>
    </border>
    <border>
      <right style="thick">
        <color rgb="FF000000"/>
      </right>
      <top style="thick">
        <color rgb="FF000000"/>
      </top>
    </border>
    <border>
      <left style="double">
        <color rgb="FF00FF00"/>
      </left>
      <top style="double">
        <color rgb="FF00FF00"/>
      </top>
      <bottom style="double">
        <color rgb="FF00FF00"/>
      </bottom>
    </border>
    <border>
      <top style="double">
        <color rgb="FF00FF00"/>
      </top>
      <bottom style="double">
        <color rgb="FF00FF00"/>
      </bottom>
    </border>
    <border>
      <left style="thick">
        <color rgb="FF000000"/>
      </left>
      <top style="thick">
        <color rgb="FF000000"/>
      </top>
      <bottom style="thin">
        <color rgb="FF000000"/>
      </bottom>
    </border>
    <border>
      <right style="double">
        <color rgb="FF00FF00"/>
      </right>
      <top style="double">
        <color rgb="FF00FF00"/>
      </top>
      <bottom style="double">
        <color rgb="FF00FF00"/>
      </bottom>
    </border>
    <border>
      <top style="thick">
        <color rgb="FF000000"/>
      </top>
      <bottom style="thin">
        <color rgb="FF000000"/>
      </bottom>
    </border>
    <border>
      <right style="thin">
        <color rgb="FF000000"/>
      </right>
      <top style="thick">
        <color rgb="FF000000"/>
      </top>
      <bottom style="thin">
        <color rgb="FF000000"/>
      </bottom>
    </border>
    <border>
      <right style="thick">
        <color rgb="FF000000"/>
      </right>
      <top style="thick">
        <color rgb="FF000000"/>
      </top>
      <bottom style="thin">
        <color rgb="FF000000"/>
      </bottom>
    </border>
    <border>
      <left style="double">
        <color rgb="FF00FF00"/>
      </left>
      <bottom style="medium">
        <color rgb="FF00FF00"/>
      </bottom>
    </border>
    <border>
      <left style="thick">
        <color rgb="FF000000"/>
      </left>
    </border>
    <border>
      <bottom style="medium">
        <color rgb="FF00FF00"/>
      </bottom>
    </border>
    <border>
      <right style="medium">
        <color rgb="FF00FF00"/>
      </right>
      <bottom style="medium">
        <color rgb="FF00FF00"/>
      </bottom>
    </border>
    <border>
      <right style="thick">
        <color rgb="FF000000"/>
      </right>
    </border>
    <border>
      <left style="thick">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right style="double">
        <color rgb="FF00FF00"/>
      </right>
    </border>
    <border>
      <right style="thick">
        <color rgb="FF000000"/>
      </right>
      <top style="thin">
        <color rgb="FF000000"/>
      </top>
      <bottom style="thin">
        <color rgb="FF000000"/>
      </bottom>
    </border>
    <border>
      <left style="double">
        <color rgb="FF00FF00"/>
      </left>
    </border>
    <border>
      <left style="medium">
        <color rgb="FF00FF00"/>
      </left>
      <right style="medium">
        <color rgb="FF00FF00"/>
      </right>
      <top style="medium">
        <color rgb="FF00FF00"/>
      </top>
      <bottom style="thin">
        <color rgb="FF00FF00"/>
      </bottom>
    </border>
    <border>
      <bottom style="dotted">
        <color rgb="FF212121"/>
      </bottom>
    </border>
    <border>
      <top style="thin">
        <color rgb="FF1B1B1B"/>
      </top>
      <bottom style="dotted">
        <color rgb="FF212121"/>
      </bottom>
    </border>
    <border>
      <left style="thin">
        <color rgb="FFFF0000"/>
      </left>
      <top style="thin">
        <color rgb="FFFF0000"/>
      </top>
      <bottom style="thin">
        <color rgb="FFFF0000"/>
      </bottom>
    </border>
    <border>
      <top style="thin">
        <color rgb="FFFF0000"/>
      </top>
      <bottom style="thin">
        <color rgb="FFFF0000"/>
      </bottom>
    </border>
    <border>
      <right style="thin">
        <color rgb="FFFF0000"/>
      </right>
      <top style="thin">
        <color rgb="FFFF0000"/>
      </top>
      <bottom style="thin">
        <color rgb="FFFF0000"/>
      </bottom>
    </border>
    <border>
      <right style="thin">
        <color rgb="FF000000"/>
      </right>
      <top style="thin">
        <color rgb="FF000000"/>
      </top>
    </border>
    <border>
      <left style="thick">
        <color rgb="FF000000"/>
      </left>
      <top style="thin">
        <color rgb="FF000000"/>
      </top>
    </border>
    <border>
      <top style="thin">
        <color rgb="FF000000"/>
      </top>
    </border>
    <border>
      <left style="thick">
        <color rgb="FF000000"/>
      </left>
      <bottom style="thick">
        <color rgb="FF000000"/>
      </bottom>
    </border>
    <border>
      <bottom style="thick">
        <color rgb="FF000000"/>
      </bottom>
    </border>
    <border>
      <left style="thick">
        <color rgb="FF000000"/>
      </left>
      <top style="thin">
        <color rgb="FF000000"/>
      </top>
      <bottom style="thick">
        <color rgb="FF000000"/>
      </bottom>
    </border>
    <border>
      <top style="thin">
        <color rgb="FF000000"/>
      </top>
      <bottom style="thick">
        <color rgb="FF000000"/>
      </bottom>
    </border>
    <border>
      <right style="thick">
        <color rgb="FF000000"/>
      </right>
      <bottom style="thick">
        <color rgb="FF000000"/>
      </bottom>
    </border>
    <border>
      <right style="thin">
        <color rgb="FF000000"/>
      </right>
      <bottom style="thick">
        <color rgb="FF000000"/>
      </bottom>
    </border>
    <border>
      <left style="thin">
        <color rgb="FF000000"/>
      </left>
      <right style="thin">
        <color rgb="FF000000"/>
      </right>
      <top style="thick">
        <color rgb="FF000000"/>
      </top>
    </border>
    <border>
      <left style="thick">
        <color rgb="FF000000"/>
      </left>
      <top style="thick">
        <color rgb="FF000000"/>
      </top>
      <bottom style="thick">
        <color rgb="FF000000"/>
      </bottom>
    </border>
    <border>
      <top style="thick">
        <color rgb="FF000000"/>
      </top>
      <bottom style="thick">
        <color rgb="FF000000"/>
      </bottom>
    </border>
    <border>
      <bottom style="thin">
        <color rgb="FF000000"/>
      </bottom>
    </border>
    <border>
      <left style="thin">
        <color rgb="FF000000"/>
      </left>
      <right style="thin">
        <color rgb="FF000000"/>
      </right>
    </border>
    <border>
      <left style="medium">
        <color rgb="FF00FF00"/>
      </left>
      <right style="medium">
        <color rgb="FF00FF00"/>
      </right>
      <top style="thin">
        <color rgb="FF00FF00"/>
      </top>
      <bottom style="thin">
        <color rgb="FF00FF00"/>
      </bottom>
    </border>
    <border>
      <left style="thin">
        <color rgb="FF000000"/>
      </left>
      <top style="thick">
        <color rgb="FF000000"/>
      </top>
      <bottom style="thin">
        <color rgb="FF000000"/>
      </bottom>
    </border>
    <border>
      <top style="dotted">
        <color rgb="FF212121"/>
      </top>
      <bottom style="dotted">
        <color rgb="FF212121"/>
      </bottom>
    </border>
    <border>
      <left style="thin">
        <color rgb="FF000000"/>
      </left>
      <bottom style="thin">
        <color rgb="FF000000"/>
      </bottom>
    </border>
    <border>
      <right style="thick">
        <color rgb="FF000000"/>
      </right>
      <bottom style="thin">
        <color rgb="FF000000"/>
      </bottom>
    </border>
    <border>
      <left style="medium">
        <color rgb="FF00FF00"/>
      </left>
      <top style="medium">
        <color rgb="FF00FF00"/>
      </top>
      <bottom style="thin">
        <color rgb="FF00FF00"/>
      </bottom>
    </border>
    <border>
      <right style="medium">
        <color rgb="FF00FF00"/>
      </right>
      <top style="medium">
        <color rgb="FF00FF00"/>
      </top>
      <bottom style="thin">
        <color rgb="FF00FF00"/>
      </bottom>
    </border>
    <border>
      <left style="thick">
        <color rgb="FF00FFFF"/>
      </left>
      <top style="thick">
        <color rgb="FF00FFFF"/>
      </top>
    </border>
    <border>
      <top style="thick">
        <color rgb="FF00FFFF"/>
      </top>
    </border>
    <border>
      <right style="thick">
        <color rgb="FF00FFFF"/>
      </right>
      <top style="thick">
        <color rgb="FF00FFFF"/>
      </top>
    </border>
    <border>
      <right style="thin">
        <color rgb="FF000000"/>
      </right>
    </border>
    <border>
      <left style="thick">
        <color rgb="FF00FFFF"/>
      </left>
    </border>
    <border>
      <right style="thick">
        <color rgb="FF00FFFF"/>
      </right>
    </border>
    <border>
      <left style="medium">
        <color rgb="FF00FF00"/>
      </left>
      <top style="thin">
        <color rgb="FF00FF00"/>
      </top>
      <bottom style="thin">
        <color rgb="FF00FF00"/>
      </bottom>
    </border>
    <border>
      <right style="medium">
        <color rgb="FF00FF00"/>
      </right>
      <top style="thin">
        <color rgb="FF00FF00"/>
      </top>
      <bottom style="thin">
        <color rgb="FF00FF00"/>
      </bottom>
    </border>
    <border>
      <right style="thick">
        <color rgb="FF000000"/>
      </right>
      <top style="thin">
        <color rgb="FF000000"/>
      </top>
    </border>
    <border>
      <left style="thin">
        <color rgb="FFFFFF00"/>
      </left>
      <top style="thin">
        <color rgb="FFFFFF00"/>
      </top>
      <bottom style="thin">
        <color rgb="FFFFFF00"/>
      </bottom>
    </border>
    <border>
      <right style="thin">
        <color rgb="FFFFFF00"/>
      </right>
      <top style="thin">
        <color rgb="FFFFFF00"/>
      </top>
      <bottom style="thin">
        <color rgb="FFFFFF00"/>
      </bottom>
    </border>
    <border>
      <left style="medium">
        <color rgb="FF00FFFF"/>
      </left>
      <top style="medium">
        <color rgb="FF00FFFF"/>
      </top>
      <bottom style="medium">
        <color rgb="FF00FFFF"/>
      </bottom>
    </border>
    <border>
      <right style="medium">
        <color rgb="FF00FFFF"/>
      </right>
      <top style="medium">
        <color rgb="FF00FFFF"/>
      </top>
      <bottom style="medium">
        <color rgb="FF00FFFF"/>
      </bottom>
    </border>
    <border>
      <right style="thick">
        <color rgb="FF000000"/>
      </right>
      <top style="thin">
        <color rgb="FF000000"/>
      </top>
      <bottom style="thick">
        <color rgb="FF000000"/>
      </bottom>
    </border>
    <border>
      <right style="thin">
        <color rgb="FFFFFF00"/>
      </right>
      <bottom style="thin">
        <color rgb="FFFFFF00"/>
      </bottom>
    </border>
    <border>
      <left style="medium">
        <color rgb="FF00FF00"/>
      </left>
      <top style="thin">
        <color rgb="FF00FF00"/>
      </top>
      <bottom style="medium">
        <color rgb="FF00FF00"/>
      </bottom>
    </border>
    <border>
      <right style="medium">
        <color rgb="FF00FF00"/>
      </right>
      <top style="thin">
        <color rgb="FF00FF00"/>
      </top>
      <bottom style="medium">
        <color rgb="FF00FF00"/>
      </bottom>
    </border>
    <border>
      <left style="thick">
        <color rgb="FF00FFFF"/>
      </left>
      <bottom style="thick">
        <color rgb="FF00FFFF"/>
      </bottom>
    </border>
    <border>
      <bottom style="thick">
        <color rgb="FF00FFFF"/>
      </bottom>
    </border>
    <border>
      <right style="thick">
        <color rgb="FF00FFFF"/>
      </right>
      <bottom style="thick">
        <color rgb="FF00FFFF"/>
      </bottom>
    </border>
    <border>
      <left style="thick">
        <color rgb="FF000000"/>
      </left>
      <top style="thick">
        <color rgb="FF000000"/>
      </top>
      <bottom style="medium">
        <color rgb="FF000000"/>
      </bottom>
    </border>
    <border>
      <top style="thick">
        <color rgb="FF000000"/>
      </top>
      <bottom style="medium">
        <color rgb="FF000000"/>
      </bottom>
    </border>
    <border>
      <right style="thick">
        <color rgb="FF000000"/>
      </right>
      <top style="thick">
        <color rgb="FF000000"/>
      </top>
      <bottom style="medium">
        <color rgb="FF000000"/>
      </bottom>
    </border>
    <border>
      <left style="medium">
        <color rgb="FF00FF00"/>
      </left>
      <top style="medium">
        <color rgb="FF00FF00"/>
      </top>
      <bottom style="medium">
        <color rgb="FF00FF00"/>
      </bottom>
    </border>
    <border>
      <top style="medium">
        <color rgb="FF00FF00"/>
      </top>
      <bottom style="medium">
        <color rgb="FF00FF00"/>
      </bottom>
    </border>
    <border>
      <right style="medium">
        <color rgb="FF00FF00"/>
      </right>
      <top style="medium">
        <color rgb="FF00FF00"/>
      </top>
      <bottom style="medium">
        <color rgb="FF00FF00"/>
      </bottom>
    </border>
    <border>
      <left style="thin">
        <color rgb="FF000000"/>
      </left>
      <top style="thick">
        <color rgb="FF000000"/>
      </top>
    </border>
    <border>
      <right style="thin">
        <color rgb="FF000000"/>
      </right>
      <top style="thick">
        <color rgb="FF000000"/>
      </top>
    </border>
    <border>
      <left style="thin">
        <color rgb="FF000000"/>
      </left>
      <bottom style="thick">
        <color rgb="FF000000"/>
      </bottom>
    </border>
    <border>
      <left style="thin">
        <color rgb="FF000000"/>
      </left>
    </border>
    <border>
      <right/>
    </border>
    <border>
      <bottom style="double">
        <color rgb="FFFFFF00"/>
      </bottom>
    </border>
    <border>
      <left style="double">
        <color rgb="FFFFFF00"/>
      </left>
      <top style="double">
        <color rgb="FFFFFF00"/>
      </top>
    </border>
    <border>
      <top style="double">
        <color rgb="FFFFFF00"/>
      </top>
    </border>
    <border>
      <right style="double">
        <color rgb="FFFFFF00"/>
      </right>
    </border>
    <border>
      <left style="double">
        <color rgb="FFFFFF00"/>
      </left>
    </border>
    <border>
      <left style="double">
        <color rgb="FFFFFF00"/>
      </left>
      <right style="double">
        <color rgb="FFFFFF00"/>
      </right>
      <top style="double">
        <color rgb="FFFFFF00"/>
      </top>
      <bottom style="double">
        <color rgb="FFFFFF00"/>
      </bottom>
    </border>
    <border>
      <left style="double">
        <color rgb="FFFFFF00"/>
      </left>
      <right style="thick">
        <color rgb="FFFFFF00"/>
      </right>
      <top style="double">
        <color rgb="FFFFFF00"/>
      </top>
      <bottom style="double">
        <color rgb="FFFFFF00"/>
      </bottom>
    </border>
    <border>
      <right style="thick">
        <color rgb="FFFFFF00"/>
      </right>
      <top style="double">
        <color rgb="FFFFFF00"/>
      </top>
      <bottom style="double">
        <color rgb="FFFFFF00"/>
      </bottom>
    </border>
    <border>
      <right style="double">
        <color rgb="FFFFFF00"/>
      </right>
      <top style="double">
        <color rgb="FFFFFF00"/>
      </top>
      <bottom style="double">
        <color rgb="FFFFFF00"/>
      </bottom>
    </border>
    <border>
      <left style="thick">
        <color rgb="FFFFFF00"/>
      </left>
      <right style="thick">
        <color rgb="FFFFFF00"/>
      </right>
      <top style="thick">
        <color rgb="FFFFFF00"/>
      </top>
    </border>
    <border>
      <top style="thick">
        <color rgb="FFFFFF00"/>
      </top>
    </border>
    <border>
      <right style="thick">
        <color rgb="FFFFFF00"/>
      </right>
      <top style="thick">
        <color rgb="FFFFFF00"/>
      </top>
      <bottom style="medium">
        <color rgb="FFE69138"/>
      </bottom>
    </border>
    <border>
      <left style="double">
        <color rgb="FFFFFF00"/>
      </left>
      <bottom style="thin">
        <color rgb="FF1B1B1B"/>
      </bottom>
    </border>
    <border>
      <left style="thin">
        <color rgb="FF000000"/>
      </left>
      <bottom style="thin">
        <color rgb="FF1B1B1B"/>
      </bottom>
    </border>
    <border>
      <bottom style="thin">
        <color rgb="FF1B1B1B"/>
      </bottom>
    </border>
    <border>
      <left style="thick">
        <color rgb="FFFFFF00"/>
      </left>
      <right style="thick">
        <color rgb="FFFFFF00"/>
      </right>
    </border>
    <border>
      <right style="medium">
        <color rgb="FFE69138"/>
      </right>
    </border>
    <border>
      <right style="thick">
        <color rgb="FFFFFF00"/>
      </right>
    </border>
    <border>
      <left style="thin">
        <color rgb="FF000000"/>
      </left>
      <top style="thin">
        <color rgb="FF1B1B1B"/>
      </top>
      <bottom style="thin">
        <color rgb="FF1B1B1B"/>
      </bottom>
    </border>
    <border>
      <top style="thin">
        <color rgb="FF1B1B1B"/>
      </top>
      <bottom style="thin">
        <color rgb="FF1B1B1B"/>
      </bottom>
    </border>
    <border>
      <right style="thick">
        <color rgb="FFFFFF00"/>
      </right>
      <bottom style="medium">
        <color rgb="FFE69138"/>
      </bottom>
    </border>
    <border>
      <left style="thick">
        <color rgb="FFFFFF00"/>
      </left>
      <right style="thick">
        <color rgb="FFFFFF00"/>
      </right>
      <bottom style="thick">
        <color rgb="FFFFFF00"/>
      </bottom>
    </border>
    <border>
      <left style="thick">
        <color rgb="FFFFFF00"/>
      </left>
    </border>
    <border>
      <left style="thick">
        <color rgb="FFFFFF00"/>
      </left>
      <right style="medium">
        <color rgb="FFFFFF00"/>
      </right>
      <top style="medium">
        <color rgb="FFFFFF00"/>
      </top>
    </border>
    <border>
      <left style="medium">
        <color rgb="FF00FF00"/>
      </left>
      <right style="medium">
        <color rgb="FF00FF00"/>
      </right>
      <top style="thin">
        <color rgb="FF00FF00"/>
      </top>
      <bottom style="medium">
        <color rgb="FF00FF00"/>
      </bottom>
    </border>
    <border>
      <right style="thick">
        <color rgb="FFFFFF00"/>
      </right>
      <top style="medium">
        <color rgb="FFE69138"/>
      </top>
    </border>
    <border>
      <top style="dotted">
        <color rgb="FF212121"/>
      </top>
    </border>
    <border>
      <top style="dotted">
        <color rgb="FF212121"/>
      </top>
      <bottom style="thin">
        <color rgb="FF1B1B1B"/>
      </bottom>
    </border>
    <border>
      <left style="thick">
        <color rgb="FFFFFF00"/>
      </left>
      <right style="medium">
        <color rgb="FFFFFF00"/>
      </right>
      <bottom style="medium">
        <color rgb="FFFFFF00"/>
      </bottom>
    </border>
    <border>
      <left style="thick">
        <color rgb="FFFFFF00"/>
      </left>
      <right style="medium">
        <color rgb="FFFFFF00"/>
      </right>
      <top style="medium">
        <color rgb="FFFFFF00"/>
      </top>
      <bottom style="medium">
        <color rgb="FFFFFF00"/>
      </bottom>
    </border>
    <border>
      <left style="double">
        <color rgb="FF00FF00"/>
      </left>
      <bottom style="double">
        <color rgb="FF00FF00"/>
      </bottom>
    </border>
    <border>
      <bottom style="double">
        <color rgb="FF00FF00"/>
      </bottom>
    </border>
    <border>
      <left style="thick">
        <color rgb="FFFFFF00"/>
      </left>
      <right style="medium">
        <color rgb="FFFFFF00"/>
      </right>
      <top style="medium">
        <color rgb="FFFFFF00"/>
      </top>
      <bottom style="thick">
        <color rgb="FFFFFF00"/>
      </bottom>
    </border>
    <border>
      <right style="medium">
        <color rgb="FFE69138"/>
      </right>
      <bottom style="thick">
        <color rgb="FFFFFF00"/>
      </bottom>
    </border>
    <border>
      <right style="double">
        <color rgb="FF00FF00"/>
      </right>
      <bottom style="double">
        <color rgb="FF00FF00"/>
      </bottom>
    </border>
    <border>
      <right style="thick">
        <color rgb="FFFFFF00"/>
      </right>
      <bottom style="thick">
        <color rgb="FFFFFF00"/>
      </bottom>
    </border>
    <border>
      <left style="thick">
        <color rgb="FF00FF00"/>
      </left>
    </border>
    <border>
      <left style="thick">
        <color rgb="FF00FF00"/>
      </left>
      <top style="medium">
        <color rgb="FF00FF00"/>
      </top>
    </border>
    <border>
      <top style="medium">
        <color rgb="FF00FF00"/>
      </top>
    </border>
    <border>
      <right style="thick">
        <color rgb="FF00FF00"/>
      </right>
      <top style="medium">
        <color rgb="FF00FF00"/>
      </top>
    </border>
    <border>
      <right style="thick">
        <color rgb="FF00FF00"/>
      </right>
    </border>
    <border>
      <left style="thick">
        <color rgb="FF00FF00"/>
      </left>
      <bottom style="thick">
        <color rgb="FF00FF00"/>
      </bottom>
    </border>
    <border>
      <bottom style="thick">
        <color rgb="FF00FF00"/>
      </bottom>
    </border>
    <border>
      <right style="thick">
        <color rgb="FF00FF00"/>
      </right>
      <bottom style="thick">
        <color rgb="FF00FF00"/>
      </bottom>
    </border>
    <border>
      <top style="thin">
        <color rgb="FF1B1B1B"/>
      </top>
    </border>
    <border>
      <left style="thin">
        <color rgb="FF000000"/>
      </left>
      <top style="thin">
        <color rgb="FF1B1B1B"/>
      </top>
    </border>
    <border>
      <right style="double">
        <color rgb="FFFFFF00"/>
      </right>
      <bottom style="double">
        <color rgb="FFFFFF00"/>
      </bottom>
    </border>
    <border>
      <left style="double">
        <color rgb="FFFF9900"/>
      </left>
      <top style="double">
        <color rgb="FFFF9900"/>
      </top>
      <bottom style="double">
        <color rgb="FFFF9900"/>
      </bottom>
    </border>
    <border>
      <top style="double">
        <color rgb="FFFF9900"/>
      </top>
      <bottom style="double">
        <color rgb="FFFF9900"/>
      </bottom>
    </border>
    <border>
      <right style="double">
        <color rgb="FFFF9900"/>
      </right>
      <top style="double">
        <color rgb="FFFF9900"/>
      </top>
      <bottom style="double">
        <color rgb="FFFF9900"/>
      </bottom>
    </border>
    <border>
      <left style="thick">
        <color rgb="FFFF9900"/>
      </left>
      <top style="thick">
        <color rgb="FFFF9900"/>
      </top>
    </border>
    <border>
      <top style="thick">
        <color rgb="FFFF9900"/>
      </top>
    </border>
    <border>
      <right style="thick">
        <color rgb="FFFF9900"/>
      </right>
      <top style="thick">
        <color rgb="FFFF9900"/>
      </top>
    </border>
    <border>
      <left style="thick">
        <color rgb="FFFF9900"/>
      </left>
      <bottom style="thick">
        <color rgb="FFFF9900"/>
      </bottom>
    </border>
    <border>
      <bottom style="thick">
        <color rgb="FFFF9900"/>
      </bottom>
    </border>
    <border>
      <right style="thick">
        <color rgb="FFFF9900"/>
      </right>
      <bottom style="thick">
        <color rgb="FFFF9900"/>
      </bottom>
    </border>
    <border>
      <left style="thick">
        <color rgb="FFFF9900"/>
      </left>
    </border>
    <border>
      <left style="medium">
        <color rgb="FFFF9900"/>
      </left>
    </border>
    <border>
      <right style="thick">
        <color rgb="FFFF9900"/>
      </right>
    </border>
    <border>
      <top style="thin">
        <color rgb="FFFF9900"/>
      </top>
    </border>
    <border>
      <bottom style="thin">
        <color rgb="FFFF9900"/>
      </bottom>
    </border>
    <border>
      <left style="medium">
        <color rgb="FFFF9900"/>
      </left>
      <top style="thick">
        <color rgb="FFFF9900"/>
      </top>
    </border>
    <border>
      <right style="medium">
        <color rgb="FFFF9900"/>
      </right>
      <top style="thick">
        <color rgb="FFFF9900"/>
      </top>
    </border>
    <border>
      <right style="medium">
        <color rgb="FFFF9900"/>
      </right>
    </border>
    <border>
      <left style="medium">
        <color rgb="FFFF9900"/>
      </left>
      <bottom style="medium">
        <color rgb="FFFF9900"/>
      </bottom>
    </border>
    <border>
      <bottom style="medium">
        <color rgb="FFFF9900"/>
      </bottom>
    </border>
    <border>
      <right style="medium">
        <color rgb="FFFF9900"/>
      </right>
      <bottom style="medium">
        <color rgb="FFFF9900"/>
      </bottom>
    </border>
    <border>
      <right style="thick">
        <color rgb="FFFF9900"/>
      </right>
      <bottom style="medium">
        <color rgb="FFFF9900"/>
      </bottom>
    </border>
    <border>
      <left style="medium">
        <color rgb="FFFF9900"/>
      </left>
      <top style="medium">
        <color rgb="FFFF9900"/>
      </top>
      <bottom style="medium">
        <color rgb="FFFF9900"/>
      </bottom>
    </border>
    <border>
      <top style="medium">
        <color rgb="FFFF9900"/>
      </top>
      <bottom style="medium">
        <color rgb="FFFF9900"/>
      </bottom>
    </border>
    <border>
      <right style="thick">
        <color rgb="FFFF9900"/>
      </right>
      <top style="medium">
        <color rgb="FFFF9900"/>
      </top>
      <bottom style="medium">
        <color rgb="FFFF9900"/>
      </bottom>
    </border>
    <border>
      <top style="thin">
        <color rgb="FFFF9900"/>
      </top>
      <bottom style="thin">
        <color rgb="FFFF9900"/>
      </bottom>
    </border>
    <border>
      <right style="thick">
        <color rgb="FF000000"/>
      </right>
      <top style="thick">
        <color rgb="FF000000"/>
      </top>
      <bottom style="thick">
        <color rgb="FF000000"/>
      </bottom>
    </border>
    <border>
      <right style="medium">
        <color rgb="FF000000"/>
      </right>
      <bottom style="thick">
        <color rgb="FF000000"/>
      </bottom>
    </border>
    <border>
      <right style="medium">
        <color rgb="FF000000"/>
      </right>
      <top style="medium">
        <color rgb="FF000000"/>
      </top>
    </border>
    <border>
      <left style="medium">
        <color rgb="FF000000"/>
      </left>
      <right style="medium">
        <color rgb="FF000000"/>
      </right>
      <top style="medium">
        <color rgb="FF000000"/>
      </top>
    </border>
  </borders>
  <cellStyleXfs count="1">
    <xf borderId="0" fillId="0" fontId="0" numFmtId="0" applyAlignment="1" applyFont="1"/>
  </cellStyleXfs>
  <cellXfs count="597">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horizontal="center" vertical="center"/>
    </xf>
    <xf borderId="0" fillId="2" fontId="1" numFmtId="0" xfId="0" applyFont="1"/>
    <xf borderId="0" fillId="3" fontId="0" numFmtId="0" xfId="0" applyAlignment="1" applyFill="1" applyFont="1">
      <alignment vertical="bottom"/>
    </xf>
    <xf borderId="0" fillId="0" fontId="3" numFmtId="0" xfId="0" applyAlignment="1" applyFont="1">
      <alignment vertical="bottom"/>
    </xf>
    <xf borderId="0" fillId="0" fontId="3" numFmtId="164" xfId="0" applyAlignment="1" applyFont="1" applyNumberFormat="1">
      <alignment horizontal="right" vertical="bottom"/>
    </xf>
    <xf borderId="0" fillId="0" fontId="1" numFmtId="165" xfId="0" applyFont="1" applyNumberFormat="1"/>
    <xf borderId="0" fillId="0" fontId="1" numFmtId="11" xfId="0" applyFont="1" applyNumberFormat="1"/>
    <xf borderId="0" fillId="0" fontId="1" numFmtId="11" xfId="0" applyAlignment="1" applyFont="1" applyNumberFormat="1">
      <alignment readingOrder="0"/>
    </xf>
    <xf borderId="1" fillId="0" fontId="4" numFmtId="0" xfId="0" applyAlignment="1" applyBorder="1" applyFont="1">
      <alignment horizontal="center" readingOrder="0" shrinkToFit="0" vertical="center" wrapText="1"/>
    </xf>
    <xf borderId="2" fillId="0" fontId="1" numFmtId="0" xfId="0" applyBorder="1" applyFont="1"/>
    <xf borderId="1" fillId="0" fontId="5" numFmtId="0" xfId="0" applyAlignment="1" applyBorder="1" applyFont="1">
      <alignment horizontal="left" readingOrder="0" vertical="center"/>
    </xf>
    <xf borderId="3" fillId="0" fontId="1" numFmtId="0" xfId="0" applyAlignment="1" applyBorder="1" applyFont="1">
      <alignment horizontal="center" readingOrder="0" vertical="center"/>
    </xf>
    <xf borderId="1" fillId="4" fontId="6" numFmtId="0" xfId="0" applyAlignment="1" applyBorder="1" applyFill="1" applyFont="1">
      <alignment horizontal="center" readingOrder="0" shrinkToFit="0" vertical="center" wrapText="1"/>
    </xf>
    <xf borderId="4" fillId="2" fontId="2" numFmtId="0" xfId="0" applyAlignment="1" applyBorder="1" applyFont="1">
      <alignment horizontal="center" readingOrder="0" vertical="center"/>
    </xf>
    <xf borderId="2" fillId="0" fontId="7" numFmtId="0" xfId="0" applyAlignment="1" applyBorder="1" applyFont="1">
      <alignment horizontal="center" readingOrder="0" shrinkToFit="0" vertical="center" wrapText="1"/>
    </xf>
    <xf borderId="5" fillId="0" fontId="1" numFmtId="0" xfId="0" applyBorder="1" applyFont="1"/>
    <xf borderId="6" fillId="0" fontId="4" numFmtId="0" xfId="0" applyAlignment="1" applyBorder="1" applyFont="1">
      <alignment horizontal="left" readingOrder="0" vertical="center"/>
    </xf>
    <xf borderId="7" fillId="0" fontId="1" numFmtId="0" xfId="0" applyBorder="1" applyFont="1"/>
    <xf borderId="8" fillId="0" fontId="1" numFmtId="0" xfId="0" applyBorder="1" applyFont="1"/>
    <xf borderId="0" fillId="2" fontId="8" numFmtId="0" xfId="0" applyAlignment="1" applyFont="1">
      <alignment readingOrder="0" shrinkToFit="0" vertical="top" wrapText="1"/>
    </xf>
    <xf borderId="8" fillId="4" fontId="5" numFmtId="166" xfId="0" applyAlignment="1" applyBorder="1" applyFont="1" applyNumberFormat="1">
      <alignment horizontal="center" readingOrder="0" vertical="center"/>
    </xf>
    <xf borderId="9" fillId="0" fontId="1" numFmtId="0" xfId="0" applyBorder="1" applyFont="1"/>
    <xf borderId="8" fillId="0" fontId="8" numFmtId="0" xfId="0" applyAlignment="1" applyBorder="1" applyFont="1">
      <alignment horizontal="left" readingOrder="0" vertical="center"/>
    </xf>
    <xf borderId="8" fillId="5" fontId="7" numFmtId="0" xfId="0" applyAlignment="1" applyBorder="1" applyFill="1" applyFont="1">
      <alignment horizontal="center" readingOrder="0" shrinkToFit="0" vertical="center" wrapText="1"/>
    </xf>
    <xf borderId="10" fillId="0" fontId="1" numFmtId="0" xfId="0" applyBorder="1" applyFont="1"/>
    <xf borderId="0" fillId="0" fontId="9" numFmtId="0" xfId="0" applyAlignment="1" applyFont="1">
      <alignment horizontal="right" readingOrder="0" vertical="top"/>
    </xf>
    <xf borderId="0" fillId="0" fontId="1" numFmtId="10" xfId="0" applyAlignment="1" applyFont="1" applyNumberFormat="1">
      <alignment readingOrder="0"/>
    </xf>
    <xf borderId="11" fillId="2" fontId="10" numFmtId="0" xfId="0" applyAlignment="1" applyBorder="1" applyFont="1">
      <alignment horizontal="center" readingOrder="0" vertical="center"/>
    </xf>
    <xf borderId="12" fillId="0" fontId="1" numFmtId="0" xfId="0" applyBorder="1" applyFont="1"/>
    <xf borderId="13" fillId="0" fontId="1" numFmtId="0" xfId="0" applyBorder="1" applyFont="1"/>
    <xf borderId="12" fillId="0" fontId="5" numFmtId="0" xfId="0" applyAlignment="1" applyBorder="1" applyFont="1">
      <alignment horizontal="left" readingOrder="0" vertical="center"/>
    </xf>
    <xf borderId="14" fillId="0" fontId="1" numFmtId="0" xfId="0" applyBorder="1" applyFont="1"/>
    <xf borderId="15" fillId="0" fontId="1" numFmtId="0" xfId="0" applyAlignment="1" applyBorder="1" applyFont="1">
      <alignment horizontal="center" readingOrder="0" vertical="center"/>
    </xf>
    <xf borderId="0" fillId="2" fontId="11" numFmtId="0" xfId="0" applyAlignment="1" applyFont="1">
      <alignment horizontal="center" readingOrder="0"/>
    </xf>
    <xf borderId="16" fillId="0" fontId="4" numFmtId="0" xfId="0" applyAlignment="1" applyBorder="1" applyFont="1">
      <alignment horizontal="left" readingOrder="0" vertical="center"/>
    </xf>
    <xf borderId="0" fillId="2" fontId="12" numFmtId="0" xfId="0" applyAlignment="1" applyFont="1">
      <alignment horizontal="right" shrinkToFit="0" vertical="center" wrapText="0"/>
    </xf>
    <xf borderId="17" fillId="0" fontId="1" numFmtId="0" xfId="0" applyBorder="1" applyFont="1"/>
    <xf borderId="0" fillId="2" fontId="13" numFmtId="0" xfId="0" applyAlignment="1" applyFont="1">
      <alignment horizontal="center" readingOrder="0" vertical="center"/>
    </xf>
    <xf borderId="17" fillId="4" fontId="5" numFmtId="9" xfId="0" applyAlignment="1" applyBorder="1" applyFont="1" applyNumberFormat="1">
      <alignment horizontal="center" readingOrder="0" vertical="center"/>
    </xf>
    <xf borderId="0" fillId="2" fontId="14" numFmtId="0" xfId="0" applyAlignment="1" applyFont="1">
      <alignment readingOrder="0"/>
    </xf>
    <xf borderId="18" fillId="0" fontId="1" numFmtId="0" xfId="0" applyBorder="1" applyFont="1"/>
    <xf borderId="0" fillId="2" fontId="15" numFmtId="0" xfId="0" applyFont="1"/>
    <xf borderId="17" fillId="6" fontId="8" numFmtId="0" xfId="0" applyAlignment="1" applyBorder="1" applyFill="1" applyFont="1">
      <alignment horizontal="left" readingOrder="0" shrinkToFit="0" vertical="center" wrapText="1"/>
    </xf>
    <xf borderId="0" fillId="2" fontId="15" numFmtId="0" xfId="0" applyAlignment="1" applyFont="1">
      <alignment readingOrder="0"/>
    </xf>
    <xf borderId="17" fillId="5" fontId="7" numFmtId="0" xfId="0" applyAlignment="1" applyBorder="1" applyFont="1">
      <alignment horizontal="center" readingOrder="0" shrinkToFit="0" vertical="center" wrapText="1"/>
    </xf>
    <xf borderId="19" fillId="0" fontId="1" numFmtId="0" xfId="0" applyBorder="1" applyFont="1"/>
    <xf borderId="20" fillId="0" fontId="1" numFmtId="0" xfId="0" applyBorder="1" applyFont="1"/>
    <xf borderId="0" fillId="0" fontId="1" numFmtId="0" xfId="0" applyAlignment="1" applyFont="1">
      <alignment horizontal="left" readingOrder="0" shrinkToFit="0" vertical="top" wrapText="1"/>
    </xf>
    <xf borderId="0" fillId="0" fontId="16" numFmtId="0" xfId="0" applyAlignment="1" applyFont="1">
      <alignment horizontal="right" readingOrder="0" vertical="top"/>
    </xf>
    <xf borderId="21" fillId="2" fontId="17" numFmtId="0" xfId="0" applyAlignment="1" applyBorder="1" applyFont="1">
      <alignment horizontal="center" vertical="center"/>
    </xf>
    <xf borderId="22" fillId="2" fontId="18" numFmtId="0" xfId="0" applyAlignment="1" applyBorder="1" applyFont="1">
      <alignment readingOrder="0"/>
    </xf>
    <xf borderId="0" fillId="0" fontId="7" numFmtId="0" xfId="0" applyAlignment="1" applyFont="1">
      <alignment horizontal="right" readingOrder="0" vertical="top"/>
    </xf>
    <xf borderId="0" fillId="2" fontId="18" numFmtId="0" xfId="0" applyFont="1"/>
    <xf borderId="0" fillId="0" fontId="7" numFmtId="0" xfId="0" applyAlignment="1" applyFont="1">
      <alignment horizontal="center" readingOrder="0" shrinkToFit="0" vertical="center" wrapText="1"/>
    </xf>
    <xf borderId="23" fillId="2" fontId="18" numFmtId="0" xfId="0" applyBorder="1" applyFont="1"/>
    <xf borderId="0" fillId="0" fontId="6" numFmtId="0" xfId="0" applyAlignment="1" applyFont="1">
      <alignment horizontal="right" readingOrder="0" shrinkToFit="0" vertical="top" wrapText="0"/>
    </xf>
    <xf borderId="17" fillId="4" fontId="5" numFmtId="0" xfId="0" applyAlignment="1" applyBorder="1" applyFont="1">
      <alignment horizontal="center" readingOrder="0" vertical="center"/>
    </xf>
    <xf borderId="24" fillId="2" fontId="18" numFmtId="0" xfId="0" applyAlignment="1" applyBorder="1" applyFont="1">
      <alignment horizontal="right" vertical="center"/>
    </xf>
    <xf borderId="0" fillId="0" fontId="5" numFmtId="0" xfId="0" applyAlignment="1" applyFont="1">
      <alignment readingOrder="0"/>
    </xf>
    <xf borderId="0" fillId="2" fontId="1" numFmtId="0" xfId="0" applyAlignment="1" applyFont="1">
      <alignment readingOrder="0"/>
    </xf>
    <xf borderId="17" fillId="4" fontId="7" numFmtId="0" xfId="0" applyAlignment="1" applyBorder="1" applyFont="1">
      <alignment horizontal="center" readingOrder="0" shrinkToFit="0" vertical="center" wrapText="1"/>
    </xf>
    <xf borderId="0" fillId="6" fontId="0" numFmtId="0" xfId="0" applyAlignment="1" applyFont="1">
      <alignment horizontal="left" readingOrder="0"/>
    </xf>
    <xf borderId="0" fillId="0" fontId="5" numFmtId="0" xfId="0" applyAlignment="1" applyFont="1">
      <alignment horizontal="left" readingOrder="0"/>
    </xf>
    <xf borderId="25" fillId="0" fontId="1" numFmtId="0" xfId="0" applyAlignment="1" applyBorder="1" applyFont="1">
      <alignment horizontal="center" readingOrder="0" vertical="center"/>
    </xf>
    <xf borderId="26" fillId="0" fontId="1" numFmtId="0" xfId="0" applyBorder="1" applyFont="1"/>
    <xf borderId="27" fillId="0" fontId="1" numFmtId="0" xfId="0" applyBorder="1" applyFont="1"/>
    <xf borderId="28" fillId="0" fontId="3" numFmtId="0" xfId="0" applyAlignment="1" applyBorder="1" applyFont="1">
      <alignment vertical="bottom"/>
    </xf>
    <xf borderId="12" fillId="0" fontId="5" numFmtId="0" xfId="0" applyAlignment="1" applyBorder="1" applyFont="1">
      <alignment horizontal="left" readingOrder="0" shrinkToFit="0" vertical="center" wrapText="1"/>
    </xf>
    <xf borderId="0" fillId="0" fontId="1" numFmtId="4" xfId="0" applyFont="1" applyNumberFormat="1"/>
    <xf borderId="15" fillId="0" fontId="1" numFmtId="0" xfId="0" applyAlignment="1" applyBorder="1" applyFont="1">
      <alignment horizontal="center" readingOrder="0" shrinkToFit="0" vertical="center" wrapText="1"/>
    </xf>
    <xf borderId="29" fillId="0" fontId="4" numFmtId="0" xfId="0" applyAlignment="1" applyBorder="1" applyFont="1">
      <alignment horizontal="left" readingOrder="0" vertical="center"/>
    </xf>
    <xf borderId="30" fillId="0" fontId="1" numFmtId="0" xfId="0" applyBorder="1" applyFont="1"/>
    <xf borderId="30" fillId="5" fontId="7" numFmtId="0" xfId="0" applyAlignment="1" applyBorder="1" applyFont="1">
      <alignment horizontal="center" readingOrder="0" shrinkToFit="0" vertical="center" wrapText="1"/>
    </xf>
    <xf borderId="28" fillId="0" fontId="1" numFmtId="0" xfId="0" applyBorder="1" applyFont="1"/>
    <xf borderId="0" fillId="6" fontId="1" numFmtId="0" xfId="0" applyFont="1"/>
    <xf borderId="0" fillId="6" fontId="7" numFmtId="0" xfId="0" applyAlignment="1" applyFont="1">
      <alignment horizontal="center" readingOrder="0" shrinkToFit="0" vertical="center" wrapText="1"/>
    </xf>
    <xf borderId="0" fillId="0" fontId="19" numFmtId="0" xfId="0" applyAlignment="1" applyFont="1">
      <alignment horizontal="right" readingOrder="0"/>
    </xf>
    <xf borderId="25" fillId="0" fontId="20" numFmtId="0" xfId="0" applyAlignment="1" applyBorder="1" applyFont="1">
      <alignment horizontal="right" readingOrder="0" shrinkToFit="0" vertical="center" wrapText="1"/>
    </xf>
    <xf borderId="31" fillId="0" fontId="1" numFmtId="0" xfId="0" applyBorder="1" applyFont="1"/>
    <xf borderId="32" fillId="0" fontId="1" numFmtId="0" xfId="0" applyBorder="1" applyFont="1"/>
    <xf borderId="33" fillId="2" fontId="18" numFmtId="0" xfId="0" applyAlignment="1" applyBorder="1" applyFont="1">
      <alignment horizontal="left" readingOrder="0" shrinkToFit="0" vertical="center" wrapText="1"/>
    </xf>
    <xf borderId="34" fillId="0" fontId="1" numFmtId="0" xfId="0" applyBorder="1" applyFont="1"/>
    <xf borderId="0" fillId="0" fontId="0" numFmtId="0" xfId="0" applyAlignment="1" applyFont="1">
      <alignment shrinkToFit="0" wrapText="0"/>
    </xf>
    <xf borderId="35" fillId="4" fontId="5" numFmtId="0" xfId="0" applyAlignment="1" applyBorder="1" applyFont="1">
      <alignment horizontal="center" readingOrder="0" shrinkToFit="0" vertical="center" wrapText="1"/>
    </xf>
    <xf borderId="36" fillId="0" fontId="1" numFmtId="0" xfId="0" applyBorder="1" applyFont="1"/>
    <xf borderId="32" fillId="6" fontId="7" numFmtId="0" xfId="0" applyAlignment="1" applyBorder="1" applyFont="1">
      <alignment horizontal="center" readingOrder="0" shrinkToFit="0" vertical="center" wrapText="1"/>
    </xf>
    <xf borderId="0" fillId="4" fontId="21" numFmtId="0" xfId="0" applyAlignment="1" applyFont="1">
      <alignment horizontal="center" readingOrder="0" shrinkToFit="0" vertical="center" wrapText="1"/>
    </xf>
    <xf borderId="37" fillId="3" fontId="21" numFmtId="0" xfId="0" applyAlignment="1" applyBorder="1" applyFont="1">
      <alignment horizontal="center" readingOrder="0" shrinkToFit="0" vertical="center" wrapText="1"/>
    </xf>
    <xf borderId="2" fillId="3" fontId="6" numFmtId="0" xfId="0" applyAlignment="1" applyBorder="1" applyFont="1">
      <alignment horizontal="center" readingOrder="0" shrinkToFit="0" vertical="center" wrapText="1"/>
    </xf>
    <xf borderId="38" fillId="0" fontId="21" numFmtId="0" xfId="0" applyAlignment="1" applyBorder="1" applyFont="1">
      <alignment readingOrder="0" vertical="center"/>
    </xf>
    <xf borderId="39" fillId="0" fontId="21" numFmtId="0" xfId="0" applyAlignment="1" applyBorder="1" applyFont="1">
      <alignment readingOrder="0" vertical="center"/>
    </xf>
    <xf borderId="0" fillId="0" fontId="1" numFmtId="10" xfId="0" applyFont="1" applyNumberFormat="1"/>
    <xf borderId="39" fillId="7" fontId="21" numFmtId="49" xfId="0" applyAlignment="1" applyBorder="1" applyFill="1" applyFont="1" applyNumberFormat="1">
      <alignment horizontal="center" vertical="center"/>
    </xf>
    <xf borderId="39" fillId="0" fontId="1" numFmtId="0" xfId="0" applyBorder="1" applyFont="1"/>
    <xf borderId="31" fillId="0" fontId="21" numFmtId="0" xfId="0" applyAlignment="1" applyBorder="1" applyFont="1">
      <alignment readingOrder="0" vertical="center"/>
    </xf>
    <xf borderId="32" fillId="4" fontId="21" numFmtId="0" xfId="0" applyAlignment="1" applyBorder="1" applyFont="1">
      <alignment horizontal="center" readingOrder="0" vertical="center"/>
    </xf>
    <xf borderId="35" fillId="0" fontId="1" numFmtId="0" xfId="0" applyBorder="1" applyFont="1"/>
    <xf borderId="40" fillId="0" fontId="1" numFmtId="0" xfId="0" applyBorder="1" applyFont="1"/>
    <xf borderId="41" fillId="0" fontId="1" numFmtId="0" xfId="0" applyBorder="1" applyFont="1"/>
    <xf borderId="1" fillId="8" fontId="7" numFmtId="0" xfId="0" applyAlignment="1" applyBorder="1" applyFill="1" applyFont="1">
      <alignment horizontal="center" readingOrder="0" vertical="center"/>
    </xf>
    <xf borderId="42" fillId="2" fontId="18" numFmtId="0" xfId="0" applyAlignment="1" applyBorder="1" applyFont="1">
      <alignment readingOrder="0"/>
    </xf>
    <xf borderId="43" fillId="9" fontId="4" numFmtId="49" xfId="0" applyAlignment="1" applyBorder="1" applyFill="1" applyFont="1" applyNumberFormat="1">
      <alignment horizontal="center" readingOrder="0" vertical="center"/>
    </xf>
    <xf borderId="44" fillId="2" fontId="18" numFmtId="0" xfId="0" applyBorder="1" applyFont="1"/>
    <xf borderId="12" fillId="10" fontId="7" numFmtId="0" xfId="0" applyAlignment="1" applyBorder="1" applyFill="1" applyFont="1">
      <alignment horizontal="center" readingOrder="0" vertical="center"/>
    </xf>
    <xf borderId="44" fillId="2" fontId="18" numFmtId="0" xfId="0" applyAlignment="1" applyBorder="1" applyFont="1">
      <alignment horizontal="right" vertical="center"/>
    </xf>
    <xf borderId="45" fillId="11" fontId="4" numFmtId="49" xfId="0" applyAlignment="1" applyBorder="1" applyFill="1" applyFont="1" applyNumberFormat="1">
      <alignment horizontal="center" readingOrder="0" vertical="center"/>
    </xf>
    <xf borderId="0" fillId="2" fontId="15" numFmtId="0" xfId="0" applyAlignment="1" applyFont="1">
      <alignment horizontal="right" shrinkToFit="0" wrapText="0"/>
    </xf>
    <xf borderId="46" fillId="0" fontId="1" numFmtId="0" xfId="0" applyBorder="1" applyFont="1"/>
    <xf borderId="0" fillId="0" fontId="1" numFmtId="0" xfId="0" applyFont="1"/>
    <xf borderId="47" fillId="2" fontId="22" numFmtId="0" xfId="0" applyAlignment="1" applyBorder="1" applyFont="1">
      <alignment horizontal="center" readingOrder="0" vertical="center"/>
    </xf>
    <xf borderId="48" fillId="0" fontId="1" numFmtId="0" xfId="0" applyBorder="1" applyFont="1"/>
    <xf borderId="49" fillId="12" fontId="7" numFmtId="0" xfId="0" applyAlignment="1" applyBorder="1" applyFill="1" applyFont="1">
      <alignment horizontal="center" readingOrder="0" vertical="center"/>
    </xf>
    <xf borderId="50" fillId="0" fontId="1" numFmtId="0" xfId="0" applyBorder="1" applyFont="1"/>
    <xf borderId="51" fillId="0" fontId="1" numFmtId="0" xfId="0" applyBorder="1" applyFont="1"/>
    <xf borderId="0" fillId="13" fontId="0" numFmtId="0" xfId="0" applyAlignment="1" applyFill="1" applyFont="1">
      <alignment vertical="bottom"/>
    </xf>
    <xf borderId="0" fillId="6" fontId="5" numFmtId="0" xfId="0" applyAlignment="1" applyFont="1">
      <alignment readingOrder="0"/>
    </xf>
    <xf borderId="52" fillId="0" fontId="3" numFmtId="0" xfId="0" applyAlignment="1" applyBorder="1" applyFont="1">
      <alignment vertical="bottom"/>
    </xf>
    <xf borderId="0" fillId="0" fontId="1" numFmtId="164" xfId="0" applyAlignment="1" applyFont="1" applyNumberFormat="1">
      <alignment horizontal="center" vertical="center"/>
    </xf>
    <xf borderId="0" fillId="6" fontId="23" numFmtId="0" xfId="0" applyAlignment="1" applyFont="1">
      <alignment horizontal="left"/>
    </xf>
    <xf borderId="0" fillId="0" fontId="1" numFmtId="49" xfId="0" applyAlignment="1" applyFont="1" applyNumberFormat="1">
      <alignment horizontal="center" vertical="center"/>
    </xf>
    <xf borderId="0" fillId="8" fontId="7" numFmtId="0" xfId="0" applyAlignment="1" applyFont="1">
      <alignment horizontal="center" readingOrder="0" vertical="center"/>
    </xf>
    <xf borderId="0" fillId="10" fontId="7" numFmtId="0" xfId="0" applyAlignment="1" applyFont="1">
      <alignment horizontal="center" readingOrder="0" vertical="center"/>
    </xf>
    <xf borderId="15" fillId="0" fontId="1" numFmtId="0" xfId="0" applyBorder="1" applyFont="1"/>
    <xf borderId="53" fillId="2" fontId="24" numFmtId="0" xfId="0" applyAlignment="1" applyBorder="1" applyFont="1">
      <alignment horizontal="left" readingOrder="0" shrinkToFit="0" vertical="center" wrapText="0"/>
    </xf>
    <xf borderId="0" fillId="0" fontId="5" numFmtId="0" xfId="0" applyAlignment="1" applyFont="1">
      <alignment horizontal="center" vertical="center"/>
    </xf>
    <xf borderId="0" fillId="14" fontId="3" numFmtId="0" xfId="0" applyAlignment="1" applyFill="1" applyFont="1">
      <alignment vertical="bottom"/>
    </xf>
    <xf borderId="0" fillId="0" fontId="3" numFmtId="4" xfId="0" applyAlignment="1" applyFont="1" applyNumberFormat="1">
      <alignment horizontal="right" vertical="bottom"/>
    </xf>
    <xf borderId="0" fillId="2" fontId="24" numFmtId="0" xfId="0" applyAlignment="1" applyFont="1">
      <alignment horizontal="right" shrinkToFit="0" vertical="center" wrapText="0"/>
    </xf>
    <xf borderId="54" fillId="0" fontId="1" numFmtId="0" xfId="0" applyBorder="1" applyFont="1"/>
    <xf borderId="0" fillId="15" fontId="25" numFmtId="11" xfId="0" applyAlignment="1" applyFill="1" applyFont="1" applyNumberFormat="1">
      <alignment horizontal="center"/>
    </xf>
    <xf borderId="0" fillId="0" fontId="17" numFmtId="0" xfId="0" applyAlignment="1" applyFont="1">
      <alignment horizontal="center" shrinkToFit="0" vertical="center" wrapText="0"/>
    </xf>
    <xf borderId="0" fillId="15" fontId="25" numFmtId="0" xfId="0" applyAlignment="1" applyFont="1">
      <alignment horizontal="center"/>
    </xf>
    <xf borderId="0" fillId="0" fontId="17" numFmtId="0" xfId="0" applyAlignment="1" applyFont="1">
      <alignment horizontal="center" readingOrder="0" shrinkToFit="0" vertical="center" wrapText="0"/>
    </xf>
    <xf borderId="1" fillId="0" fontId="17" numFmtId="164" xfId="0" applyAlignment="1" applyBorder="1" applyFont="1" applyNumberFormat="1">
      <alignment horizontal="center" readingOrder="0" shrinkToFit="0" vertical="center" wrapText="0"/>
    </xf>
    <xf borderId="3" fillId="0" fontId="17" numFmtId="0" xfId="0" applyAlignment="1" applyBorder="1" applyFont="1">
      <alignment horizontal="center" readingOrder="0" shrinkToFit="0" vertical="center" wrapText="0"/>
    </xf>
    <xf borderId="44" fillId="2" fontId="18" numFmtId="0" xfId="0" applyAlignment="1" applyBorder="1" applyFont="1">
      <alignment horizontal="right" readingOrder="0" vertical="center"/>
    </xf>
    <xf borderId="53" fillId="0" fontId="5" numFmtId="0" xfId="0" applyAlignment="1" applyBorder="1" applyFont="1">
      <alignment horizontal="center" vertical="center"/>
    </xf>
    <xf borderId="55" fillId="2" fontId="18" numFmtId="0" xfId="0" applyAlignment="1" applyBorder="1" applyFont="1">
      <alignment horizontal="center" readingOrder="0"/>
    </xf>
    <xf borderId="0" fillId="2" fontId="24" numFmtId="0" xfId="0" applyAlignment="1" applyFont="1">
      <alignment horizontal="center" vertical="center"/>
    </xf>
    <xf borderId="56" fillId="0" fontId="1" numFmtId="0" xfId="0" applyBorder="1" applyFont="1"/>
    <xf borderId="0" fillId="0" fontId="17" numFmtId="0" xfId="0" applyAlignment="1" applyFont="1">
      <alignment horizontal="right" readingOrder="0" shrinkToFit="0" vertical="center" wrapText="0"/>
    </xf>
    <xf borderId="29" fillId="8" fontId="26" numFmtId="0" xfId="0" applyAlignment="1" applyBorder="1" applyFont="1">
      <alignment horizontal="center" readingOrder="0" shrinkToFit="0" vertical="center" wrapText="0"/>
    </xf>
    <xf borderId="57" fillId="0" fontId="1" numFmtId="0" xfId="0" applyBorder="1" applyFont="1"/>
    <xf quotePrefix="1" borderId="0" fillId="0" fontId="17" numFmtId="0" xfId="0" applyAlignment="1" applyFont="1">
      <alignment horizontal="left" readingOrder="0" shrinkToFit="0" vertical="center" wrapText="0"/>
    </xf>
    <xf borderId="29" fillId="10" fontId="26" numFmtId="0" xfId="0" applyAlignment="1" applyBorder="1" applyFont="1">
      <alignment horizontal="center" readingOrder="0" shrinkToFit="0" vertical="center" wrapText="0"/>
    </xf>
    <xf borderId="0" fillId="0" fontId="17" numFmtId="0" xfId="0" applyAlignment="1" applyFont="1">
      <alignment horizontal="left" readingOrder="0" shrinkToFit="0" vertical="center" wrapText="0"/>
    </xf>
    <xf borderId="58" fillId="2" fontId="1" numFmtId="0" xfId="0" applyAlignment="1" applyBorder="1" applyFont="1">
      <alignment horizontal="right"/>
    </xf>
    <xf borderId="0" fillId="10" fontId="3" numFmtId="0" xfId="0" applyAlignment="1" applyFont="1">
      <alignment vertical="bottom"/>
    </xf>
    <xf borderId="59" fillId="8" fontId="5" numFmtId="0" xfId="0" applyAlignment="1" applyBorder="1" applyFont="1">
      <alignment horizontal="center" vertical="center"/>
    </xf>
    <xf borderId="0" fillId="0" fontId="3" numFmtId="4" xfId="0" applyAlignment="1" applyFont="1" applyNumberFormat="1">
      <alignment horizontal="right" readingOrder="0" vertical="bottom"/>
    </xf>
    <xf borderId="60" fillId="9" fontId="5" numFmtId="49" xfId="0" applyAlignment="1" applyBorder="1" applyFont="1" applyNumberFormat="1">
      <alignment horizontal="center" vertical="center"/>
    </xf>
    <xf borderId="61" fillId="0" fontId="1" numFmtId="0" xfId="0" applyBorder="1" applyFont="1"/>
    <xf borderId="0" fillId="9" fontId="5" numFmtId="0" xfId="0" applyAlignment="1" applyFont="1">
      <alignment horizontal="center" vertical="center"/>
    </xf>
    <xf borderId="59" fillId="10" fontId="5" numFmtId="0" xfId="0" applyAlignment="1" applyBorder="1" applyFont="1">
      <alignment horizontal="center" vertical="center"/>
    </xf>
    <xf borderId="0" fillId="2" fontId="15" numFmtId="0" xfId="0" applyAlignment="1" applyFont="1">
      <alignment horizontal="right"/>
    </xf>
    <xf borderId="60" fillId="11" fontId="5" numFmtId="49" xfId="0" applyAlignment="1" applyBorder="1" applyFont="1" applyNumberFormat="1">
      <alignment horizontal="center" vertical="center"/>
    </xf>
    <xf borderId="55" fillId="2" fontId="18" numFmtId="0" xfId="0" applyAlignment="1" applyBorder="1" applyFont="1">
      <alignment horizontal="center"/>
    </xf>
    <xf borderId="19" fillId="2" fontId="1" numFmtId="0" xfId="0" applyBorder="1" applyFont="1"/>
    <xf borderId="33" fillId="0" fontId="27" numFmtId="167" xfId="0" applyAlignment="1" applyBorder="1" applyFont="1" applyNumberFormat="1">
      <alignment horizontal="center"/>
    </xf>
    <xf borderId="62" fillId="0" fontId="1" numFmtId="0" xfId="0" applyBorder="1" applyFont="1"/>
    <xf borderId="33" fillId="6" fontId="26" numFmtId="167" xfId="0" applyAlignment="1" applyBorder="1" applyFont="1" applyNumberFormat="1">
      <alignment horizontal="center"/>
    </xf>
    <xf borderId="63" fillId="8" fontId="5" numFmtId="0" xfId="0" applyAlignment="1" applyBorder="1" applyFont="1">
      <alignment horizontal="center" readingOrder="0" vertical="center"/>
    </xf>
    <xf borderId="63" fillId="10" fontId="5" numFmtId="0" xfId="0" applyAlignment="1" applyBorder="1" applyFont="1">
      <alignment horizontal="center" vertical="center"/>
    </xf>
    <xf borderId="0" fillId="3" fontId="3" numFmtId="0" xfId="0" applyAlignment="1" applyFont="1">
      <alignment vertical="bottom"/>
    </xf>
    <xf borderId="59" fillId="8" fontId="5" numFmtId="0" xfId="0" applyAlignment="1" applyBorder="1" applyFont="1">
      <alignment horizontal="center" readingOrder="0" vertical="center"/>
    </xf>
    <xf borderId="1" fillId="0" fontId="17" numFmtId="164" xfId="0" applyAlignment="1" applyBorder="1" applyFont="1" applyNumberFormat="1">
      <alignment horizontal="center" shrinkToFit="0" vertical="center" wrapText="0"/>
    </xf>
    <xf borderId="0" fillId="2" fontId="5" numFmtId="0" xfId="0" applyAlignment="1" applyFont="1">
      <alignment horizontal="right" vertical="center"/>
    </xf>
    <xf borderId="42" fillId="2" fontId="18" numFmtId="0" xfId="0" applyAlignment="1" applyBorder="1" applyFont="1">
      <alignment readingOrder="0"/>
    </xf>
    <xf borderId="64" fillId="2" fontId="18" numFmtId="0" xfId="0" applyAlignment="1" applyBorder="1" applyFont="1">
      <alignment horizontal="center" readingOrder="0"/>
    </xf>
    <xf borderId="65" fillId="0" fontId="1" numFmtId="0" xfId="0" applyBorder="1" applyFont="1"/>
    <xf borderId="19" fillId="2" fontId="15" numFmtId="0" xfId="0" applyBorder="1" applyFont="1"/>
    <xf borderId="33" fillId="0" fontId="5" numFmtId="167" xfId="0" applyAlignment="1" applyBorder="1" applyFont="1" applyNumberFormat="1">
      <alignment horizontal="center"/>
    </xf>
    <xf borderId="33" fillId="0" fontId="5" numFmtId="167" xfId="0" applyAlignment="1" applyBorder="1" applyFont="1" applyNumberFormat="1">
      <alignment horizontal="center" readingOrder="0"/>
    </xf>
    <xf borderId="59" fillId="16" fontId="5" numFmtId="0" xfId="0" applyAlignment="1" applyBorder="1" applyFill="1" applyFont="1">
      <alignment horizontal="center" vertical="center"/>
    </xf>
    <xf borderId="0" fillId="14" fontId="0" numFmtId="0" xfId="0" applyAlignment="1" applyFont="1">
      <alignment vertical="bottom"/>
    </xf>
    <xf borderId="60" fillId="17" fontId="5" numFmtId="49" xfId="0" applyAlignment="1" applyBorder="1" applyFill="1" applyFont="1" applyNumberFormat="1">
      <alignment horizontal="center" vertical="center"/>
    </xf>
    <xf borderId="0" fillId="17" fontId="5" numFmtId="0" xfId="0" applyAlignment="1" applyFont="1">
      <alignment horizontal="center" vertical="center"/>
    </xf>
    <xf borderId="59" fillId="13" fontId="5" numFmtId="0" xfId="0" applyAlignment="1" applyBorder="1" applyFont="1">
      <alignment horizontal="center" vertical="center"/>
    </xf>
    <xf borderId="0" fillId="2" fontId="15" numFmtId="0" xfId="0" applyAlignment="1" applyFont="1">
      <alignment horizontal="right" readingOrder="0"/>
    </xf>
    <xf borderId="60" fillId="18" fontId="17" numFmtId="49" xfId="0" applyAlignment="1" applyBorder="1" applyFill="1" applyFont="1" applyNumberFormat="1">
      <alignment horizontal="center" vertical="center"/>
    </xf>
    <xf borderId="0" fillId="2" fontId="28" numFmtId="0" xfId="0" applyAlignment="1" applyFont="1">
      <alignment readingOrder="0" shrinkToFit="0" vertical="top" wrapText="0"/>
    </xf>
    <xf borderId="0" fillId="2" fontId="29" numFmtId="0" xfId="0" applyAlignment="1" applyFont="1">
      <alignment readingOrder="0"/>
    </xf>
    <xf borderId="63" fillId="16" fontId="5" numFmtId="0" xfId="0" applyAlignment="1" applyBorder="1" applyFont="1">
      <alignment horizontal="center" vertical="center"/>
    </xf>
    <xf borderId="63" fillId="13" fontId="5" numFmtId="0" xfId="0" applyAlignment="1" applyBorder="1" applyFont="1">
      <alignment horizontal="center" vertical="center"/>
    </xf>
    <xf borderId="1" fillId="6" fontId="17" numFmtId="164" xfId="0" applyAlignment="1" applyBorder="1" applyFont="1" applyNumberFormat="1">
      <alignment horizontal="center" shrinkToFit="0" vertical="center" wrapText="0"/>
    </xf>
    <xf borderId="3" fillId="6" fontId="17" numFmtId="0" xfId="0" applyAlignment="1" applyBorder="1" applyFont="1">
      <alignment horizontal="center" readingOrder="0" shrinkToFit="0" vertical="center" wrapText="0"/>
    </xf>
    <xf borderId="1" fillId="0" fontId="17" numFmtId="0" xfId="0" applyAlignment="1" applyBorder="1" applyFont="1">
      <alignment horizontal="center" readingOrder="0" shrinkToFit="0" vertical="center" wrapText="0"/>
    </xf>
    <xf borderId="0" fillId="2" fontId="30" numFmtId="0" xfId="0" applyAlignment="1" applyFont="1">
      <alignment horizontal="right" shrinkToFit="0" vertical="center" wrapText="1"/>
    </xf>
    <xf borderId="0" fillId="13" fontId="0" numFmtId="0" xfId="0" applyAlignment="1" applyFont="1">
      <alignment readingOrder="0" vertical="bottom"/>
    </xf>
    <xf borderId="66" fillId="0" fontId="1" numFmtId="0" xfId="0" applyBorder="1" applyFont="1"/>
    <xf borderId="67" fillId="0" fontId="1" numFmtId="0" xfId="0" applyBorder="1" applyFont="1"/>
    <xf borderId="68" fillId="2" fontId="31" numFmtId="0" xfId="0" applyAlignment="1" applyBorder="1" applyFont="1">
      <alignment horizontal="right" readingOrder="0" vertical="center"/>
    </xf>
    <xf borderId="0" fillId="6" fontId="23" numFmtId="0" xfId="0" applyAlignment="1" applyFont="1">
      <alignment horizontal="left"/>
    </xf>
    <xf borderId="0" fillId="2" fontId="29" numFmtId="0" xfId="0" applyFont="1"/>
    <xf borderId="0" fillId="19" fontId="0" numFmtId="0" xfId="0" applyAlignment="1" applyFill="1" applyFont="1">
      <alignment vertical="bottom"/>
    </xf>
    <xf borderId="0" fillId="0" fontId="17" numFmtId="0" xfId="0" applyAlignment="1" applyFont="1">
      <alignment horizontal="center" readingOrder="0" shrinkToFit="0" vertical="center" wrapText="0"/>
    </xf>
    <xf borderId="53" fillId="20" fontId="3" numFmtId="164" xfId="0" applyAlignment="1" applyBorder="1" applyFill="1" applyFont="1" applyNumberFormat="1">
      <alignment horizontal="center" shrinkToFit="0" vertical="center" wrapText="1"/>
    </xf>
    <xf borderId="53" fillId="0" fontId="1" numFmtId="0" xfId="0" applyBorder="1" applyFont="1"/>
    <xf borderId="0" fillId="0" fontId="1" numFmtId="164" xfId="0" applyAlignment="1" applyFont="1" applyNumberFormat="1">
      <alignment horizontal="center"/>
    </xf>
    <xf borderId="0" fillId="0" fontId="1" numFmtId="49" xfId="0" applyAlignment="1" applyFont="1" applyNumberFormat="1">
      <alignment horizontal="center"/>
    </xf>
    <xf borderId="0" fillId="0" fontId="32" numFmtId="0" xfId="0" applyAlignment="1" applyFont="1">
      <alignment horizontal="left" readingOrder="0" shrinkToFit="0" vertical="top" wrapText="1"/>
    </xf>
    <xf borderId="0" fillId="2" fontId="3" numFmtId="164" xfId="0" applyAlignment="1" applyFont="1" applyNumberFormat="1">
      <alignment horizontal="right" vertical="bottom"/>
    </xf>
    <xf borderId="66" fillId="0" fontId="1" numFmtId="0" xfId="0" applyBorder="1" applyFont="1"/>
    <xf borderId="68" fillId="0" fontId="1" numFmtId="0" xfId="0" applyBorder="1" applyFont="1"/>
    <xf borderId="0" fillId="2" fontId="33" numFmtId="0" xfId="0" applyAlignment="1" applyFont="1">
      <alignment horizontal="right" shrinkToFit="0" vertical="bottom" wrapText="0"/>
    </xf>
    <xf borderId="1" fillId="21" fontId="7" numFmtId="0" xfId="0" applyAlignment="1" applyBorder="1" applyFill="1" applyFont="1">
      <alignment horizontal="center" readingOrder="0" vertical="center"/>
    </xf>
    <xf borderId="0" fillId="22" fontId="3" numFmtId="0" xfId="0" applyAlignment="1" applyFill="1" applyFont="1">
      <alignment vertical="bottom"/>
    </xf>
    <xf borderId="43" fillId="17" fontId="4" numFmtId="49" xfId="0" applyAlignment="1" applyBorder="1" applyFont="1" applyNumberFormat="1">
      <alignment horizontal="center" readingOrder="0" vertical="center"/>
    </xf>
    <xf borderId="0" fillId="0" fontId="3" numFmtId="0" xfId="0" applyAlignment="1" applyFont="1">
      <alignment horizontal="right" vertical="bottom"/>
    </xf>
    <xf borderId="1" fillId="13" fontId="7" numFmtId="0" xfId="0" applyAlignment="1" applyBorder="1" applyFont="1">
      <alignment horizontal="center" readingOrder="0" vertical="center"/>
    </xf>
    <xf borderId="0" fillId="2" fontId="34" numFmtId="0" xfId="0" applyAlignment="1" applyFont="1">
      <alignment readingOrder="0"/>
    </xf>
    <xf borderId="43" fillId="18" fontId="4" numFmtId="49" xfId="0" applyAlignment="1" applyBorder="1" applyFont="1" applyNumberFormat="1">
      <alignment horizontal="center" readingOrder="0" vertical="center"/>
    </xf>
    <xf borderId="0" fillId="0" fontId="19" numFmtId="0" xfId="0" applyAlignment="1" applyFont="1">
      <alignment readingOrder="0"/>
    </xf>
    <xf borderId="69" fillId="23" fontId="35" numFmtId="164" xfId="0" applyAlignment="1" applyBorder="1" applyFill="1" applyFont="1" applyNumberFormat="1">
      <alignment horizontal="center" readingOrder="0" vertical="bottom"/>
    </xf>
    <xf borderId="70" fillId="0" fontId="1" numFmtId="0" xfId="0" applyBorder="1" applyFont="1"/>
    <xf borderId="71" fillId="0" fontId="1" numFmtId="0" xfId="0" applyBorder="1" applyFont="1"/>
    <xf borderId="0" fillId="21" fontId="7" numFmtId="0" xfId="0" applyAlignment="1" applyFont="1">
      <alignment horizontal="center" readingOrder="0" vertical="center"/>
    </xf>
    <xf borderId="0" fillId="13" fontId="7" numFmtId="0" xfId="0" applyAlignment="1" applyFont="1">
      <alignment horizontal="center" readingOrder="0" vertical="center"/>
    </xf>
    <xf borderId="12" fillId="23" fontId="35" numFmtId="164" xfId="0" applyAlignment="1" applyBorder="1" applyFont="1" applyNumberFormat="1">
      <alignment horizontal="right" readingOrder="0" vertical="top"/>
    </xf>
    <xf borderId="0" fillId="4" fontId="36" numFmtId="0" xfId="0" applyAlignment="1" applyFont="1">
      <alignment horizontal="center" readingOrder="0" shrinkToFit="0" vertical="center" wrapText="1"/>
    </xf>
    <xf borderId="0" fillId="2" fontId="18" numFmtId="0" xfId="0" applyAlignment="1" applyFont="1">
      <alignment horizontal="center" vertical="center"/>
    </xf>
    <xf borderId="0" fillId="23" fontId="17" numFmtId="0" xfId="0" applyAlignment="1" applyFont="1">
      <alignment horizontal="right" readingOrder="0" vertical="top"/>
    </xf>
    <xf borderId="0" fillId="4" fontId="37" numFmtId="0" xfId="0" applyAlignment="1" applyFont="1">
      <alignment horizontal="right" readingOrder="0" shrinkToFit="0" vertical="bottom" wrapText="0"/>
    </xf>
    <xf borderId="12" fillId="23" fontId="3" numFmtId="164" xfId="0" applyAlignment="1" applyBorder="1" applyFont="1" applyNumberFormat="1">
      <alignment horizontal="right" vertical="bottom"/>
    </xf>
    <xf borderId="0" fillId="23" fontId="1" numFmtId="0" xfId="0" applyFont="1"/>
    <xf borderId="0" fillId="23" fontId="29" numFmtId="0" xfId="0" applyFont="1"/>
    <xf borderId="0" fillId="23" fontId="34" numFmtId="0" xfId="0" applyAlignment="1" applyFont="1">
      <alignment readingOrder="0" shrinkToFit="0" vertical="center" wrapText="1"/>
    </xf>
    <xf borderId="0" fillId="12" fontId="3" numFmtId="0" xfId="0" applyAlignment="1" applyFont="1">
      <alignment vertical="bottom"/>
    </xf>
    <xf borderId="0" fillId="23" fontId="1" numFmtId="0" xfId="0" applyAlignment="1" applyFont="1">
      <alignment readingOrder="0"/>
    </xf>
    <xf borderId="29" fillId="21" fontId="26" numFmtId="0" xfId="0" applyAlignment="1" applyBorder="1" applyFont="1">
      <alignment horizontal="center" readingOrder="0" shrinkToFit="0" vertical="center" wrapText="0"/>
    </xf>
    <xf borderId="72" fillId="2" fontId="38" numFmtId="0" xfId="0" applyAlignment="1" applyBorder="1" applyFont="1">
      <alignment horizontal="center" readingOrder="0" vertical="center"/>
    </xf>
    <xf borderId="29" fillId="13" fontId="26" numFmtId="0" xfId="0" applyAlignment="1" applyBorder="1" applyFont="1">
      <alignment horizontal="center" readingOrder="0" shrinkToFit="0" vertical="center" wrapText="0"/>
    </xf>
    <xf borderId="73" fillId="0" fontId="1" numFmtId="0" xfId="0" applyBorder="1" applyFont="1"/>
    <xf borderId="15" fillId="23" fontId="1" numFmtId="0" xfId="0" applyBorder="1" applyFont="1"/>
    <xf borderId="74" fillId="0" fontId="1" numFmtId="0" xfId="0" applyBorder="1" applyFont="1"/>
    <xf borderId="0" fillId="0" fontId="39" numFmtId="0" xfId="0" applyAlignment="1" applyFont="1">
      <alignment horizontal="left" readingOrder="0" shrinkToFit="0" vertical="center" wrapText="0"/>
    </xf>
    <xf borderId="15" fillId="0" fontId="1" numFmtId="0" xfId="0" applyAlignment="1" applyBorder="1" applyFont="1">
      <alignment readingOrder="0"/>
    </xf>
    <xf borderId="31" fillId="23" fontId="3" numFmtId="164" xfId="0" applyAlignment="1" applyBorder="1" applyFont="1" applyNumberFormat="1">
      <alignment horizontal="right" vertical="bottom"/>
    </xf>
    <xf borderId="32" fillId="23" fontId="17" numFmtId="0" xfId="0" applyAlignment="1" applyBorder="1" applyFont="1">
      <alignment readingOrder="0"/>
    </xf>
    <xf borderId="32" fillId="23" fontId="1" numFmtId="0" xfId="0" applyBorder="1" applyFont="1"/>
    <xf borderId="0" fillId="24" fontId="3" numFmtId="0" xfId="0" applyAlignment="1" applyFill="1" applyFont="1">
      <alignment vertical="bottom"/>
    </xf>
    <xf borderId="32" fillId="23" fontId="29" numFmtId="0" xfId="0" applyBorder="1" applyFont="1"/>
    <xf borderId="35" fillId="23" fontId="29" numFmtId="0" xfId="0" applyBorder="1" applyFont="1"/>
    <xf borderId="35" fillId="23" fontId="1" numFmtId="0" xfId="0" applyBorder="1" applyFont="1"/>
    <xf borderId="0" fillId="2" fontId="40" numFmtId="0" xfId="0" applyAlignment="1" applyFont="1">
      <alignment horizontal="center"/>
    </xf>
    <xf borderId="0" fillId="2" fontId="12" numFmtId="0" xfId="0" applyAlignment="1" applyFont="1">
      <alignment horizontal="left" vertical="center"/>
    </xf>
    <xf borderId="0" fillId="2" fontId="13" numFmtId="0" xfId="0" applyAlignment="1" applyFont="1">
      <alignment horizontal="left" readingOrder="0" vertical="center"/>
    </xf>
    <xf borderId="0" fillId="0" fontId="29" numFmtId="0" xfId="0" applyFont="1"/>
    <xf borderId="0" fillId="6" fontId="41" numFmtId="0" xfId="0" applyAlignment="1" applyFont="1">
      <alignment horizontal="right" shrinkToFit="0" vertical="bottom" wrapText="0"/>
    </xf>
    <xf borderId="0" fillId="0" fontId="14" numFmtId="0" xfId="0" applyAlignment="1" applyFont="1">
      <alignment horizontal="right" readingOrder="0"/>
    </xf>
    <xf borderId="0" fillId="6" fontId="17" numFmtId="0" xfId="0" applyAlignment="1" applyFont="1">
      <alignment horizontal="center" readingOrder="0" shrinkToFit="0" vertical="center" wrapText="1"/>
    </xf>
    <xf borderId="0" fillId="16" fontId="3" numFmtId="0" xfId="0" applyAlignment="1" applyFont="1">
      <alignment vertical="bottom"/>
    </xf>
    <xf borderId="0" fillId="0" fontId="1" numFmtId="0" xfId="0" applyAlignment="1" applyFont="1">
      <alignment horizontal="center"/>
    </xf>
    <xf borderId="22" fillId="2" fontId="18" numFmtId="0" xfId="0" applyBorder="1" applyFont="1"/>
    <xf borderId="24" fillId="2" fontId="18" numFmtId="0" xfId="0" applyAlignment="1" applyBorder="1" applyFont="1">
      <alignment horizontal="right" readingOrder="0" vertical="center"/>
    </xf>
    <xf borderId="0" fillId="0" fontId="29" numFmtId="0" xfId="0" applyAlignment="1" applyFont="1">
      <alignment readingOrder="0"/>
    </xf>
    <xf borderId="0" fillId="19" fontId="3" numFmtId="0" xfId="0" applyAlignment="1" applyFont="1">
      <alignment vertical="bottom"/>
    </xf>
    <xf borderId="42" fillId="2" fontId="18" numFmtId="0" xfId="0" applyBorder="1" applyFont="1"/>
    <xf borderId="0" fillId="0" fontId="3" numFmtId="164" xfId="0" applyFont="1" applyNumberFormat="1"/>
    <xf borderId="33" fillId="0" fontId="17" numFmtId="167" xfId="0" applyAlignment="1" applyBorder="1" applyFont="1" applyNumberFormat="1">
      <alignment horizontal="center" readingOrder="0" shrinkToFit="0" vertical="center" wrapText="0"/>
    </xf>
    <xf borderId="42" fillId="2" fontId="18" numFmtId="0" xfId="0" applyBorder="1" applyFont="1"/>
    <xf borderId="0" fillId="0" fontId="26" numFmtId="0" xfId="0" applyAlignment="1" applyFont="1">
      <alignment horizontal="center" readingOrder="0" shrinkToFit="0" vertical="center" wrapText="0"/>
    </xf>
    <xf borderId="0" fillId="0" fontId="42" numFmtId="0" xfId="0" applyAlignment="1" applyFont="1">
      <alignment horizontal="center" readingOrder="0" shrinkToFit="0" vertical="center" wrapText="1"/>
    </xf>
    <xf borderId="0" fillId="0" fontId="1" numFmtId="49" xfId="0" applyFont="1" applyNumberFormat="1"/>
    <xf borderId="0" fillId="6" fontId="43" numFmtId="0" xfId="0" applyAlignment="1" applyFont="1">
      <alignment horizontal="right" shrinkToFit="0" vertical="bottom" wrapText="0"/>
    </xf>
    <xf borderId="0" fillId="6" fontId="44" numFmtId="0" xfId="0" applyAlignment="1" applyFont="1">
      <alignment readingOrder="0"/>
    </xf>
    <xf borderId="0" fillId="0" fontId="1" numFmtId="164" xfId="0" applyAlignment="1" applyFont="1" applyNumberFormat="1">
      <alignment readingOrder="0"/>
    </xf>
    <xf borderId="0" fillId="0" fontId="1" numFmtId="0" xfId="0" applyAlignment="1" applyFont="1">
      <alignment shrinkToFit="0" wrapText="0"/>
    </xf>
    <xf borderId="0" fillId="0" fontId="1" numFmtId="0" xfId="0" applyAlignment="1" applyFont="1">
      <alignment readingOrder="0" shrinkToFit="0" wrapText="0"/>
    </xf>
    <xf borderId="0" fillId="25" fontId="29" numFmtId="164" xfId="0" applyAlignment="1" applyFill="1" applyFont="1" applyNumberFormat="1">
      <alignment readingOrder="0"/>
    </xf>
    <xf borderId="0" fillId="25" fontId="29" numFmtId="164" xfId="0" applyFont="1" applyNumberFormat="1"/>
    <xf borderId="1" fillId="2" fontId="45" numFmtId="0" xfId="0" applyAlignment="1" applyBorder="1" applyFont="1">
      <alignment horizontal="left" readingOrder="0" vertical="center"/>
    </xf>
    <xf borderId="0" fillId="25" fontId="29" numFmtId="0" xfId="0" applyFont="1"/>
    <xf borderId="0" fillId="0" fontId="1" numFmtId="164" xfId="0" applyFont="1" applyNumberFormat="1"/>
    <xf borderId="0" fillId="0" fontId="1" numFmtId="168" xfId="0" applyFont="1" applyNumberFormat="1"/>
    <xf borderId="0" fillId="6" fontId="1" numFmtId="164" xfId="0" applyAlignment="1" applyFont="1" applyNumberFormat="1">
      <alignment horizontal="right"/>
    </xf>
    <xf borderId="0" fillId="15" fontId="25" numFmtId="3" xfId="0" applyAlignment="1" applyFont="1" applyNumberFormat="1">
      <alignment horizontal="center"/>
    </xf>
    <xf borderId="75" fillId="0" fontId="46" numFmtId="164" xfId="0" applyAlignment="1" applyBorder="1" applyFont="1" applyNumberFormat="1">
      <alignment horizontal="left" vertical="center"/>
    </xf>
    <xf borderId="2" fillId="0" fontId="46" numFmtId="164" xfId="0" applyAlignment="1" applyBorder="1" applyFont="1" applyNumberFormat="1">
      <alignment horizontal="left" vertical="center"/>
    </xf>
    <xf borderId="52" fillId="6" fontId="3" numFmtId="0" xfId="0" applyAlignment="1" applyBorder="1" applyFont="1">
      <alignment vertical="bottom"/>
    </xf>
    <xf borderId="76" fillId="0" fontId="46" numFmtId="164" xfId="0" applyAlignment="1" applyBorder="1" applyFont="1" applyNumberFormat="1">
      <alignment horizontal="left" vertical="center"/>
    </xf>
    <xf borderId="2" fillId="0" fontId="1" numFmtId="0" xfId="0" applyAlignment="1" applyBorder="1" applyFont="1">
      <alignment horizontal="center" readingOrder="0" vertical="center"/>
    </xf>
    <xf borderId="31" fillId="0" fontId="5" numFmtId="0" xfId="0" applyAlignment="1" applyBorder="1" applyFont="1">
      <alignment horizontal="center" readingOrder="0" vertical="center"/>
    </xf>
    <xf borderId="77" fillId="0" fontId="1" numFmtId="164" xfId="0" applyAlignment="1" applyBorder="1" applyFont="1" applyNumberFormat="1">
      <alignment horizontal="center" vertical="center"/>
    </xf>
    <xf borderId="32" fillId="0" fontId="1" numFmtId="164" xfId="0" applyAlignment="1" applyBorder="1" applyFont="1" applyNumberFormat="1">
      <alignment horizontal="center" vertical="center"/>
    </xf>
    <xf borderId="36" fillId="0" fontId="1" numFmtId="164" xfId="0" applyAlignment="1" applyBorder="1" applyFont="1" applyNumberFormat="1">
      <alignment horizontal="center" vertical="center"/>
    </xf>
    <xf borderId="78" fillId="0" fontId="1" numFmtId="0" xfId="0" applyAlignment="1" applyBorder="1" applyFont="1">
      <alignment readingOrder="0"/>
    </xf>
    <xf borderId="0" fillId="0" fontId="1" numFmtId="0" xfId="0" applyAlignment="1" applyFont="1">
      <alignment readingOrder="0"/>
    </xf>
    <xf borderId="52" fillId="0" fontId="1" numFmtId="0" xfId="0" applyAlignment="1" applyBorder="1" applyFont="1">
      <alignment readingOrder="0"/>
    </xf>
    <xf borderId="78" fillId="0" fontId="1" numFmtId="0" xfId="0" applyBorder="1" applyFont="1"/>
    <xf borderId="52" fillId="0" fontId="1" numFmtId="0" xfId="0" applyBorder="1" applyFont="1"/>
    <xf borderId="79" fillId="0" fontId="47" numFmtId="164" xfId="0" applyAlignment="1" applyBorder="1" applyFont="1" applyNumberFormat="1">
      <alignment shrinkToFit="0" vertical="bottom" wrapText="0"/>
    </xf>
    <xf borderId="0" fillId="0" fontId="3" numFmtId="4" xfId="0" applyAlignment="1" applyFont="1" applyNumberFormat="1">
      <alignment vertical="bottom"/>
    </xf>
    <xf borderId="0" fillId="0" fontId="1" numFmtId="49" xfId="0" applyAlignment="1" applyFont="1" applyNumberFormat="1">
      <alignment shrinkToFit="0" wrapText="0"/>
    </xf>
    <xf borderId="0" fillId="6" fontId="48" numFmtId="0" xfId="0" applyAlignment="1" applyFont="1">
      <alignment horizontal="left" readingOrder="0"/>
    </xf>
    <xf borderId="0" fillId="6" fontId="23" numFmtId="0" xfId="0" applyAlignment="1" applyFont="1">
      <alignment horizontal="left"/>
    </xf>
    <xf borderId="79" fillId="0" fontId="49" numFmtId="164" xfId="0" applyAlignment="1" applyBorder="1" applyFont="1" applyNumberFormat="1">
      <alignment readingOrder="0" shrinkToFit="0" vertical="bottom" wrapText="0"/>
    </xf>
    <xf borderId="80" fillId="2" fontId="50" numFmtId="0" xfId="0" applyAlignment="1" applyBorder="1" applyFont="1">
      <alignment horizontal="center" readingOrder="0" vertical="center"/>
    </xf>
    <xf borderId="80" fillId="0" fontId="1" numFmtId="0" xfId="0" applyBorder="1" applyFont="1"/>
    <xf borderId="0" fillId="0" fontId="1" numFmtId="0" xfId="0" applyAlignment="1" applyFont="1">
      <alignment horizontal="center"/>
    </xf>
    <xf borderId="81" fillId="2" fontId="29" numFmtId="0" xfId="0" applyAlignment="1" applyBorder="1" applyFont="1">
      <alignment horizontal="right" vertical="bottom"/>
    </xf>
    <xf borderId="82" fillId="2" fontId="51" numFmtId="0" xfId="0" applyAlignment="1" applyBorder="1" applyFont="1">
      <alignment horizontal="center" vertical="bottom"/>
    </xf>
    <xf borderId="0" fillId="2" fontId="29" numFmtId="0" xfId="0" applyAlignment="1" applyFont="1">
      <alignment vertical="bottom"/>
    </xf>
    <xf borderId="0" fillId="2" fontId="51" numFmtId="0" xfId="0" applyAlignment="1" applyFont="1">
      <alignment horizontal="center" vertical="bottom"/>
    </xf>
    <xf borderId="0" fillId="2" fontId="15" numFmtId="11" xfId="0" applyAlignment="1" applyFont="1" applyNumberFormat="1">
      <alignment horizontal="left" vertical="bottom"/>
    </xf>
    <xf borderId="82" fillId="2" fontId="29" numFmtId="0" xfId="0" applyAlignment="1" applyBorder="1" applyFont="1">
      <alignment vertical="bottom"/>
    </xf>
    <xf borderId="82" fillId="2" fontId="52" numFmtId="0" xfId="0" applyAlignment="1" applyBorder="1" applyFont="1">
      <alignment horizontal="center" vertical="bottom"/>
    </xf>
    <xf borderId="82" fillId="2" fontId="53" numFmtId="0" xfId="0" applyAlignment="1" applyBorder="1" applyFont="1">
      <alignment horizontal="center" readingOrder="0" vertical="bottom"/>
    </xf>
    <xf borderId="0" fillId="2" fontId="54" numFmtId="0" xfId="0" applyAlignment="1" applyFont="1">
      <alignment readingOrder="0" shrinkToFit="0" vertical="center" wrapText="1"/>
    </xf>
    <xf borderId="82" fillId="2" fontId="51" numFmtId="0" xfId="0" applyBorder="1" applyFont="1"/>
    <xf borderId="83" fillId="2" fontId="51" numFmtId="0" xfId="0" applyAlignment="1" applyBorder="1" applyFont="1">
      <alignment readingOrder="0"/>
    </xf>
    <xf borderId="84" fillId="2" fontId="29" numFmtId="0" xfId="0" applyAlignment="1" applyBorder="1" applyFont="1">
      <alignment horizontal="right" vertical="center"/>
    </xf>
    <xf borderId="85" fillId="0" fontId="55" numFmtId="0" xfId="0" applyAlignment="1" applyBorder="1" applyFont="1">
      <alignment horizontal="center" readingOrder="0" vertical="center"/>
    </xf>
    <xf borderId="0" fillId="2" fontId="56" numFmtId="11" xfId="0" applyAlignment="1" applyFont="1" applyNumberFormat="1">
      <alignment horizontal="center" readingOrder="0" shrinkToFit="0" vertical="center" wrapText="1"/>
    </xf>
    <xf borderId="0" fillId="2" fontId="29" numFmtId="0" xfId="0" applyAlignment="1" applyFont="1">
      <alignment horizontal="left"/>
    </xf>
    <xf borderId="86" fillId="4" fontId="21" numFmtId="0" xfId="0" applyAlignment="1" applyBorder="1" applyFont="1">
      <alignment horizontal="right" readingOrder="0" vertical="center"/>
    </xf>
    <xf borderId="87" fillId="4" fontId="5" numFmtId="0" xfId="0" applyAlignment="1" applyBorder="1" applyFont="1">
      <alignment horizontal="right" readingOrder="0" vertical="center"/>
    </xf>
    <xf borderId="87" fillId="4" fontId="5" numFmtId="0" xfId="0" applyAlignment="1" applyBorder="1" applyFont="1">
      <alignment horizontal="right" vertical="center"/>
    </xf>
    <xf borderId="88" fillId="4" fontId="5" numFmtId="0" xfId="0" applyAlignment="1" applyBorder="1" applyFont="1">
      <alignment horizontal="right" vertical="center"/>
    </xf>
    <xf borderId="0" fillId="2" fontId="57" numFmtId="0" xfId="0" applyAlignment="1" applyFont="1">
      <alignment horizontal="right"/>
    </xf>
    <xf borderId="85" fillId="4" fontId="5" numFmtId="0" xfId="0" applyAlignment="1" applyBorder="1" applyFont="1">
      <alignment horizontal="center" readingOrder="0" vertical="center"/>
    </xf>
    <xf borderId="85" fillId="4" fontId="5" numFmtId="9" xfId="0" applyAlignment="1" applyBorder="1" applyFont="1" applyNumberFormat="1">
      <alignment horizontal="center" readingOrder="0" vertical="center"/>
    </xf>
    <xf borderId="83" fillId="2" fontId="5" numFmtId="0" xfId="0" applyAlignment="1" applyBorder="1" applyFont="1">
      <alignment horizontal="center" readingOrder="0" vertical="center"/>
    </xf>
    <xf borderId="0" fillId="2" fontId="58" numFmtId="0" xfId="0" applyAlignment="1" applyFont="1">
      <alignment horizontal="left" readingOrder="0" vertical="bottom"/>
    </xf>
    <xf borderId="0" fillId="2" fontId="59" numFmtId="0" xfId="0" applyAlignment="1" applyFont="1">
      <alignment horizontal="right" readingOrder="0" vertical="center"/>
    </xf>
    <xf borderId="83" fillId="2" fontId="1" numFmtId="0" xfId="0" applyBorder="1" applyFont="1"/>
    <xf borderId="84" fillId="2" fontId="29" numFmtId="0" xfId="0" applyAlignment="1" applyBorder="1" applyFont="1">
      <alignment horizontal="right" readingOrder="0" vertical="center"/>
    </xf>
    <xf borderId="0" fillId="4" fontId="60" numFmtId="0" xfId="0" applyAlignment="1" applyFont="1">
      <alignment horizontal="right" readingOrder="0" vertical="center"/>
    </xf>
    <xf borderId="0" fillId="2" fontId="58" numFmtId="0" xfId="0" applyAlignment="1" applyFont="1">
      <alignment horizontal="center" readingOrder="0" vertical="center"/>
    </xf>
    <xf borderId="0" fillId="2" fontId="61" numFmtId="0" xfId="0" applyAlignment="1" applyFont="1">
      <alignment horizontal="left" shrinkToFit="0" vertical="center" wrapText="1"/>
    </xf>
    <xf borderId="89" fillId="2" fontId="3" numFmtId="0" xfId="0" applyAlignment="1" applyBorder="1" applyFont="1">
      <alignment vertical="bottom"/>
    </xf>
    <xf borderId="90" fillId="2" fontId="62" numFmtId="0" xfId="0" applyAlignment="1" applyBorder="1" applyFont="1">
      <alignment horizontal="right" vertical="center"/>
    </xf>
    <xf borderId="91" fillId="2" fontId="62" numFmtId="11" xfId="0" applyAlignment="1" applyBorder="1" applyFont="1" applyNumberFormat="1">
      <alignment horizontal="center" vertical="center"/>
    </xf>
    <xf borderId="89" fillId="2" fontId="3" numFmtId="0" xfId="0" applyAlignment="1" applyBorder="1" applyFont="1">
      <alignment vertical="center"/>
    </xf>
    <xf borderId="92" fillId="2" fontId="29" numFmtId="0" xfId="0" applyAlignment="1" applyBorder="1" applyFont="1">
      <alignment horizontal="center" vertical="center"/>
    </xf>
    <xf borderId="93" fillId="4" fontId="36" numFmtId="0" xfId="0" applyAlignment="1" applyBorder="1" applyFont="1">
      <alignment readingOrder="0"/>
    </xf>
    <xf borderId="94" fillId="2" fontId="63" numFmtId="0" xfId="0" applyAlignment="1" applyBorder="1" applyFont="1">
      <alignment horizontal="left" vertical="center"/>
    </xf>
    <xf borderId="94" fillId="2" fontId="64" numFmtId="0" xfId="0" applyAlignment="1" applyBorder="1" applyFont="1">
      <alignment horizontal="left" vertical="center"/>
    </xf>
    <xf borderId="94" fillId="2" fontId="29" numFmtId="0" xfId="0" applyAlignment="1" applyBorder="1" applyFont="1">
      <alignment horizontal="left" readingOrder="0" vertical="center"/>
    </xf>
    <xf borderId="95" fillId="0" fontId="1" numFmtId="0" xfId="0" applyBorder="1" applyFont="1"/>
    <xf borderId="96" fillId="2" fontId="62" numFmtId="0" xfId="0" applyAlignment="1" applyBorder="1" applyFont="1">
      <alignment horizontal="right" readingOrder="0" vertical="center"/>
    </xf>
    <xf borderId="97" fillId="26" fontId="65" numFmtId="11" xfId="0" applyAlignment="1" applyBorder="1" applyFill="1" applyFont="1" applyNumberFormat="1">
      <alignment horizontal="center" vertical="center"/>
    </xf>
    <xf borderId="98" fillId="4" fontId="36" numFmtId="0" xfId="0" applyAlignment="1" applyBorder="1" applyFont="1">
      <alignment readingOrder="0"/>
    </xf>
    <xf borderId="99" fillId="2" fontId="63" numFmtId="0" xfId="0" applyAlignment="1" applyBorder="1" applyFont="1">
      <alignment horizontal="left" readingOrder="0" vertical="center"/>
    </xf>
    <xf borderId="44" fillId="2" fontId="18" numFmtId="0" xfId="0" applyAlignment="1" applyBorder="1" applyFont="1">
      <alignment readingOrder="0"/>
    </xf>
    <xf borderId="99" fillId="2" fontId="64" numFmtId="0" xfId="0" applyAlignment="1" applyBorder="1" applyFont="1">
      <alignment horizontal="left" vertical="center"/>
    </xf>
    <xf borderId="99" fillId="2" fontId="29" numFmtId="0" xfId="0" applyAlignment="1" applyBorder="1" applyFont="1">
      <alignment horizontal="left" readingOrder="0" vertical="center"/>
    </xf>
    <xf borderId="96" fillId="2" fontId="62" numFmtId="0" xfId="0" applyAlignment="1" applyBorder="1" applyFont="1">
      <alignment horizontal="right" readingOrder="0" shrinkToFit="0" vertical="center" wrapText="1"/>
    </xf>
    <xf borderId="97" fillId="0" fontId="66" numFmtId="49" xfId="0" applyAlignment="1" applyBorder="1" applyFont="1" applyNumberFormat="1">
      <alignment horizontal="center" shrinkToFit="0" vertical="center" wrapText="1"/>
    </xf>
    <xf borderId="0" fillId="2" fontId="1" numFmtId="11" xfId="0" applyAlignment="1" applyFont="1" applyNumberFormat="1">
      <alignment readingOrder="0"/>
    </xf>
    <xf borderId="99" fillId="2" fontId="63" numFmtId="0" xfId="0" applyAlignment="1" applyBorder="1" applyFont="1">
      <alignment horizontal="left" vertical="center"/>
    </xf>
    <xf borderId="99" fillId="2" fontId="29" numFmtId="0" xfId="0" applyAlignment="1" applyBorder="1" applyFont="1">
      <alignment horizontal="left" vertical="center"/>
    </xf>
    <xf borderId="96" fillId="0" fontId="1" numFmtId="0" xfId="0" applyBorder="1" applyFont="1"/>
    <xf borderId="97" fillId="0" fontId="1" numFmtId="0" xfId="0" applyBorder="1" applyFont="1"/>
    <xf borderId="100" fillId="0" fontId="1" numFmtId="0" xfId="0" applyBorder="1" applyFont="1"/>
    <xf borderId="101" fillId="0" fontId="1" numFmtId="0" xfId="0" applyBorder="1" applyFont="1"/>
    <xf borderId="0" fillId="2" fontId="62" numFmtId="0" xfId="0" applyAlignment="1" applyFont="1">
      <alignment horizontal="right" readingOrder="0" shrinkToFit="0" vertical="center" wrapText="1"/>
    </xf>
    <xf borderId="97" fillId="4" fontId="37" numFmtId="0" xfId="0" applyAlignment="1" applyBorder="1" applyFont="1">
      <alignment horizontal="center" readingOrder="0" vertical="center"/>
    </xf>
    <xf borderId="0" fillId="2" fontId="3" numFmtId="0" xfId="0" applyAlignment="1" applyFont="1">
      <alignment horizontal="right" vertical="center"/>
    </xf>
    <xf borderId="97" fillId="2" fontId="3" numFmtId="0" xfId="0" applyAlignment="1" applyBorder="1" applyFont="1">
      <alignment horizontal="center" vertical="center"/>
    </xf>
    <xf borderId="102" fillId="2" fontId="67" numFmtId="0" xfId="0" applyBorder="1" applyFont="1"/>
    <xf borderId="102" fillId="2" fontId="67" numFmtId="0" xfId="0" applyAlignment="1" applyBorder="1" applyFont="1">
      <alignment vertical="center"/>
    </xf>
    <xf borderId="103" fillId="27" fontId="68" numFmtId="0" xfId="0" applyAlignment="1" applyBorder="1" applyFill="1" applyFont="1">
      <alignment horizontal="center" shrinkToFit="0" vertical="center" wrapText="0"/>
    </xf>
    <xf borderId="96" fillId="2" fontId="3" numFmtId="0" xfId="0" applyAlignment="1" applyBorder="1" applyFont="1">
      <alignment horizontal="right" vertical="center"/>
    </xf>
    <xf borderId="104" fillId="2" fontId="18" numFmtId="0" xfId="0" applyAlignment="1" applyBorder="1" applyFont="1">
      <alignment readingOrder="0"/>
    </xf>
    <xf borderId="105" fillId="2" fontId="69" numFmtId="0" xfId="0" applyAlignment="1" applyBorder="1" applyFont="1">
      <alignment horizontal="center" vertical="center"/>
    </xf>
    <xf borderId="106" fillId="2" fontId="18" numFmtId="0" xfId="0" applyBorder="1" applyFont="1"/>
    <xf borderId="107" fillId="2" fontId="18" numFmtId="0" xfId="0" applyAlignment="1" applyBorder="1" applyFont="1">
      <alignment horizontal="right" vertical="center"/>
    </xf>
    <xf borderId="108" fillId="0" fontId="1" numFmtId="0" xfId="0" applyBorder="1" applyFont="1"/>
    <xf borderId="109" fillId="23" fontId="70" numFmtId="3" xfId="0" applyAlignment="1" applyBorder="1" applyFont="1" applyNumberFormat="1">
      <alignment horizontal="center" vertical="center"/>
    </xf>
    <xf borderId="100" fillId="23" fontId="66" numFmtId="3" xfId="0" applyAlignment="1" applyBorder="1" applyFont="1" applyNumberFormat="1">
      <alignment horizontal="center" vertical="center"/>
    </xf>
    <xf borderId="110" fillId="2" fontId="1" numFmtId="0" xfId="0" applyBorder="1" applyFont="1"/>
    <xf borderId="111" fillId="2" fontId="1" numFmtId="0" xfId="0" applyBorder="1" applyFont="1"/>
    <xf borderId="112" fillId="2" fontId="71" numFmtId="11" xfId="0" applyAlignment="1" applyBorder="1" applyFont="1" applyNumberFormat="1">
      <alignment horizontal="center"/>
    </xf>
    <xf borderId="113" fillId="2" fontId="3" numFmtId="0" xfId="0" applyAlignment="1" applyBorder="1" applyFont="1">
      <alignment horizontal="right" vertical="center"/>
    </xf>
    <xf borderId="114" fillId="2" fontId="1" numFmtId="0" xfId="0" applyBorder="1" applyFont="1"/>
    <xf borderId="115" fillId="2" fontId="71" numFmtId="11" xfId="0" applyAlignment="1" applyBorder="1" applyFont="1" applyNumberFormat="1">
      <alignment horizontal="center" vertical="center"/>
    </xf>
    <xf borderId="112" fillId="2" fontId="71" numFmtId="11" xfId="0" applyAlignment="1" applyBorder="1" applyFont="1" applyNumberFormat="1">
      <alignment horizontal="center" vertical="center"/>
    </xf>
    <xf borderId="0" fillId="2" fontId="1" numFmtId="3" xfId="0" applyFont="1" applyNumberFormat="1"/>
    <xf borderId="0" fillId="0" fontId="1" numFmtId="3" xfId="0" applyFont="1" applyNumberFormat="1"/>
    <xf borderId="90" fillId="2" fontId="62" numFmtId="0" xfId="0" applyAlignment="1" applyBorder="1" applyFont="1">
      <alignment horizontal="right" readingOrder="0" vertical="center"/>
    </xf>
    <xf borderId="116" fillId="2" fontId="18" numFmtId="0" xfId="0" applyAlignment="1" applyBorder="1" applyFont="1">
      <alignment horizontal="center" readingOrder="0" vertical="center"/>
    </xf>
    <xf borderId="117" fillId="2" fontId="18" numFmtId="0" xfId="0" applyAlignment="1" applyBorder="1" applyFont="1">
      <alignment horizontal="center" vertical="center"/>
    </xf>
    <xf borderId="0" fillId="0" fontId="1" numFmtId="164" xfId="0" applyAlignment="1" applyFont="1" applyNumberFormat="1">
      <alignment shrinkToFit="0" wrapText="0"/>
    </xf>
    <xf borderId="118" fillId="2" fontId="1" numFmtId="0" xfId="0" applyBorder="1" applyFont="1"/>
    <xf borderId="118" fillId="2" fontId="15" numFmtId="0" xfId="0" applyBorder="1" applyFont="1"/>
    <xf borderId="119" fillId="2" fontId="15" numFmtId="0" xfId="0" applyBorder="1" applyFont="1"/>
    <xf borderId="0" fillId="12" fontId="1" numFmtId="164" xfId="0" applyFont="1" applyNumberFormat="1"/>
    <xf borderId="0" fillId="3" fontId="1" numFmtId="164" xfId="0" applyFont="1" applyNumberFormat="1"/>
    <xf borderId="0" fillId="10" fontId="1" numFmtId="164" xfId="0" applyFont="1" applyNumberFormat="1"/>
    <xf borderId="116" fillId="2" fontId="18" numFmtId="0" xfId="0" applyAlignment="1" applyBorder="1" applyFont="1">
      <alignment horizontal="center" vertical="center"/>
    </xf>
    <xf borderId="72" fillId="2" fontId="1" numFmtId="0" xfId="0" applyBorder="1" applyFont="1"/>
    <xf borderId="0" fillId="16" fontId="1" numFmtId="164" xfId="0" applyFont="1" applyNumberFormat="1"/>
    <xf borderId="73" fillId="2" fontId="15" numFmtId="0" xfId="0" applyAlignment="1" applyBorder="1" applyFont="1">
      <alignment readingOrder="0" shrinkToFit="0" vertical="top" wrapText="1"/>
    </xf>
    <xf borderId="0" fillId="8" fontId="1" numFmtId="164" xfId="0" applyFont="1" applyNumberFormat="1"/>
    <xf borderId="73" fillId="2" fontId="40" numFmtId="0" xfId="0" applyBorder="1" applyFont="1"/>
    <xf borderId="0" fillId="2" fontId="15" numFmtId="0" xfId="0" applyAlignment="1" applyFont="1">
      <alignment horizontal="right" readingOrder="0" vertical="center"/>
    </xf>
    <xf borderId="0" fillId="12" fontId="1" numFmtId="164" xfId="0" applyAlignment="1" applyFont="1" applyNumberFormat="1">
      <alignment readingOrder="0"/>
    </xf>
    <xf borderId="0" fillId="3" fontId="1" numFmtId="164" xfId="0" applyAlignment="1" applyFont="1" applyNumberFormat="1">
      <alignment readingOrder="0"/>
    </xf>
    <xf borderId="72" fillId="2" fontId="18" numFmtId="0" xfId="0" applyAlignment="1" applyBorder="1" applyFont="1">
      <alignment horizontal="center" readingOrder="0"/>
    </xf>
    <xf borderId="0" fillId="10" fontId="1" numFmtId="0" xfId="0" applyAlignment="1" applyFont="1">
      <alignment readingOrder="0"/>
    </xf>
    <xf borderId="0" fillId="2" fontId="1" numFmtId="11" xfId="0" applyFont="1" applyNumberFormat="1"/>
    <xf borderId="0" fillId="16" fontId="1" numFmtId="0" xfId="0" applyAlignment="1" applyFont="1">
      <alignment readingOrder="0"/>
    </xf>
    <xf borderId="0" fillId="2" fontId="1" numFmtId="49" xfId="0" applyFont="1" applyNumberFormat="1"/>
    <xf borderId="0" fillId="8" fontId="1" numFmtId="0" xfId="0" applyAlignment="1" applyFont="1">
      <alignment readingOrder="0"/>
    </xf>
    <xf borderId="120" fillId="2" fontId="15" numFmtId="0" xfId="0" applyBorder="1" applyFont="1"/>
    <xf borderId="0" fillId="0" fontId="72" numFmtId="0" xfId="0" applyAlignment="1" applyFont="1">
      <alignment readingOrder="0"/>
    </xf>
    <xf borderId="0" fillId="0" fontId="72" numFmtId="0" xfId="0" applyFont="1"/>
    <xf borderId="0" fillId="2" fontId="1" numFmtId="0" xfId="0" applyAlignment="1" applyFont="1">
      <alignment readingOrder="0" shrinkToFit="0" vertical="top" wrapText="1"/>
    </xf>
    <xf borderId="0" fillId="2" fontId="29" numFmtId="0" xfId="0" applyAlignment="1" applyFont="1">
      <alignment horizontal="right" readingOrder="0"/>
    </xf>
    <xf borderId="0" fillId="0" fontId="1" numFmtId="0" xfId="0" applyAlignment="1" applyFont="1">
      <alignment horizontal="center" readingOrder="0"/>
    </xf>
    <xf borderId="116" fillId="2" fontId="1" numFmtId="0" xfId="0" applyBorder="1" applyFont="1"/>
    <xf borderId="0" fillId="2" fontId="15" numFmtId="0" xfId="0" applyAlignment="1" applyFont="1">
      <alignment horizontal="right" readingOrder="0" shrinkToFit="0" wrapText="0"/>
    </xf>
    <xf borderId="0" fillId="2" fontId="15" numFmtId="0" xfId="0" applyAlignment="1" applyFont="1">
      <alignment horizontal="right" readingOrder="0" shrinkToFit="0" vertical="center" wrapText="0"/>
    </xf>
    <xf borderId="40" fillId="0" fontId="1" numFmtId="0" xfId="0" applyAlignment="1" applyBorder="1" applyFont="1">
      <alignment horizontal="center" readingOrder="0"/>
    </xf>
    <xf borderId="120" fillId="2" fontId="1" numFmtId="0" xfId="0" applyBorder="1" applyFont="1"/>
    <xf borderId="0" fillId="0" fontId="1" numFmtId="169" xfId="0" applyAlignment="1" applyFont="1" applyNumberFormat="1">
      <alignment shrinkToFit="0" wrapText="0"/>
    </xf>
    <xf borderId="121" fillId="2" fontId="18" numFmtId="0" xfId="0" applyAlignment="1" applyBorder="1" applyFont="1">
      <alignment horizontal="center" vertical="center"/>
    </xf>
    <xf borderId="122" fillId="2" fontId="1" numFmtId="0" xfId="0" applyBorder="1" applyFont="1"/>
    <xf borderId="122" fillId="2" fontId="15" numFmtId="0" xfId="0" applyBorder="1" applyFont="1"/>
    <xf borderId="122" fillId="2" fontId="1" numFmtId="0" xfId="0" applyAlignment="1" applyBorder="1" applyFont="1">
      <alignment horizontal="right"/>
    </xf>
    <xf borderId="122" fillId="2" fontId="15" numFmtId="0" xfId="0" applyAlignment="1" applyBorder="1" applyFont="1">
      <alignment horizontal="right"/>
    </xf>
    <xf borderId="122" fillId="2" fontId="29" numFmtId="0" xfId="0" applyAlignment="1" applyBorder="1" applyFont="1">
      <alignment horizontal="right" readingOrder="0"/>
    </xf>
    <xf borderId="123" fillId="2" fontId="15" numFmtId="0" xfId="0" applyBorder="1" applyFont="1"/>
    <xf borderId="98" fillId="4" fontId="36" numFmtId="0" xfId="0" applyBorder="1" applyFont="1"/>
    <xf borderId="0" fillId="6" fontId="18" numFmtId="0" xfId="0" applyAlignment="1" applyFont="1">
      <alignment horizontal="center" vertical="center"/>
    </xf>
    <xf borderId="0" fillId="6" fontId="15" numFmtId="0" xfId="0" applyFont="1"/>
    <xf borderId="83" fillId="2" fontId="52" numFmtId="3" xfId="0" applyAlignment="1" applyBorder="1" applyFont="1" applyNumberFormat="1">
      <alignment horizontal="center" vertical="center"/>
    </xf>
    <xf borderId="97" fillId="28" fontId="66" numFmtId="49" xfId="0" applyAlignment="1" applyBorder="1" applyFill="1" applyFont="1" applyNumberFormat="1">
      <alignment horizontal="center" shrinkToFit="0" vertical="center" wrapText="1"/>
    </xf>
    <xf borderId="0" fillId="6" fontId="1" numFmtId="164" xfId="0" applyFont="1" applyNumberFormat="1"/>
    <xf borderId="0" fillId="0" fontId="3" numFmtId="11" xfId="0" applyAlignment="1" applyFont="1" applyNumberFormat="1">
      <alignment horizontal="right" vertical="bottom"/>
    </xf>
    <xf borderId="103" fillId="27" fontId="68" numFmtId="0" xfId="0" applyAlignment="1" applyBorder="1" applyFont="1">
      <alignment horizontal="center" vertical="center"/>
    </xf>
    <xf borderId="0" fillId="2" fontId="1" numFmtId="10" xfId="0" applyFont="1" applyNumberFormat="1"/>
    <xf borderId="0" fillId="0" fontId="3" numFmtId="11" xfId="0" applyAlignment="1" applyFont="1" applyNumberFormat="1">
      <alignment vertical="bottom"/>
    </xf>
    <xf borderId="0" fillId="2" fontId="1" numFmtId="4" xfId="0" applyFont="1" applyNumberFormat="1"/>
    <xf borderId="113" fillId="2" fontId="3" numFmtId="0" xfId="0" applyAlignment="1" applyBorder="1" applyFont="1">
      <alignment vertical="center"/>
    </xf>
    <xf borderId="0" fillId="0" fontId="3" numFmtId="0" xfId="0" applyAlignment="1" applyFont="1">
      <alignment shrinkToFit="0" vertical="bottom" wrapText="0"/>
    </xf>
    <xf borderId="0" fillId="0" fontId="3" numFmtId="3" xfId="0" applyAlignment="1" applyFont="1" applyNumberFormat="1">
      <alignment horizontal="right" vertical="bottom"/>
    </xf>
    <xf borderId="124" fillId="2" fontId="29" numFmtId="0" xfId="0" applyAlignment="1" applyBorder="1" applyFont="1">
      <alignment horizontal="left" readingOrder="0" vertical="center"/>
    </xf>
    <xf borderId="125" fillId="4" fontId="36" numFmtId="0" xfId="0" applyBorder="1" applyFont="1"/>
    <xf borderId="124" fillId="2" fontId="63" numFmtId="0" xfId="0" applyAlignment="1" applyBorder="1" applyFont="1">
      <alignment horizontal="left" vertical="center"/>
    </xf>
    <xf borderId="80" fillId="2" fontId="1" numFmtId="0" xfId="0" applyBorder="1" applyFont="1"/>
    <xf borderId="126" fillId="2" fontId="1" numFmtId="0" xfId="0" applyBorder="1" applyFont="1"/>
    <xf borderId="0" fillId="29" fontId="1" numFmtId="0" xfId="0" applyFill="1" applyFont="1"/>
    <xf borderId="0" fillId="29" fontId="1" numFmtId="0" xfId="0" applyAlignment="1" applyFont="1">
      <alignment horizontal="left"/>
    </xf>
    <xf borderId="0" fillId="0" fontId="1" numFmtId="0" xfId="0" applyAlignment="1" applyFont="1">
      <alignment horizontal="center" textRotation="180" vertical="center"/>
    </xf>
    <xf borderId="0" fillId="0" fontId="3" numFmtId="0" xfId="0" applyAlignment="1" applyFont="1">
      <alignment horizontal="center" textRotation="180" vertical="center"/>
    </xf>
    <xf borderId="0" fillId="0" fontId="1" numFmtId="0" xfId="0" applyAlignment="1" applyFont="1">
      <alignment horizontal="left"/>
    </xf>
    <xf borderId="0" fillId="26" fontId="66" numFmtId="11" xfId="0" applyAlignment="1" applyFont="1" applyNumberFormat="1">
      <alignment horizontal="center" vertical="center"/>
    </xf>
    <xf borderId="0" fillId="0" fontId="1" numFmtId="0" xfId="0" applyAlignment="1" applyFont="1">
      <alignment shrinkToFit="0" vertical="center" wrapText="1"/>
    </xf>
    <xf borderId="0" fillId="28" fontId="73" numFmtId="49" xfId="0" applyAlignment="1" applyFont="1" applyNumberFormat="1">
      <alignment horizontal="center" vertical="center"/>
    </xf>
    <xf borderId="0" fillId="0" fontId="3" numFmtId="0" xfId="0" applyAlignment="1" applyFont="1">
      <alignment horizontal="left" vertical="bottom"/>
    </xf>
    <xf borderId="0" fillId="0" fontId="5" numFmtId="0" xfId="0" applyAlignment="1" applyFont="1">
      <alignment shrinkToFit="0" vertical="center" wrapText="1"/>
    </xf>
    <xf borderId="0" fillId="4" fontId="1" numFmtId="3" xfId="0" applyFont="1" applyNumberFormat="1"/>
    <xf borderId="0" fillId="4" fontId="35" numFmtId="0" xfId="0" applyAlignment="1" applyFont="1">
      <alignment vertical="bottom"/>
    </xf>
    <xf borderId="0" fillId="0" fontId="35" numFmtId="0" xfId="0" applyAlignment="1" applyFont="1">
      <alignment vertical="bottom"/>
    </xf>
    <xf borderId="0" fillId="4" fontId="35" numFmtId="0" xfId="0" applyAlignment="1" applyFont="1">
      <alignment horizontal="left" vertical="bottom"/>
    </xf>
    <xf borderId="0" fillId="4" fontId="60" numFmtId="0" xfId="0" applyAlignment="1" applyFont="1">
      <alignment horizontal="right" vertical="center"/>
    </xf>
    <xf borderId="0" fillId="0" fontId="5" numFmtId="0" xfId="0" applyFont="1"/>
    <xf borderId="0" fillId="4" fontId="1" numFmtId="0" xfId="0" applyFont="1"/>
    <xf borderId="0" fillId="2" fontId="74" numFmtId="0" xfId="0" applyFont="1"/>
    <xf borderId="0" fillId="24" fontId="1" numFmtId="0" xfId="0" applyFont="1"/>
    <xf borderId="0" fillId="30" fontId="1" numFmtId="0" xfId="0" applyFill="1" applyFont="1"/>
    <xf borderId="0" fillId="20" fontId="29" numFmtId="0" xfId="0" applyFont="1"/>
    <xf borderId="0" fillId="0" fontId="3" numFmtId="3" xfId="0" applyAlignment="1" applyFont="1" applyNumberFormat="1">
      <alignment horizontal="left" vertical="bottom"/>
    </xf>
    <xf borderId="0" fillId="0" fontId="3" numFmtId="165" xfId="0" applyAlignment="1" applyFont="1" applyNumberFormat="1">
      <alignment horizontal="right" vertical="bottom"/>
    </xf>
    <xf borderId="0" fillId="6" fontId="23" numFmtId="11" xfId="0" applyAlignment="1" applyFont="1" applyNumberFormat="1">
      <alignment horizontal="left"/>
    </xf>
    <xf borderId="0" fillId="6" fontId="1" numFmtId="0" xfId="0" applyAlignment="1" applyFont="1">
      <alignment horizontal="center" vertical="center"/>
    </xf>
    <xf borderId="0" fillId="6" fontId="1" numFmtId="0" xfId="0" applyAlignment="1" applyFont="1">
      <alignment horizontal="right"/>
    </xf>
    <xf borderId="0" fillId="0" fontId="1" numFmtId="4" xfId="0" applyAlignment="1" applyFont="1" applyNumberFormat="1">
      <alignment horizontal="right"/>
    </xf>
    <xf borderId="0" fillId="0" fontId="1" numFmtId="11" xfId="0" applyAlignment="1" applyFont="1" applyNumberFormat="1">
      <alignment horizontal="right"/>
    </xf>
    <xf borderId="0" fillId="17" fontId="1" numFmtId="49" xfId="0" applyAlignment="1" applyFont="1" applyNumberFormat="1">
      <alignment readingOrder="0"/>
    </xf>
    <xf borderId="0" fillId="31" fontId="1" numFmtId="3" xfId="0" applyFill="1" applyFont="1" applyNumberFormat="1"/>
    <xf borderId="0" fillId="0" fontId="1" numFmtId="3" xfId="0" applyAlignment="1" applyFont="1" applyNumberFormat="1">
      <alignment horizontal="center"/>
    </xf>
    <xf borderId="0" fillId="15" fontId="25" numFmtId="11" xfId="0" applyAlignment="1" applyFont="1" applyNumberFormat="1">
      <alignment horizontal="center" readingOrder="0"/>
    </xf>
    <xf borderId="127" fillId="2" fontId="15" numFmtId="0" xfId="0" applyAlignment="1" applyBorder="1" applyFont="1">
      <alignment horizontal="center" readingOrder="0" vertical="center"/>
    </xf>
    <xf borderId="0" fillId="0" fontId="1" numFmtId="170" xfId="0" applyFont="1" applyNumberFormat="1"/>
    <xf borderId="128" fillId="0" fontId="1" numFmtId="0" xfId="0" applyBorder="1" applyFont="1"/>
    <xf borderId="128" fillId="0" fontId="7" numFmtId="0" xfId="0" applyAlignment="1" applyBorder="1" applyFont="1">
      <alignment horizontal="center" readingOrder="0" shrinkToFit="0" vertical="center" wrapText="1"/>
    </xf>
    <xf borderId="128" fillId="32" fontId="7" numFmtId="0" xfId="0" applyAlignment="1" applyBorder="1" applyFill="1" applyFont="1">
      <alignment horizontal="center" readingOrder="0" shrinkToFit="0" vertical="center" wrapText="1"/>
    </xf>
    <xf borderId="129" fillId="0" fontId="1" numFmtId="0" xfId="0" applyBorder="1" applyFont="1"/>
    <xf borderId="130" fillId="2" fontId="75" numFmtId="0" xfId="0" applyAlignment="1" applyBorder="1" applyFont="1">
      <alignment horizontal="center" readingOrder="0" vertical="center"/>
    </xf>
    <xf borderId="131" fillId="0" fontId="1" numFmtId="0" xfId="0" applyBorder="1" applyFont="1"/>
    <xf borderId="132" fillId="0" fontId="1" numFmtId="0" xfId="0" applyBorder="1" applyFont="1"/>
    <xf borderId="0" fillId="2" fontId="1" numFmtId="0" xfId="0" applyFont="1"/>
    <xf borderId="133" fillId="0" fontId="1" numFmtId="0" xfId="0" applyBorder="1" applyFont="1"/>
    <xf borderId="134" fillId="0" fontId="1" numFmtId="0" xfId="0" applyBorder="1" applyFont="1"/>
    <xf borderId="135" fillId="0" fontId="1" numFmtId="0" xfId="0" applyBorder="1" applyFont="1"/>
    <xf borderId="136" fillId="13" fontId="76" numFmtId="4" xfId="0" applyAlignment="1" applyBorder="1" applyFont="1" applyNumberFormat="1">
      <alignment readingOrder="0"/>
    </xf>
    <xf borderId="0" fillId="33" fontId="1" numFmtId="0" xfId="0" applyAlignment="1" applyFill="1" applyFont="1">
      <alignment readingOrder="0"/>
    </xf>
    <xf borderId="137" fillId="13" fontId="76" numFmtId="4" xfId="0" applyAlignment="1" applyBorder="1" applyFont="1" applyNumberFormat="1">
      <alignment readingOrder="0"/>
    </xf>
    <xf borderId="0" fillId="32" fontId="1" numFmtId="0" xfId="0" applyAlignment="1" applyFont="1">
      <alignment readingOrder="0"/>
    </xf>
    <xf borderId="0" fillId="22" fontId="1" numFmtId="0" xfId="0" applyAlignment="1" applyFont="1">
      <alignment readingOrder="0"/>
    </xf>
    <xf borderId="0" fillId="34" fontId="1" numFmtId="0" xfId="0" applyAlignment="1" applyFill="1" applyFont="1">
      <alignment readingOrder="0"/>
    </xf>
    <xf borderId="138" fillId="0" fontId="1" numFmtId="0" xfId="0" applyBorder="1" applyFont="1"/>
    <xf borderId="139" fillId="2" fontId="77" numFmtId="0" xfId="0" applyAlignment="1" applyBorder="1" applyFont="1">
      <alignment horizontal="left" readingOrder="0" shrinkToFit="0" vertical="center" wrapText="1"/>
    </xf>
    <xf borderId="139" fillId="0" fontId="1" numFmtId="0" xfId="0" applyBorder="1" applyFont="1"/>
    <xf borderId="0" fillId="20" fontId="1" numFmtId="0" xfId="0" applyAlignment="1" applyFont="1">
      <alignment readingOrder="0"/>
    </xf>
    <xf borderId="0" fillId="5" fontId="1" numFmtId="0" xfId="0" applyAlignment="1" applyFont="1">
      <alignment readingOrder="0"/>
    </xf>
    <xf borderId="0" fillId="3" fontId="1" numFmtId="0" xfId="0" applyAlignment="1" applyFont="1">
      <alignment readingOrder="0"/>
    </xf>
    <xf borderId="0" fillId="21" fontId="1" numFmtId="0" xfId="0" applyAlignment="1" applyFont="1">
      <alignment readingOrder="0"/>
    </xf>
    <xf borderId="0" fillId="20" fontId="1" numFmtId="0" xfId="0" applyFont="1"/>
    <xf borderId="140" fillId="0" fontId="1" numFmtId="0" xfId="0" applyBorder="1" applyFont="1"/>
    <xf borderId="141" fillId="2" fontId="78" numFmtId="0" xfId="0" applyBorder="1" applyFont="1"/>
    <xf borderId="142" fillId="0" fontId="1" numFmtId="0" xfId="0" applyBorder="1" applyFont="1"/>
    <xf borderId="141" fillId="2" fontId="78" numFmtId="0" xfId="0" applyAlignment="1" applyBorder="1" applyFont="1">
      <alignment horizontal="right" vertical="bottom"/>
    </xf>
    <xf borderId="139" fillId="2" fontId="79" numFmtId="0" xfId="0" applyAlignment="1" applyBorder="1" applyFont="1">
      <alignment horizontal="left" shrinkToFit="0" vertical="center" wrapText="1"/>
    </xf>
    <xf borderId="137" fillId="2" fontId="78" numFmtId="0" xfId="0" applyBorder="1" applyFont="1"/>
    <xf borderId="143" fillId="0" fontId="1" numFmtId="0" xfId="0" applyBorder="1" applyFont="1"/>
    <xf borderId="137" fillId="2" fontId="78" numFmtId="0" xfId="0" applyAlignment="1" applyBorder="1" applyFont="1">
      <alignment horizontal="right" vertical="bottom"/>
    </xf>
    <xf borderId="137" fillId="2" fontId="78" numFmtId="0" xfId="0" applyAlignment="1" applyBorder="1" applyFont="1">
      <alignment vertical="bottom"/>
    </xf>
    <xf borderId="144" fillId="2" fontId="78" numFmtId="0" xfId="0" applyAlignment="1" applyBorder="1" applyFont="1">
      <alignment vertical="bottom"/>
    </xf>
    <xf borderId="145" fillId="0" fontId="1" numFmtId="0" xfId="0" applyBorder="1" applyFont="1"/>
    <xf borderId="146" fillId="0" fontId="1" numFmtId="0" xfId="0" applyBorder="1" applyFont="1"/>
    <xf borderId="147" fillId="0" fontId="1" numFmtId="0" xfId="0" applyBorder="1" applyFont="1"/>
    <xf borderId="148" fillId="2" fontId="80" numFmtId="0" xfId="0" applyBorder="1" applyFont="1"/>
    <xf borderId="149" fillId="0" fontId="1" numFmtId="0" xfId="0" applyBorder="1" applyFont="1"/>
    <xf borderId="150" fillId="0" fontId="1" numFmtId="0" xfId="0" applyBorder="1" applyFont="1"/>
    <xf borderId="151" fillId="2" fontId="79" numFmtId="0" xfId="0" applyAlignment="1" applyBorder="1" applyFont="1">
      <alignment horizontal="left" readingOrder="0"/>
    </xf>
    <xf borderId="151" fillId="0" fontId="1" numFmtId="0" xfId="0" applyBorder="1" applyFont="1"/>
    <xf borderId="137" fillId="13" fontId="76" numFmtId="4" xfId="0" applyBorder="1" applyFont="1" applyNumberFormat="1"/>
    <xf borderId="148" fillId="2" fontId="59" numFmtId="2" xfId="0" applyAlignment="1" applyBorder="1" applyFont="1" applyNumberFormat="1">
      <alignment horizontal="right"/>
    </xf>
    <xf borderId="151" fillId="2" fontId="38" numFmtId="0" xfId="0" applyAlignment="1" applyBorder="1" applyFont="1">
      <alignment horizontal="left" readingOrder="0"/>
    </xf>
    <xf borderId="0" fillId="0" fontId="5" numFmtId="0" xfId="0" applyAlignment="1" applyFont="1">
      <alignment horizontal="center" readingOrder="0"/>
    </xf>
    <xf borderId="0" fillId="35" fontId="1" numFmtId="0" xfId="0" applyAlignment="1" applyFill="1" applyFont="1">
      <alignment readingOrder="0"/>
    </xf>
    <xf borderId="0" fillId="0" fontId="81" numFmtId="0" xfId="0" applyAlignment="1" applyFont="1">
      <alignment horizontal="left" readingOrder="0" shrinkToFit="0" vertical="top" wrapText="1"/>
    </xf>
    <xf borderId="0" fillId="0" fontId="1" numFmtId="0" xfId="0" applyAlignment="1" applyFont="1">
      <alignment horizontal="right" readingOrder="0" shrinkToFit="0" wrapText="0"/>
    </xf>
    <xf borderId="0" fillId="0" fontId="5" numFmtId="0" xfId="0" applyAlignment="1" applyFont="1">
      <alignment horizontal="left" readingOrder="0" shrinkToFit="0" vertical="top" wrapText="1"/>
    </xf>
    <xf borderId="0" fillId="36" fontId="1" numFmtId="0" xfId="0" applyFill="1" applyFont="1"/>
    <xf borderId="0" fillId="6" fontId="0" numFmtId="0" xfId="0" applyAlignment="1" applyFont="1">
      <alignment horizontal="right" readingOrder="0" shrinkToFit="0" wrapText="0"/>
    </xf>
    <xf borderId="38" fillId="0" fontId="5" numFmtId="0" xfId="0" applyAlignment="1" applyBorder="1" applyFont="1">
      <alignment horizontal="left" readingOrder="0" shrinkToFit="0" vertical="top" wrapText="1"/>
    </xf>
    <xf borderId="152" fillId="0" fontId="1" numFmtId="0" xfId="0" applyBorder="1" applyFont="1"/>
    <xf borderId="0" fillId="0" fontId="5" numFmtId="171" xfId="0" applyAlignment="1" applyFont="1" applyNumberFormat="1">
      <alignment readingOrder="0"/>
    </xf>
    <xf borderId="0" fillId="37" fontId="29" numFmtId="0" xfId="0" applyAlignment="1" applyFill="1" applyFont="1">
      <alignment horizontal="left" readingOrder="0" shrinkToFit="0" vertical="top" wrapText="1"/>
    </xf>
    <xf borderId="0" fillId="38" fontId="1" numFmtId="0" xfId="0" applyAlignment="1" applyFill="1" applyFont="1">
      <alignment horizontal="left" readingOrder="0" shrinkToFit="0" vertical="top" wrapText="1"/>
    </xf>
    <xf borderId="0" fillId="0" fontId="1" numFmtId="0" xfId="0" applyAlignment="1" applyFont="1">
      <alignment horizontal="right" readingOrder="0"/>
    </xf>
    <xf borderId="0" fillId="37" fontId="29" numFmtId="0" xfId="0" applyAlignment="1" applyFont="1">
      <alignment horizontal="left" shrinkToFit="0" vertical="top" wrapText="1"/>
    </xf>
    <xf borderId="0" fillId="38" fontId="1" numFmtId="0" xfId="0" applyAlignment="1" applyFont="1">
      <alignment horizontal="left" shrinkToFit="0" vertical="top" wrapText="1"/>
    </xf>
    <xf borderId="0" fillId="10" fontId="82" numFmtId="0" xfId="0" applyAlignment="1" applyFont="1">
      <alignment readingOrder="0"/>
    </xf>
    <xf borderId="0" fillId="10" fontId="4" numFmtId="0" xfId="0" applyAlignment="1" applyFont="1">
      <alignment horizontal="center" readingOrder="0" vertical="bottom"/>
    </xf>
    <xf borderId="0" fillId="10" fontId="1" numFmtId="0" xfId="0" applyFont="1"/>
    <xf borderId="0" fillId="4" fontId="1" numFmtId="0" xfId="0" applyAlignment="1" applyFont="1">
      <alignment readingOrder="0"/>
    </xf>
    <xf borderId="0" fillId="16" fontId="1" numFmtId="0" xfId="0" applyFont="1"/>
    <xf borderId="0" fillId="4" fontId="1" numFmtId="0" xfId="0" applyAlignment="1" applyFont="1">
      <alignment horizontal="right" readingOrder="0"/>
    </xf>
    <xf borderId="0" fillId="16" fontId="1" numFmtId="4" xfId="0" applyFont="1" applyNumberFormat="1"/>
    <xf borderId="0" fillId="18" fontId="1" numFmtId="0" xfId="0" applyAlignment="1" applyFont="1">
      <alignment readingOrder="0"/>
    </xf>
    <xf borderId="0" fillId="18" fontId="1" numFmtId="0" xfId="0" applyFont="1"/>
    <xf borderId="0" fillId="4" fontId="1" numFmtId="10" xfId="0" applyAlignment="1" applyFont="1" applyNumberFormat="1">
      <alignment readingOrder="0"/>
    </xf>
    <xf borderId="0" fillId="0" fontId="1" numFmtId="49" xfId="0" applyAlignment="1" applyFont="1" applyNumberFormat="1">
      <alignment readingOrder="0"/>
    </xf>
    <xf borderId="0" fillId="0" fontId="1" numFmtId="172" xfId="0" applyAlignment="1" applyFont="1" applyNumberFormat="1">
      <alignment horizontal="right"/>
    </xf>
    <xf borderId="0" fillId="6" fontId="83" numFmtId="11" xfId="0" applyAlignment="1" applyFont="1" applyNumberFormat="1">
      <alignment shrinkToFit="0" vertical="top" wrapText="0"/>
    </xf>
    <xf borderId="0" fillId="6" fontId="29" numFmtId="0" xfId="0" applyFont="1"/>
    <xf borderId="0" fillId="6" fontId="29" numFmtId="0" xfId="0" applyAlignment="1" applyFont="1">
      <alignment horizontal="left"/>
    </xf>
    <xf borderId="0" fillId="6" fontId="29" numFmtId="10" xfId="0" applyFont="1" applyNumberFormat="1"/>
    <xf borderId="0" fillId="0" fontId="3" numFmtId="165" xfId="0" applyAlignment="1" applyFont="1" applyNumberFormat="1">
      <alignment vertical="bottom"/>
    </xf>
    <xf borderId="0" fillId="0" fontId="3" numFmtId="9" xfId="0" applyAlignment="1" applyFont="1" applyNumberFormat="1">
      <alignment vertical="bottom"/>
    </xf>
    <xf borderId="0" fillId="0" fontId="3" numFmtId="173" xfId="0" applyAlignment="1" applyFont="1" applyNumberFormat="1">
      <alignment vertical="bottom"/>
    </xf>
    <xf borderId="0" fillId="0" fontId="3" numFmtId="0" xfId="0" applyAlignment="1" applyFont="1">
      <alignment horizontal="center" vertical="center"/>
    </xf>
    <xf borderId="0" fillId="0" fontId="1" numFmtId="9" xfId="0" applyFont="1" applyNumberFormat="1"/>
    <xf borderId="0" fillId="0" fontId="1" numFmtId="173" xfId="0" applyFont="1" applyNumberFormat="1"/>
    <xf borderId="0" fillId="0" fontId="1" numFmtId="174" xfId="0" applyFont="1" applyNumberFormat="1"/>
    <xf borderId="0" fillId="0" fontId="3" numFmtId="11" xfId="0" applyAlignment="1" applyFont="1" applyNumberFormat="1">
      <alignment horizontal="center" vertical="bottom"/>
    </xf>
    <xf borderId="0" fillId="0" fontId="29" numFmtId="0" xfId="0" applyAlignment="1" applyFont="1">
      <alignment horizontal="center"/>
    </xf>
    <xf borderId="32" fillId="0" fontId="3" numFmtId="0" xfId="0" applyAlignment="1" applyBorder="1" applyFont="1">
      <alignment vertical="bottom"/>
    </xf>
    <xf borderId="32" fillId="0" fontId="3" numFmtId="0" xfId="0" applyAlignment="1" applyBorder="1" applyFont="1">
      <alignment horizontal="left" vertical="bottom"/>
    </xf>
    <xf borderId="153" fillId="0" fontId="3" numFmtId="0" xfId="0" applyAlignment="1" applyBorder="1" applyFont="1">
      <alignment vertical="bottom"/>
    </xf>
    <xf borderId="154" fillId="0" fontId="27" numFmtId="0" xfId="0" applyAlignment="1" applyBorder="1" applyFont="1">
      <alignment horizontal="center"/>
    </xf>
    <xf borderId="15" fillId="0" fontId="3" numFmtId="0" xfId="0" applyAlignment="1" applyBorder="1" applyFont="1">
      <alignment vertical="bottom"/>
    </xf>
    <xf borderId="15" fillId="39" fontId="35" numFmtId="0" xfId="0" applyAlignment="1" applyBorder="1" applyFill="1" applyFont="1">
      <alignment vertical="bottom"/>
    </xf>
    <xf borderId="15" fillId="39" fontId="70" numFmtId="0" xfId="0" applyAlignment="1" applyBorder="1" applyFont="1">
      <alignment horizontal="left" vertical="bottom"/>
    </xf>
    <xf borderId="15" fillId="39" fontId="70" numFmtId="0" xfId="0" applyAlignment="1" applyBorder="1" applyFont="1">
      <alignment horizontal="center" vertical="bottom"/>
    </xf>
    <xf borderId="0" fillId="39" fontId="35" numFmtId="0" xfId="0" applyAlignment="1" applyFont="1">
      <alignment vertical="bottom"/>
    </xf>
    <xf borderId="155" fillId="12" fontId="35" numFmtId="0" xfId="0" applyAlignment="1" applyBorder="1" applyFont="1">
      <alignment horizontal="center" vertical="bottom"/>
    </xf>
    <xf borderId="52" fillId="40" fontId="84" numFmtId="0" xfId="0" applyAlignment="1" applyBorder="1" applyFill="1" applyFont="1">
      <alignment horizontal="center" textRotation="180"/>
    </xf>
    <xf borderId="52" fillId="0" fontId="85" numFmtId="0" xfId="0" applyAlignment="1" applyBorder="1" applyFont="1">
      <alignment horizontal="left"/>
    </xf>
    <xf borderId="52" fillId="41" fontId="85" numFmtId="3" xfId="0" applyAlignment="1" applyBorder="1" applyFill="1" applyFont="1" applyNumberFormat="1">
      <alignment horizontal="center"/>
    </xf>
    <xf borderId="52" fillId="42" fontId="85" numFmtId="164" xfId="0" applyAlignment="1" applyBorder="1" applyFill="1" applyFont="1" applyNumberFormat="1">
      <alignment horizontal="center"/>
    </xf>
    <xf borderId="52" fillId="43" fontId="85" numFmtId="11" xfId="0" applyAlignment="1" applyBorder="1" applyFill="1" applyFont="1" applyNumberFormat="1">
      <alignment horizontal="center"/>
    </xf>
    <xf borderId="0" fillId="0" fontId="85" numFmtId="11" xfId="0" applyAlignment="1" applyFont="1" applyNumberFormat="1">
      <alignment horizontal="center"/>
    </xf>
    <xf borderId="155" fillId="0" fontId="85" numFmtId="4" xfId="0" applyAlignment="1" applyBorder="1" applyFont="1" applyNumberFormat="1">
      <alignment horizontal="center" vertical="bottom"/>
    </xf>
    <xf borderId="0" fillId="0" fontId="3" numFmtId="164" xfId="0" applyAlignment="1" applyFont="1" applyNumberFormat="1">
      <alignment vertical="bottom"/>
    </xf>
    <xf borderId="0" fillId="15" fontId="86" numFmtId="11" xfId="0" applyAlignment="1" applyFont="1" applyNumberFormat="1">
      <alignment horizontal="center" readingOrder="0"/>
    </xf>
    <xf borderId="0" fillId="15" fontId="86" numFmtId="0" xfId="0" applyAlignment="1" applyFont="1">
      <alignment horizontal="center" readingOrder="0"/>
    </xf>
    <xf borderId="52" fillId="44" fontId="84" numFmtId="0" xfId="0" applyAlignment="1" applyBorder="1" applyFill="1" applyFont="1">
      <alignment horizontal="center" textRotation="180"/>
    </xf>
    <xf borderId="0" fillId="0" fontId="3" numFmtId="0" xfId="0" applyAlignment="1" applyFont="1">
      <alignment readingOrder="0" vertical="bottom"/>
    </xf>
    <xf borderId="0" fillId="15" fontId="86" numFmtId="3" xfId="0" applyAlignment="1" applyFont="1" applyNumberFormat="1">
      <alignment horizontal="center" readingOrder="0"/>
    </xf>
    <xf borderId="52" fillId="21" fontId="84" numFmtId="0" xfId="0" applyAlignment="1" applyBorder="1" applyFont="1">
      <alignment horizontal="center" textRotation="180"/>
    </xf>
    <xf borderId="0" fillId="3" fontId="0" numFmtId="0" xfId="0" applyAlignment="1" applyFont="1">
      <alignment readingOrder="0" vertical="bottom"/>
    </xf>
    <xf borderId="52" fillId="45" fontId="84" numFmtId="0" xfId="0" applyAlignment="1" applyBorder="1" applyFill="1" applyFont="1">
      <alignment horizontal="center" textRotation="180"/>
    </xf>
    <xf borderId="52" fillId="46" fontId="84" numFmtId="0" xfId="0" applyAlignment="1" applyBorder="1" applyFill="1" applyFont="1">
      <alignment horizontal="center" textRotation="180"/>
    </xf>
    <xf borderId="0" fillId="19" fontId="3" numFmtId="0" xfId="0" applyAlignment="1" applyFont="1">
      <alignment readingOrder="0" vertical="bottom"/>
    </xf>
    <xf borderId="52" fillId="47" fontId="84" numFmtId="0" xfId="0" applyAlignment="1" applyBorder="1" applyFill="1" applyFont="1">
      <alignment horizontal="center" textRotation="180"/>
    </xf>
    <xf borderId="52" fillId="48" fontId="84" numFmtId="0" xfId="0" applyAlignment="1" applyBorder="1" applyFill="1" applyFont="1">
      <alignment horizontal="center" textRotation="180"/>
    </xf>
    <xf borderId="52" fillId="28" fontId="84" numFmtId="0" xfId="0" applyAlignment="1" applyBorder="1" applyFont="1">
      <alignment horizontal="center" textRotation="180" vertical="center"/>
    </xf>
    <xf borderId="0" fillId="0" fontId="3" numFmtId="0" xfId="0" applyAlignment="1" applyFont="1">
      <alignment horizontal="center" vertical="bottom"/>
    </xf>
  </cellXfs>
  <cellStyles count="1">
    <cellStyle xfId="0" name="Normal" builtinId="0"/>
  </cellStyles>
  <dxfs count="48">
    <dxf>
      <font/>
      <fill>
        <patternFill patternType="solid">
          <fgColor rgb="FF00FFFF"/>
          <bgColor rgb="FF00FFFF"/>
        </patternFill>
      </fill>
      <border/>
    </dxf>
    <dxf>
      <font/>
      <fill>
        <patternFill patternType="solid">
          <fgColor rgb="FFA64D79"/>
          <bgColor rgb="FFA64D79"/>
        </patternFill>
      </fill>
      <border/>
    </dxf>
    <dxf>
      <font/>
      <fill>
        <patternFill patternType="solid">
          <fgColor rgb="FF3C78D8"/>
          <bgColor rgb="FF3C78D8"/>
        </patternFill>
      </fill>
      <border/>
    </dxf>
    <dxf>
      <font/>
      <fill>
        <patternFill patternType="solid">
          <fgColor rgb="FFCC0000"/>
          <bgColor rgb="FFCC0000"/>
        </patternFill>
      </fill>
      <border/>
    </dxf>
    <dxf>
      <font/>
      <fill>
        <patternFill patternType="solid">
          <fgColor rgb="FFF1C232"/>
          <bgColor rgb="FFF1C232"/>
        </patternFill>
      </fill>
      <border/>
    </dxf>
    <dxf>
      <font/>
      <fill>
        <patternFill patternType="solid">
          <fgColor rgb="FFFFD966"/>
          <bgColor rgb="FFFFD966"/>
        </patternFill>
      </fill>
      <border/>
    </dxf>
    <dxf>
      <font/>
      <fill>
        <patternFill patternType="solid">
          <fgColor rgb="FFC27BA0"/>
          <bgColor rgb="FFC27BA0"/>
        </patternFill>
      </fill>
      <border/>
    </dxf>
    <dxf>
      <font/>
      <fill>
        <patternFill patternType="solid">
          <fgColor rgb="FF6FA8DC"/>
          <bgColor rgb="FF6FA8DC"/>
        </patternFill>
      </fill>
      <border/>
    </dxf>
    <dxf>
      <font/>
      <fill>
        <patternFill patternType="solid">
          <fgColor rgb="FFE06666"/>
          <bgColor rgb="FFE06666"/>
        </patternFill>
      </fill>
      <border/>
    </dxf>
    <dxf>
      <font>
        <color rgb="FFFF0000"/>
      </font>
      <fill>
        <patternFill patternType="none"/>
      </fill>
      <border/>
    </dxf>
    <dxf>
      <font>
        <b/>
        <color rgb="FF000000"/>
      </font>
      <fill>
        <patternFill patternType="solid">
          <fgColor rgb="FFFF0000"/>
          <bgColor rgb="FFFF0000"/>
        </patternFill>
      </fill>
      <border/>
    </dxf>
    <dxf>
      <font>
        <b/>
        <color rgb="FF000000"/>
      </font>
      <fill>
        <patternFill patternType="solid">
          <fgColor rgb="FF00FF00"/>
          <bgColor rgb="FF00FF00"/>
        </patternFill>
      </fill>
      <border/>
    </dxf>
    <dxf>
      <font/>
      <fill>
        <patternFill patternType="solid">
          <fgColor rgb="FF000000"/>
          <bgColor rgb="FF000000"/>
        </patternFill>
      </fill>
      <border/>
    </dxf>
    <dxf>
      <font>
        <u/>
        <color rgb="FFFFFF00"/>
      </font>
      <fill>
        <patternFill patternType="solid">
          <fgColor rgb="FF000000"/>
          <bgColor rgb="FF000000"/>
        </patternFill>
      </fill>
      <border/>
    </dxf>
    <dxf>
      <font>
        <color rgb="FFFFFF00"/>
      </font>
      <fill>
        <patternFill patternType="solid">
          <fgColor rgb="FF434343"/>
          <bgColor rgb="FF434343"/>
        </patternFill>
      </fill>
      <border/>
    </dxf>
    <dxf>
      <font/>
      <fill>
        <patternFill patternType="solid">
          <fgColor rgb="FFFF0000"/>
          <bgColor rgb="FFFF0000"/>
        </patternFill>
      </fill>
      <border/>
    </dxf>
    <dxf>
      <font>
        <b/>
        <color rgb="FFFF0000"/>
      </font>
      <fill>
        <patternFill patternType="none"/>
      </fill>
      <border/>
    </dxf>
    <dxf>
      <font>
        <color rgb="FFB7B7B7"/>
      </font>
      <fill>
        <patternFill patternType="none"/>
      </fill>
      <border/>
    </dxf>
    <dxf>
      <font>
        <u/>
        <color rgb="FFFFFFFF"/>
      </font>
      <fill>
        <patternFill patternType="solid">
          <fgColor rgb="FF0B5394"/>
          <bgColor rgb="FF0B5394"/>
        </patternFill>
      </fill>
      <border/>
    </dxf>
    <dxf>
      <font>
        <color rgb="FF000000"/>
      </font>
      <fill>
        <patternFill patternType="solid">
          <fgColor rgb="FF3D85C6"/>
          <bgColor rgb="FF3D85C6"/>
        </patternFill>
      </fill>
      <border/>
    </dxf>
    <dxf>
      <font>
        <color rgb="FF000000"/>
      </font>
      <fill>
        <patternFill patternType="solid">
          <fgColor rgb="FF6FA8DC"/>
          <bgColor rgb="FF6FA8DC"/>
        </patternFill>
      </fill>
      <border/>
    </dxf>
    <dxf>
      <font>
        <color rgb="FF000000"/>
      </font>
      <fill>
        <patternFill patternType="solid">
          <fgColor rgb="FF9FC5E8"/>
          <bgColor rgb="FF9FC5E8"/>
        </patternFill>
      </fill>
      <border/>
    </dxf>
    <dxf>
      <font/>
      <fill>
        <patternFill patternType="solid">
          <fgColor rgb="FF6D9EEB"/>
          <bgColor rgb="FF6D9EEB"/>
        </patternFill>
      </fill>
      <border/>
    </dxf>
    <dxf>
      <font/>
      <fill>
        <patternFill patternType="solid">
          <fgColor rgb="FFCC4125"/>
          <bgColor rgb="FFCC4125"/>
        </patternFill>
      </fill>
      <border/>
    </dxf>
    <dxf>
      <font>
        <color rgb="FF000000"/>
      </font>
      <fill>
        <patternFill patternType="solid">
          <fgColor rgb="FF000000"/>
          <bgColor rgb="FF000000"/>
        </patternFill>
      </fill>
      <border/>
    </dxf>
    <dxf>
      <font>
        <b/>
        <color rgb="FF000000"/>
      </font>
      <fill>
        <patternFill patternType="solid">
          <fgColor rgb="FFFFD966"/>
          <bgColor rgb="FFFFD966"/>
        </patternFill>
      </fill>
      <border/>
    </dxf>
    <dxf>
      <font>
        <b/>
        <color rgb="FF000000"/>
      </font>
      <fill>
        <patternFill patternType="solid">
          <fgColor rgb="FFE06666"/>
          <bgColor rgb="FFE06666"/>
        </patternFill>
      </fill>
      <border/>
    </dxf>
    <dxf>
      <font>
        <b/>
        <color rgb="FF000000"/>
      </font>
      <fill>
        <patternFill patternType="solid">
          <fgColor rgb="FFEA9999"/>
          <bgColor rgb="FFEA9999"/>
        </patternFill>
      </fill>
      <border/>
    </dxf>
    <dxf>
      <font>
        <b/>
        <color rgb="FF000000"/>
      </font>
      <fill>
        <patternFill patternType="solid">
          <fgColor rgb="FF999999"/>
          <bgColor rgb="FF999999"/>
        </patternFill>
      </fill>
      <border/>
    </dxf>
    <dxf>
      <font>
        <b/>
        <color rgb="FF000000"/>
      </font>
      <fill>
        <patternFill patternType="solid">
          <fgColor rgb="FF666666"/>
          <bgColor rgb="FF666666"/>
        </patternFill>
      </fill>
      <border/>
    </dxf>
    <dxf>
      <font>
        <color rgb="FF666666"/>
      </font>
      <fill>
        <patternFill patternType="none"/>
      </fill>
      <border/>
    </dxf>
    <dxf>
      <font>
        <color rgb="FFFF0000"/>
      </font>
      <fill>
        <patternFill patternType="solid">
          <fgColor rgb="FF000000"/>
          <bgColor rgb="FF000000"/>
        </patternFill>
      </fill>
      <border/>
    </dxf>
    <dxf>
      <font>
        <color rgb="FF434343"/>
      </font>
      <fill>
        <patternFill patternType="solid">
          <fgColor rgb="FF000000"/>
          <bgColor rgb="FF000000"/>
        </patternFill>
      </fill>
      <border/>
    </dxf>
    <dxf>
      <font>
        <color rgb="FFFF0000"/>
      </font>
      <fill>
        <patternFill patternType="solid">
          <fgColor rgb="FF434343"/>
          <bgColor rgb="FF434343"/>
        </patternFill>
      </fill>
      <border/>
    </dxf>
    <dxf>
      <font>
        <color rgb="FF666666"/>
      </font>
      <fill>
        <patternFill patternType="solid">
          <fgColor rgb="FF000000"/>
          <bgColor rgb="FF000000"/>
        </patternFill>
      </fill>
      <border/>
    </dxf>
    <dxf>
      <font>
        <color rgb="FF00FF00"/>
      </font>
      <fill>
        <patternFill patternType="solid">
          <fgColor rgb="FF000000"/>
          <bgColor rgb="FF000000"/>
        </patternFill>
      </fill>
      <border/>
    </dxf>
    <dxf>
      <font>
        <color rgb="FFF3F3F3"/>
      </font>
      <fill>
        <patternFill patternType="solid">
          <fgColor rgb="FFFF9900"/>
          <bgColor rgb="FFFF9900"/>
        </patternFill>
      </fill>
      <border/>
    </dxf>
    <dxf>
      <font>
        <color rgb="FFFFFFFF"/>
      </font>
      <fill>
        <patternFill patternType="solid">
          <fgColor rgb="FFFF9900"/>
          <bgColor rgb="FFFF9900"/>
        </patternFill>
      </fill>
      <border/>
    </dxf>
    <dxf>
      <font>
        <color rgb="FFFFFF00"/>
      </font>
      <fill>
        <patternFill patternType="solid">
          <fgColor rgb="FFFF9900"/>
          <bgColor rgb="FFFF9900"/>
        </patternFill>
      </fill>
      <border/>
    </dxf>
    <dxf>
      <font>
        <color rgb="FFFFFF00"/>
      </font>
      <fill>
        <patternFill patternType="solid">
          <fgColor rgb="FFFFB800"/>
          <bgColor rgb="FFFFB800"/>
        </patternFill>
      </fill>
      <border/>
    </dxf>
    <dxf>
      <font/>
      <fill>
        <patternFill patternType="solid">
          <fgColor rgb="FF00FF00"/>
          <bgColor rgb="FF00FF00"/>
        </patternFill>
      </fill>
      <border/>
    </dxf>
    <dxf>
      <font>
        <color rgb="FFFFFF00"/>
      </font>
      <fill>
        <patternFill patternType="solid">
          <fgColor rgb="FFD28433"/>
          <bgColor rgb="FFD28433"/>
        </patternFill>
      </fill>
      <border/>
    </dxf>
    <dxf>
      <font>
        <b/>
        <u/>
        <color rgb="FF000000"/>
      </font>
      <fill>
        <patternFill patternType="solid">
          <fgColor rgb="FFFF9900"/>
          <bgColor rgb="FFFF9900"/>
        </patternFill>
      </fill>
      <border/>
    </dxf>
    <dxf>
      <font>
        <b/>
        <color rgb="FFFFFFFF"/>
      </font>
      <fill>
        <patternFill patternType="solid">
          <fgColor rgb="FF38761D"/>
          <bgColor rgb="FF38761D"/>
        </patternFill>
      </fill>
      <border/>
    </dxf>
    <dxf>
      <font>
        <b/>
        <color rgb="FFFFFFFF"/>
      </font>
      <fill>
        <patternFill patternType="solid">
          <fgColor rgb="FF274E13"/>
          <bgColor rgb="FF274E13"/>
        </patternFill>
      </fill>
      <border/>
    </dxf>
    <dxf>
      <font>
        <b/>
        <color rgb="FFFFFFFF"/>
      </font>
      <fill>
        <patternFill patternType="solid">
          <fgColor rgb="FF6AA84F"/>
          <bgColor rgb="FF6AA84F"/>
        </patternFill>
      </fill>
      <border/>
    </dxf>
    <dxf>
      <font>
        <color rgb="FF6AA84F"/>
      </font>
      <fill>
        <patternFill patternType="solid">
          <fgColor rgb="FF000000"/>
          <bgColor rgb="FF000000"/>
        </patternFill>
      </fill>
      <border/>
    </dxf>
    <dxf>
      <font>
        <color rgb="FFCC0000"/>
      </font>
      <fill>
        <patternFill patternType="solid">
          <fgColor rgb="FF000000"/>
          <bgColor rgb="FF000000"/>
        </patternFill>
      </fill>
      <border/>
    </dxf>
  </dxf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dr:oneCellAnchor>
    <xdr:from>
      <xdr:col>14</xdr:col>
      <xdr:colOff>38100</xdr:colOff>
      <xdr:row>4</xdr:row>
      <xdr:rowOff>200025</xdr:rowOff>
    </xdr:from>
    <xdr:ext cx="885825" cy="381000"/>
    <xdr:grpSp>
      <xdr:nvGrpSpPr>
        <xdr:cNvPr id="2" name="Shape 2" title="Drawing"/>
        <xdr:cNvGrpSpPr/>
      </xdr:nvGrpSpPr>
      <xdr:grpSpPr>
        <a:xfrm>
          <a:off x="57150" y="62450"/>
          <a:ext cx="1419300" cy="609600"/>
          <a:chOff x="57150" y="62450"/>
          <a:chExt cx="1419300" cy="609600"/>
        </a:xfrm>
      </xdr:grpSpPr>
      <xdr:sp>
        <xdr:nvSpPr>
          <xdr:cNvPr id="4" name="Shape 4"/>
          <xdr:cNvSpPr/>
        </xdr:nvSpPr>
        <xdr:spPr>
          <a:xfrm>
            <a:off x="57150" y="62450"/>
            <a:ext cx="1419300" cy="609600"/>
          </a:xfrm>
          <a:prstGeom prst="round2DiagRect">
            <a:avLst>
              <a:gd fmla="val 16667" name="adj1"/>
              <a:gd fmla="val 0" name="adj2"/>
            </a:avLst>
          </a:prstGeom>
          <a:solidFill>
            <a:srgbClr val="E06666"/>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sp>
        <xdr:nvSpPr>
          <xdr:cNvPr id="5" name="Shape 5"/>
          <xdr:cNvSpPr txBox="1"/>
        </xdr:nvSpPr>
        <xdr:spPr>
          <a:xfrm>
            <a:off x="95250" y="81500"/>
            <a:ext cx="1323900" cy="533400"/>
          </a:xfrm>
          <a:prstGeom prst="rect">
            <a:avLst/>
          </a:prstGeom>
          <a:noFill/>
          <a:ln>
            <a:noFill/>
          </a:ln>
        </xdr:spPr>
        <xdr:txBody>
          <a:bodyPr anchorCtr="0" anchor="t" bIns="91425" lIns="91425" spcFirstLastPara="1" rIns="91425" wrap="square" tIns="91425">
            <a:noAutofit/>
          </a:bodyPr>
          <a:lstStyle/>
          <a:p>
            <a:pPr indent="0" lvl="0" marL="0" rtl="0" algn="ctr">
              <a:spcBef>
                <a:spcPts val="0"/>
              </a:spcBef>
              <a:spcAft>
                <a:spcPts val="0"/>
              </a:spcAft>
              <a:buNone/>
            </a:pPr>
            <a:r>
              <a:rPr lang="en-US" sz="1400"/>
              <a:t>Reset Tree (script)</a:t>
            </a:r>
            <a:endParaRPr sz="1400"/>
          </a:p>
        </xdr:txBody>
      </xdr:sp>
    </xdr:grpSp>
    <xdr:clientData fLocksWithSheet="0"/>
  </xdr:oneCellAnchor>
  <xdr:oneCellAnchor>
    <xdr:from>
      <xdr:col>35</xdr:col>
      <xdr:colOff>171450</xdr:colOff>
      <xdr:row>28</xdr:row>
      <xdr:rowOff>152400</xdr:rowOff>
    </xdr:from>
    <xdr:ext cx="1076325" cy="590550"/>
    <xdr:grpSp>
      <xdr:nvGrpSpPr>
        <xdr:cNvPr id="2" name="Shape 2" title="Drawing"/>
        <xdr:cNvGrpSpPr/>
      </xdr:nvGrpSpPr>
      <xdr:grpSpPr>
        <a:xfrm>
          <a:off x="152400" y="47720"/>
          <a:ext cx="5429489" cy="2986030"/>
          <a:chOff x="152400" y="47720"/>
          <a:chExt cx="5429489" cy="2986030"/>
        </a:xfrm>
      </xdr:grpSpPr>
      <xdr:sp>
        <xdr:nvSpPr>
          <xdr:cNvPr id="6" name="Shape 6"/>
          <xdr:cNvSpPr/>
        </xdr:nvSpPr>
        <xdr:spPr>
          <a:xfrm>
            <a:off x="152400" y="252450"/>
            <a:ext cx="5391300" cy="2781300"/>
          </a:xfrm>
          <a:prstGeom prst="rect">
            <a:avLst/>
          </a:prstGeom>
          <a:solidFill>
            <a:srgbClr val="000000"/>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sp>
        <xdr:nvSpPr>
          <xdr:cNvPr id="7" name="Shape 7"/>
          <xdr:cNvSpPr/>
        </xdr:nvSpPr>
        <xdr:spPr>
          <a:xfrm rot="4440473">
            <a:off x="397282" y="390030"/>
            <a:ext cx="1213045" cy="1229941"/>
          </a:xfrm>
          <a:prstGeom prst="bentArrow">
            <a:avLst>
              <a:gd fmla="val 25000" name="adj1"/>
              <a:gd fmla="val 25000" name="adj2"/>
              <a:gd fmla="val 25000" name="adj3"/>
              <a:gd fmla="val 43750" name="adj4"/>
            </a:avLst>
          </a:prstGeom>
          <a:solidFill>
            <a:srgbClr val="CFE2F3"/>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sp>
        <xdr:nvSpPr>
          <xdr:cNvPr id="8" name="Shape 8"/>
          <xdr:cNvSpPr/>
        </xdr:nvSpPr>
        <xdr:spPr>
          <a:xfrm>
            <a:off x="1104900" y="1581150"/>
            <a:ext cx="4257600" cy="1452600"/>
          </a:xfrm>
          <a:prstGeom prst="roundRect">
            <a:avLst>
              <a:gd fmla="val 16667" name="adj"/>
            </a:avLst>
          </a:prstGeom>
          <a:solidFill>
            <a:srgbClr val="CFE2F3"/>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sp>
        <xdr:nvSpPr>
          <xdr:cNvPr id="9" name="Shape 9"/>
          <xdr:cNvSpPr txBox="1"/>
        </xdr:nvSpPr>
        <xdr:spPr>
          <a:xfrm>
            <a:off x="1304925" y="1650300"/>
            <a:ext cx="4181400" cy="1314300"/>
          </a:xfrm>
          <a:prstGeom prst="rect">
            <a:avLst/>
          </a:prstGeom>
          <a:noFill/>
          <a:ln>
            <a:noFill/>
          </a:ln>
        </xdr:spPr>
        <xdr:txBody>
          <a:bodyPr anchorCtr="0" anchor="t" bIns="91425" lIns="91425" spcFirstLastPara="1" rIns="91425" wrap="square" tIns="91425">
            <a:noAutofit/>
          </a:bodyPr>
          <a:lstStyle/>
          <a:p>
            <a:pPr indent="0" lvl="0" marL="0" rtl="0" algn="l">
              <a:spcBef>
                <a:spcPts val="0"/>
              </a:spcBef>
              <a:spcAft>
                <a:spcPts val="0"/>
              </a:spcAft>
              <a:buNone/>
            </a:pPr>
            <a:r>
              <a:rPr lang="en-US" sz="7200"/>
              <a:t>MyBuilds</a:t>
            </a:r>
            <a:endParaRPr sz="7200"/>
          </a:p>
        </xdr:txBody>
      </xdr:sp>
      <xdr:sp>
        <xdr:nvSpPr>
          <xdr:cNvPr id="10" name="Shape 10"/>
          <xdr:cNvSpPr/>
        </xdr:nvSpPr>
        <xdr:spPr>
          <a:xfrm>
            <a:off x="1190625" y="2781300"/>
            <a:ext cx="4067100" cy="183300"/>
          </a:xfrm>
          <a:prstGeom prst="roundRect">
            <a:avLst>
              <a:gd fmla="val 16667" name="adj"/>
            </a:avLst>
          </a:prstGeom>
          <a:solidFill>
            <a:srgbClr val="93C47D"/>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sp>
        <xdr:nvSpPr>
          <xdr:cNvPr id="11" name="Shape 11"/>
          <xdr:cNvSpPr txBox="1"/>
        </xdr:nvSpPr>
        <xdr:spPr>
          <a:xfrm rot="295">
            <a:off x="2085989" y="47720"/>
            <a:ext cx="3495900" cy="1085700"/>
          </a:xfrm>
          <a:prstGeom prst="rect">
            <a:avLst/>
          </a:prstGeom>
          <a:noFill/>
          <a:ln>
            <a:noFill/>
          </a:ln>
        </xdr:spPr>
        <xdr:txBody>
          <a:bodyPr anchorCtr="0" anchor="t" bIns="91425" lIns="91425" spcFirstLastPara="1" rIns="91425" wrap="square" tIns="91425">
            <a:noAutofit/>
          </a:bodyPr>
          <a:lstStyle/>
          <a:p>
            <a:pPr indent="0" lvl="0" marL="0" rtl="0" algn="l">
              <a:spcBef>
                <a:spcPts val="0"/>
              </a:spcBef>
              <a:spcAft>
                <a:spcPts val="0"/>
              </a:spcAft>
              <a:buNone/>
            </a:pPr>
            <a:r>
              <a:rPr b="1" lang="en-US" sz="9600">
                <a:solidFill>
                  <a:srgbClr val="FF0000"/>
                </a:solidFill>
              </a:rPr>
              <a:t>SAVE</a:t>
            </a:r>
            <a:endParaRPr b="1" sz="9600">
              <a:solidFill>
                <a:srgbClr val="FF0000"/>
              </a:solidFill>
            </a:endParaRPr>
          </a:p>
        </xdr:txBody>
      </xdr:sp>
    </xdr:grpSp>
    <xdr:clientData fLocksWithSheet="0"/>
  </xdr:oneCellAnchor>
  <xdr:oneCellAnchor>
    <xdr:from>
      <xdr:col>17</xdr:col>
      <xdr:colOff>57150</xdr:colOff>
      <xdr:row>28</xdr:row>
      <xdr:rowOff>114300</xdr:rowOff>
    </xdr:from>
    <xdr:ext cx="1066800" cy="628650"/>
    <xdr:grpSp>
      <xdr:nvGrpSpPr>
        <xdr:cNvPr id="2" name="Shape 2" title="Drawing"/>
        <xdr:cNvGrpSpPr/>
      </xdr:nvGrpSpPr>
      <xdr:grpSpPr>
        <a:xfrm>
          <a:off x="104775" y="-66675"/>
          <a:ext cx="5219775" cy="3143325"/>
          <a:chOff x="104775" y="-66675"/>
          <a:chExt cx="5219775" cy="3143325"/>
        </a:xfrm>
      </xdr:grpSpPr>
      <xdr:sp>
        <xdr:nvSpPr>
          <xdr:cNvPr id="12" name="Shape 12"/>
          <xdr:cNvSpPr/>
        </xdr:nvSpPr>
        <xdr:spPr>
          <a:xfrm>
            <a:off x="104775" y="133350"/>
            <a:ext cx="5048100" cy="2943300"/>
          </a:xfrm>
          <a:prstGeom prst="rect">
            <a:avLst/>
          </a:prstGeom>
          <a:solidFill>
            <a:srgbClr val="000000"/>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sp>
        <xdr:nvSpPr>
          <xdr:cNvPr id="13" name="Shape 13"/>
          <xdr:cNvSpPr txBox="1"/>
        </xdr:nvSpPr>
        <xdr:spPr>
          <a:xfrm>
            <a:off x="1619250" y="-66675"/>
            <a:ext cx="3505200" cy="1114500"/>
          </a:xfrm>
          <a:prstGeom prst="rect">
            <a:avLst/>
          </a:prstGeom>
          <a:noFill/>
          <a:ln>
            <a:noFill/>
          </a:ln>
        </xdr:spPr>
        <xdr:txBody>
          <a:bodyPr anchorCtr="0" anchor="t" bIns="91425" lIns="91425" spcFirstLastPara="1" rIns="91425" wrap="square" tIns="91425">
            <a:noAutofit/>
          </a:bodyPr>
          <a:lstStyle/>
          <a:p>
            <a:pPr indent="0" lvl="0" marL="0" rtl="0" algn="l">
              <a:spcBef>
                <a:spcPts val="0"/>
              </a:spcBef>
              <a:spcAft>
                <a:spcPts val="0"/>
              </a:spcAft>
              <a:buNone/>
            </a:pPr>
            <a:r>
              <a:rPr lang="en-US" sz="9600">
                <a:solidFill>
                  <a:srgbClr val="FF0000"/>
                </a:solidFill>
              </a:rPr>
              <a:t>LOAD</a:t>
            </a:r>
            <a:endParaRPr sz="9600">
              <a:solidFill>
                <a:srgbClr val="FF0000"/>
              </a:solidFill>
            </a:endParaRPr>
          </a:p>
        </xdr:txBody>
      </xdr:sp>
      <xdr:sp>
        <xdr:nvSpPr>
          <xdr:cNvPr id="14" name="Shape 14"/>
          <xdr:cNvSpPr/>
        </xdr:nvSpPr>
        <xdr:spPr>
          <a:xfrm>
            <a:off x="476250" y="1352550"/>
            <a:ext cx="4467300" cy="1724100"/>
          </a:xfrm>
          <a:prstGeom prst="roundRect">
            <a:avLst>
              <a:gd fmla="val 16667" name="adj"/>
            </a:avLst>
          </a:prstGeom>
          <a:solidFill>
            <a:srgbClr val="CFE2F3"/>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sp>
        <xdr:nvSpPr>
          <xdr:cNvPr id="15" name="Shape 15"/>
          <xdr:cNvSpPr txBox="1"/>
        </xdr:nvSpPr>
        <xdr:spPr>
          <a:xfrm>
            <a:off x="742950" y="1390650"/>
            <a:ext cx="4581600" cy="1666800"/>
          </a:xfrm>
          <a:prstGeom prst="rect">
            <a:avLst/>
          </a:prstGeom>
          <a:noFill/>
          <a:ln>
            <a:noFill/>
          </a:ln>
        </xdr:spPr>
        <xdr:txBody>
          <a:bodyPr anchorCtr="0" anchor="t" bIns="91425" lIns="91425" spcFirstLastPara="1" rIns="91425" wrap="square" tIns="91425">
            <a:noAutofit/>
          </a:bodyPr>
          <a:lstStyle/>
          <a:p>
            <a:pPr indent="0" lvl="0" marL="0" rtl="0" algn="l">
              <a:spcBef>
                <a:spcPts val="0"/>
              </a:spcBef>
              <a:spcAft>
                <a:spcPts val="0"/>
              </a:spcAft>
              <a:buNone/>
            </a:pPr>
            <a:r>
              <a:rPr lang="en-US" sz="7200"/>
              <a:t>MyBuilds</a:t>
            </a:r>
            <a:endParaRPr sz="7200"/>
          </a:p>
        </xdr:txBody>
      </xdr:sp>
      <xdr:sp>
        <xdr:nvSpPr>
          <xdr:cNvPr id="16" name="Shape 16"/>
          <xdr:cNvSpPr/>
        </xdr:nvSpPr>
        <xdr:spPr>
          <a:xfrm>
            <a:off x="600075" y="2581275"/>
            <a:ext cx="4219500" cy="295200"/>
          </a:xfrm>
          <a:prstGeom prst="roundRect">
            <a:avLst>
              <a:gd fmla="val 16667" name="adj"/>
            </a:avLst>
          </a:prstGeom>
          <a:solidFill>
            <a:srgbClr val="93C47D"/>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sp>
        <xdr:nvSpPr>
          <xdr:cNvPr id="17" name="Shape 17"/>
          <xdr:cNvSpPr/>
        </xdr:nvSpPr>
        <xdr:spPr>
          <a:xfrm rot="2246188">
            <a:off x="171810" y="708259"/>
            <a:ext cx="1316704" cy="666812"/>
          </a:xfrm>
          <a:prstGeom prst="leftArrow">
            <a:avLst>
              <a:gd fmla="val 50000" name="adj1"/>
              <a:gd fmla="val 50000" name="adj2"/>
            </a:avLst>
          </a:prstGeom>
          <a:solidFill>
            <a:srgbClr val="00FF00"/>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grpSp>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dr:oneCellAnchor>
    <xdr:from>
      <xdr:col>11</xdr:col>
      <xdr:colOff>95250</xdr:colOff>
      <xdr:row>1</xdr:row>
      <xdr:rowOff>28575</xdr:rowOff>
    </xdr:from>
    <xdr:ext cx="533400" cy="266700"/>
    <xdr:sp>
      <xdr:nvSpPr>
        <xdr:cNvPr id="3" name="Shape 3"/>
        <xdr:cNvSpPr/>
      </xdr:nvSpPr>
      <xdr:spPr>
        <a:xfrm>
          <a:off x="123825" y="123825"/>
          <a:ext cx="971700" cy="476400"/>
        </a:xfrm>
        <a:prstGeom prst="rect">
          <a:avLst/>
        </a:prstGeom>
        <a:solidFill>
          <a:srgbClr val="FF0000"/>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ctr">
            <a:spcBef>
              <a:spcPts val="0"/>
            </a:spcBef>
            <a:spcAft>
              <a:spcPts val="0"/>
            </a:spcAft>
            <a:buNone/>
          </a:pPr>
          <a:r>
            <a:rPr lang="en-US" sz="1400"/>
            <a:t>Reset NonMAX</a:t>
          </a:r>
          <a:endParaRPr sz="1400"/>
        </a:p>
      </xdr:txBody>
    </xdr:sp>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40" Type="http://schemas.openxmlformats.org/officeDocument/2006/relationships/hyperlink" Target="https://vignette.wikia.nocookie.net/tap-titans-2/images/9/94/Limit_Break_Icon.png/revision/latest?cb=20180118193545" TargetMode="External"/><Relationship Id="rId42" Type="http://schemas.openxmlformats.org/officeDocument/2006/relationships/hyperlink" Target="https://vignette.wikia.nocookie.net/tap-titans-2/images/3/3d/Midas_Ultimate_Icon.png/revision/latest?cb=20180118193548" TargetMode="External"/><Relationship Id="rId41" Type="http://schemas.openxmlformats.org/officeDocument/2006/relationships/hyperlink" Target="https://vignette.wikia.nocookie.net/tap-titans-2/images/3/3d/Midas_Ultimate_Icon.png/revision/latest?cb=20180118193548" TargetMode="External"/><Relationship Id="rId44" Type="http://schemas.openxmlformats.org/officeDocument/2006/relationships/hyperlink" Target="https://vignette.wikia.nocookie.net/tap-titans-2/images/2/28/Angelic_Radiance_Icon.png/revision/latest?cb=20180118193540" TargetMode="External"/><Relationship Id="rId43" Type="http://schemas.openxmlformats.org/officeDocument/2006/relationships/hyperlink" Target="https://vignette.wikia.nocookie.net/tap-titans-2/images/2/28/Angelic_Radiance_Icon.png/revision/latest?cb=20180118193540" TargetMode="External"/><Relationship Id="rId46" Type="http://schemas.openxmlformats.org/officeDocument/2006/relationships/hyperlink" Target="https://vignette.wikia.nocookie.net/tap-titans-2/images/4/4c/Phantom_Vengeance_Icon.png/revision/latest?cb=20180118193548" TargetMode="External"/><Relationship Id="rId45" Type="http://schemas.openxmlformats.org/officeDocument/2006/relationships/hyperlink" Target="https://vignette.wikia.nocookie.net/tap-titans-2/images/4/4c/Phantom_Vengeance_Icon.png/revision/latest?cb=20180118193548" TargetMode="External"/><Relationship Id="rId1" Type="http://schemas.openxmlformats.org/officeDocument/2006/relationships/comments" Target="../comments1.xml"/><Relationship Id="rId2" Type="http://schemas.openxmlformats.org/officeDocument/2006/relationships/hyperlink" Target="http://tinyurl.com/tt2Optimizer" TargetMode="External"/><Relationship Id="rId3" Type="http://schemas.openxmlformats.org/officeDocument/2006/relationships/hyperlink" Target="https://vignette.wikia.nocookie.net/tap-titans-2/images/3/33/Knight%27s_Valor_Icon.png/revision/latest?cb=20180118180719" TargetMode="External"/><Relationship Id="rId4" Type="http://schemas.openxmlformats.org/officeDocument/2006/relationships/hyperlink" Target="https://vignette.wikia.nocookie.net/tap-titans-2/images/3/33/Knight%27s_Valor_Icon.png/revision/latest?cb=20180118180719" TargetMode="External"/><Relationship Id="rId9" Type="http://schemas.openxmlformats.org/officeDocument/2006/relationships/hyperlink" Target="https://vignette.wikia.nocookie.net/tap-titans-2/images/9/97/Heart_of_Midas_Icon.png/revision/latest?cb=20180118181547" TargetMode="External"/><Relationship Id="rId48" Type="http://schemas.openxmlformats.org/officeDocument/2006/relationships/hyperlink" Target="https://vignette.wikia.nocookie.net/tap-titans-2/images/8/88/Fairy_Charm_Icon.png/revision/latest?cb=20180118193543" TargetMode="External"/><Relationship Id="rId47" Type="http://schemas.openxmlformats.org/officeDocument/2006/relationships/hyperlink" Target="https://vignette.wikia.nocookie.net/tap-titans-2/images/8/88/Fairy_Charm_Icon.png/revision/latest?cb=20180118193543" TargetMode="External"/><Relationship Id="rId49" Type="http://schemas.openxmlformats.org/officeDocument/2006/relationships/hyperlink" Target="https://vignette.wikia.nocookie.net/tap-titans-2/images/7/77/Mana_Siphon_Icon.png/revision/latest?cb=20180118193546" TargetMode="External"/><Relationship Id="rId5" Type="http://schemas.openxmlformats.org/officeDocument/2006/relationships/hyperlink" Target="https://vignette.wikia.nocookie.net/tap-titans-2/images/f/f0/Chivalric_Order_Icon.png/revision/latest?cb=20180118180734" TargetMode="External"/><Relationship Id="rId6" Type="http://schemas.openxmlformats.org/officeDocument/2006/relationships/hyperlink" Target="https://vignette.wikia.nocookie.net/tap-titans-2/images/f/f0/Chivalric_Order_Icon.png/revision/latest?cb=20180118180734" TargetMode="External"/><Relationship Id="rId7" Type="http://schemas.openxmlformats.org/officeDocument/2006/relationships/hyperlink" Target="https://vignette.wikia.nocookie.net/tap-titans-2/images/5/5f/Pet_Evolution_Icon.png/revision/latest?cb=20180118180741" TargetMode="External"/><Relationship Id="rId8" Type="http://schemas.openxmlformats.org/officeDocument/2006/relationships/hyperlink" Target="https://vignette.wikia.nocookie.net/tap-titans-2/images/5/5f/Pet_Evolution_Icon.png/revision/latest?cb=20180118180741" TargetMode="External"/><Relationship Id="rId73" Type="http://schemas.openxmlformats.org/officeDocument/2006/relationships/drawing" Target="../drawings/drawing2.xml"/><Relationship Id="rId72" Type="http://schemas.openxmlformats.org/officeDocument/2006/relationships/hyperlink" Target="https://vignette.wikia.nocookie.net/tap-titans-2/images/f/f3/Shadow_Assassin_Icon.png/revision/latest?cb=20180118193640" TargetMode="External"/><Relationship Id="rId31" Type="http://schemas.openxmlformats.org/officeDocument/2006/relationships/hyperlink" Target="https://vignette.wikia.nocookie.net/tap-titans-2/images/b/b2/Searing_Light_Icon.png/revision/latest?cb=20180904162940" TargetMode="External"/><Relationship Id="rId30" Type="http://schemas.openxmlformats.org/officeDocument/2006/relationships/hyperlink" Target="https://vignette.wikia.nocookie.net/tap-titans-2/images/d/d5/Tactical_Insight_Icon.png/revision/latest?cb=20180118193643" TargetMode="External"/><Relationship Id="rId74" Type="http://schemas.openxmlformats.org/officeDocument/2006/relationships/vmlDrawing" Target="../drawings/vmlDrawing1.vml"/><Relationship Id="rId33" Type="http://schemas.openxmlformats.org/officeDocument/2006/relationships/hyperlink" Target="https://vignette.wikia.nocookie.net/tap-titans-2/images/1/12/Coordinated_Offensive_Icon.png/revision/latest?cb=20180118193542" TargetMode="External"/><Relationship Id="rId32" Type="http://schemas.openxmlformats.org/officeDocument/2006/relationships/hyperlink" Target="https://vignette.wikia.nocookie.net/tap-titans-2/images/b/b2/Searing_Light_Icon.png/revision/latest?cb=20180904162940" TargetMode="External"/><Relationship Id="rId35" Type="http://schemas.openxmlformats.org/officeDocument/2006/relationships/hyperlink" Target="https://vignette.wikia.nocookie.net/tap-titans-2/images/9/97/Astral_Awakening_Icon.png/revision/latest?cb=20180118193541" TargetMode="External"/><Relationship Id="rId34" Type="http://schemas.openxmlformats.org/officeDocument/2006/relationships/hyperlink" Target="https://vignette.wikia.nocookie.net/tap-titans-2/images/1/12/Coordinated_Offensive_Icon.png/revision/latest?cb=20180118193542" TargetMode="External"/><Relationship Id="rId71" Type="http://schemas.openxmlformats.org/officeDocument/2006/relationships/hyperlink" Target="https://vignette.wikia.nocookie.net/tap-titans-2/images/f/f3/Shadow_Assassin_Icon.png/revision/latest?cb=20180118193640" TargetMode="External"/><Relationship Id="rId70" Type="http://schemas.openxmlformats.org/officeDocument/2006/relationships/hyperlink" Target="https://vignette.wikia.nocookie.net/tap-titans-2/images/f/f9/Ghost_Ship_Icon.png/revision/latest?cb=20180118193544" TargetMode="External"/><Relationship Id="rId37" Type="http://schemas.openxmlformats.org/officeDocument/2006/relationships/hyperlink" Target="https://vignette.wikia.nocookie.net/tap-titans-2/images/b/bc/Anchoring_Shot_Icon.png/revision/latest?cb=20180118193540" TargetMode="External"/><Relationship Id="rId36" Type="http://schemas.openxmlformats.org/officeDocument/2006/relationships/hyperlink" Target="https://vignette.wikia.nocookie.net/tap-titans-2/images/9/97/Astral_Awakening_Icon.png/revision/latest?cb=20180118193541" TargetMode="External"/><Relationship Id="rId39" Type="http://schemas.openxmlformats.org/officeDocument/2006/relationships/hyperlink" Target="https://vignette.wikia.nocookie.net/tap-titans-2/images/9/94/Limit_Break_Icon.png/revision/latest?cb=20180118193545" TargetMode="External"/><Relationship Id="rId38" Type="http://schemas.openxmlformats.org/officeDocument/2006/relationships/hyperlink" Target="https://vignette.wikia.nocookie.net/tap-titans-2/images/b/bc/Anchoring_Shot_Icon.png/revision/latest?cb=20180118193540" TargetMode="External"/><Relationship Id="rId62" Type="http://schemas.openxmlformats.org/officeDocument/2006/relationships/hyperlink" Target="https://vignette.wikia.nocookie.net/tap-titans-2/images/0/05/Assassinate_Icon.png/revision/latest?cb=20180118193541" TargetMode="External"/><Relationship Id="rId61" Type="http://schemas.openxmlformats.org/officeDocument/2006/relationships/hyperlink" Target="https://vignette.wikia.nocookie.net/tap-titans-2/images/0/05/Assassinate_Icon.png/revision/latest?cb=20180118193541" TargetMode="External"/><Relationship Id="rId20" Type="http://schemas.openxmlformats.org/officeDocument/2006/relationships/hyperlink" Target="https://vignette.wikia.nocookie.net/tap-titans-2/images/8/8a/Flash_Zip_Icon.png/revision/latest?cb=20180118181547" TargetMode="External"/><Relationship Id="rId64" Type="http://schemas.openxmlformats.org/officeDocument/2006/relationships/hyperlink" Target="https://vignette.wikia.nocookie.net/tap-titans-2/images/b/b0/Silent_March_Icon.png/revision/latest?cb=20180118193642" TargetMode="External"/><Relationship Id="rId63" Type="http://schemas.openxmlformats.org/officeDocument/2006/relationships/hyperlink" Target="https://vignette.wikia.nocookie.net/tap-titans-2/images/b/b0/Silent_March_Icon.png/revision/latest?cb=20180118193642" TargetMode="External"/><Relationship Id="rId22" Type="http://schemas.openxmlformats.org/officeDocument/2006/relationships/hyperlink" Target="https://vignette.wikia.nocookie.net/tap-titans-2/images/6/60/Master_Commander_Icon.png/revision/latest?cb=20180118193547" TargetMode="External"/><Relationship Id="rId66" Type="http://schemas.openxmlformats.org/officeDocument/2006/relationships/hyperlink" Target="https://vignette.wikia.nocookie.net/tap-titans-2/images/7/72/Ambush_Icon.png/revision/latest?cb=20180118193539" TargetMode="External"/><Relationship Id="rId21" Type="http://schemas.openxmlformats.org/officeDocument/2006/relationships/hyperlink" Target="https://vignette.wikia.nocookie.net/tap-titans-2/images/6/60/Master_Commander_Icon.png/revision/latest?cb=20180118193547" TargetMode="External"/><Relationship Id="rId65" Type="http://schemas.openxmlformats.org/officeDocument/2006/relationships/hyperlink" Target="https://vignette.wikia.nocookie.net/tap-titans-2/images/7/72/Ambush_Icon.png/revision/latest?cb=20180118193539" TargetMode="External"/><Relationship Id="rId24" Type="http://schemas.openxmlformats.org/officeDocument/2006/relationships/hyperlink" Target="https://vignette.wikia.nocookie.net/tap-titans-2/images/8/87/Spoils_of_War_Icon.png/revision/latest?cb=20180118193642" TargetMode="External"/><Relationship Id="rId68" Type="http://schemas.openxmlformats.org/officeDocument/2006/relationships/hyperlink" Target="https://vignette.wikia.nocookie.net/tap-titans-2/images/0/0f/Twilight%27s_Veil_Icon.png/revision/latest?cb=20180118193643" TargetMode="External"/><Relationship Id="rId23" Type="http://schemas.openxmlformats.org/officeDocument/2006/relationships/hyperlink" Target="https://vignette.wikia.nocookie.net/tap-titans-2/images/8/87/Spoils_of_War_Icon.png/revision/latest?cb=20180118193642" TargetMode="External"/><Relationship Id="rId67" Type="http://schemas.openxmlformats.org/officeDocument/2006/relationships/hyperlink" Target="https://vignette.wikia.nocookie.net/tap-titans-2/images/0/0f/Twilight%27s_Veil_Icon.png/revision/latest?cb=20180118193643" TargetMode="External"/><Relationship Id="rId60" Type="http://schemas.openxmlformats.org/officeDocument/2006/relationships/hyperlink" Target="https://vignette.wikia.nocookie.net/tap-titans-2/images/2/20/Master_Thief_Icon.png/revision/latest?cb=20180118193547" TargetMode="External"/><Relationship Id="rId26" Type="http://schemas.openxmlformats.org/officeDocument/2006/relationships/hyperlink" Target="https://vignette.wikia.nocookie.net/tap-titans-2/images/c/c9/Heroic_Might_Icon.png/revision/latest?cb=20180118193544" TargetMode="External"/><Relationship Id="rId25" Type="http://schemas.openxmlformats.org/officeDocument/2006/relationships/hyperlink" Target="https://vignette.wikia.nocookie.net/tap-titans-2/images/c/c9/Heroic_Might_Icon.png/revision/latest?cb=20180118193544" TargetMode="External"/><Relationship Id="rId69" Type="http://schemas.openxmlformats.org/officeDocument/2006/relationships/hyperlink" Target="https://vignette.wikia.nocookie.net/tap-titans-2/images/f/f9/Ghost_Ship_Icon.png/revision/latest?cb=20180118193544" TargetMode="External"/><Relationship Id="rId28" Type="http://schemas.openxmlformats.org/officeDocument/2006/relationships/hyperlink" Target="https://vignette.wikia.nocookie.net/tap-titans-2/images/f/f4/Aerial_Assault_Icon.png/revision/latest?cb=20180118193539" TargetMode="External"/><Relationship Id="rId27" Type="http://schemas.openxmlformats.org/officeDocument/2006/relationships/hyperlink" Target="https://vignette.wikia.nocookie.net/tap-titans-2/images/f/f4/Aerial_Assault_Icon.png/revision/latest?cb=20180118193539" TargetMode="External"/><Relationship Id="rId29" Type="http://schemas.openxmlformats.org/officeDocument/2006/relationships/hyperlink" Target="https://vignette.wikia.nocookie.net/tap-titans-2/images/d/d5/Tactical_Insight_Icon.png/revision/latest?cb=20180118193643" TargetMode="External"/><Relationship Id="rId51" Type="http://schemas.openxmlformats.org/officeDocument/2006/relationships/hyperlink" Target="https://vignette.wikia.nocookie.net/tap-titans-2/images/4/44/Eternal_Darkness_Icon.png/revision/latest?cb=20180118193543" TargetMode="External"/><Relationship Id="rId50" Type="http://schemas.openxmlformats.org/officeDocument/2006/relationships/hyperlink" Target="https://vignette.wikia.nocookie.net/tap-titans-2/images/7/77/Mana_Siphon_Icon.png/revision/latest?cb=20180118193546" TargetMode="External"/><Relationship Id="rId53" Type="http://schemas.openxmlformats.org/officeDocument/2006/relationships/hyperlink" Target="https://vignette.wikia.nocookie.net/tap-titans-2/images/1/13/Manni_Mana_Icon.png/revision/latest?cb=20180118193546" TargetMode="External"/><Relationship Id="rId52" Type="http://schemas.openxmlformats.org/officeDocument/2006/relationships/hyperlink" Target="https://vignette.wikia.nocookie.net/tap-titans-2/images/4/44/Eternal_Darkness_Icon.png/revision/latest?cb=20180118193543" TargetMode="External"/><Relationship Id="rId11" Type="http://schemas.openxmlformats.org/officeDocument/2006/relationships/hyperlink" Target="https://vignette.wikia.nocookie.net/tap-titans-2/images/2/26/Cleaving_Strike_Icon.png/revision/latest?cb=20180118181728" TargetMode="External"/><Relationship Id="rId55" Type="http://schemas.openxmlformats.org/officeDocument/2006/relationships/hyperlink" Target="https://vignette.wikia.nocookie.net/tap-titans-2/images/a/a5/Lightning_Strike_Icon.png/revision/latest?cb=20180118193545" TargetMode="External"/><Relationship Id="rId10" Type="http://schemas.openxmlformats.org/officeDocument/2006/relationships/hyperlink" Target="https://vignette.wikia.nocookie.net/tap-titans-2/images/9/97/Heart_of_Midas_Icon.png/revision/latest?cb=20180118181547" TargetMode="External"/><Relationship Id="rId54" Type="http://schemas.openxmlformats.org/officeDocument/2006/relationships/hyperlink" Target="https://vignette.wikia.nocookie.net/tap-titans-2/images/1/13/Manni_Mana_Icon.png/revision/latest?cb=20180118193546" TargetMode="External"/><Relationship Id="rId13" Type="http://schemas.openxmlformats.org/officeDocument/2006/relationships/hyperlink" Target="https://vignette.wikia.nocookie.net/tap-titans-2/images/4/4b/Summon_Inferno_Icon.png/revision/latest?cb=20180118181548" TargetMode="External"/><Relationship Id="rId57" Type="http://schemas.openxmlformats.org/officeDocument/2006/relationships/hyperlink" Target="https://vignette.wikia.nocookie.net/tap-titans-2/images/6/6f/Dimensional_Shift_Icon.png/revision/latest?cb=20180118193542" TargetMode="External"/><Relationship Id="rId12" Type="http://schemas.openxmlformats.org/officeDocument/2006/relationships/hyperlink" Target="https://vignette.wikia.nocookie.net/tap-titans-2/images/2/26/Cleaving_Strike_Icon.png/revision/latest?cb=20180118181728" TargetMode="External"/><Relationship Id="rId56" Type="http://schemas.openxmlformats.org/officeDocument/2006/relationships/hyperlink" Target="https://vignette.wikia.nocookie.net/tap-titans-2/images/a/a5/Lightning_Strike_Icon.png/revision/latest?cb=20180118193545" TargetMode="External"/><Relationship Id="rId15" Type="http://schemas.openxmlformats.org/officeDocument/2006/relationships/hyperlink" Target="https://vignette.wikia.nocookie.net/tap-titans-2/images/f/f0/Lightning_Burst_Icon.png/revision/latest?cb=20180118181548" TargetMode="External"/><Relationship Id="rId59" Type="http://schemas.openxmlformats.org/officeDocument/2006/relationships/hyperlink" Target="https://vignette.wikia.nocookie.net/tap-titans-2/images/2/20/Master_Thief_Icon.png/revision/latest?cb=20180118193547" TargetMode="External"/><Relationship Id="rId14" Type="http://schemas.openxmlformats.org/officeDocument/2006/relationships/hyperlink" Target="https://vignette.wikia.nocookie.net/tap-titans-2/images/4/4b/Summon_Inferno_Icon.png/revision/latest?cb=20180118181548" TargetMode="External"/><Relationship Id="rId58" Type="http://schemas.openxmlformats.org/officeDocument/2006/relationships/hyperlink" Target="https://vignette.wikia.nocookie.net/tap-titans-2/images/6/6f/Dimensional_Shift_Icon.png/revision/latest?cb=20180118193542" TargetMode="External"/><Relationship Id="rId17" Type="http://schemas.openxmlformats.org/officeDocument/2006/relationships/hyperlink" Target="https://vignette.wikia.nocookie.net/tap-titans-2/images/3/36/Barbaric_Fury_Icon.png/revision/latest?cb=20180118181546" TargetMode="External"/><Relationship Id="rId16" Type="http://schemas.openxmlformats.org/officeDocument/2006/relationships/hyperlink" Target="https://vignette.wikia.nocookie.net/tap-titans-2/images/f/f0/Lightning_Burst_Icon.png/revision/latest?cb=20180118181548" TargetMode="External"/><Relationship Id="rId19" Type="http://schemas.openxmlformats.org/officeDocument/2006/relationships/hyperlink" Target="https://vignette.wikia.nocookie.net/tap-titans-2/images/8/8a/Flash_Zip_Icon.png/revision/latest?cb=20180118181547" TargetMode="External"/><Relationship Id="rId18" Type="http://schemas.openxmlformats.org/officeDocument/2006/relationships/hyperlink" Target="https://vignette.wikia.nocookie.net/tap-titans-2/images/3/36/Barbaric_Fury_Icon.png/revision/latest?cb=20180118181546"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youtu.be/w5H5wRuThnQ" TargetMode="Externa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www.reddit.com/r/TapTitans2/comments/9d0qbe/spartifact_optimizer_updated_v210/" TargetMode="External"/><Relationship Id="rId2"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0.0"/>
    <col customWidth="1" min="2" max="2" width="17.71"/>
    <col customWidth="1" min="3" max="3" width="8.71"/>
    <col customWidth="1" min="4" max="4" width="7.43"/>
    <col customWidth="1" min="5" max="5" width="19.86"/>
    <col customWidth="1" min="6" max="6" width="8.71"/>
    <col customWidth="1" min="7" max="7" width="21.57"/>
    <col customWidth="1" min="8" max="8" width="50.71"/>
    <col customWidth="1" min="9" max="9" width="11.86"/>
    <col customWidth="1" min="10" max="51" width="8.71"/>
    <col customWidth="1" min="52" max="52" width="28.57"/>
    <col customWidth="1" min="53" max="73" width="8.71"/>
    <col customWidth="1" min="74" max="74" width="27.0"/>
    <col customWidth="1" min="75" max="95" width="8.71"/>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row>
    <row r="2">
      <c r="A2" s="1" t="s">
        <v>117</v>
      </c>
      <c r="B2" s="1" t="s">
        <v>118</v>
      </c>
      <c r="C2" s="1">
        <v>0.0</v>
      </c>
      <c r="D2" s="1">
        <v>0.0</v>
      </c>
      <c r="E2" s="1" t="s">
        <v>119</v>
      </c>
      <c r="F2" s="1" t="s">
        <v>120</v>
      </c>
      <c r="G2" s="1" t="s">
        <v>121</v>
      </c>
      <c r="H2" s="1" t="s">
        <v>122</v>
      </c>
      <c r="I2" s="1">
        <v>25.0</v>
      </c>
      <c r="J2" s="1">
        <v>50.0</v>
      </c>
      <c r="K2" s="1">
        <v>50.0</v>
      </c>
      <c r="L2" s="1">
        <v>50.0</v>
      </c>
      <c r="M2" s="1">
        <v>50.0</v>
      </c>
      <c r="N2" s="1">
        <v>50.0</v>
      </c>
      <c r="O2" s="1">
        <v>50.0</v>
      </c>
      <c r="P2" s="1">
        <v>50.0</v>
      </c>
      <c r="Q2" s="1">
        <v>50.0</v>
      </c>
      <c r="R2" s="1">
        <v>50.0</v>
      </c>
      <c r="S2" s="1">
        <v>50.0</v>
      </c>
      <c r="T2" s="1">
        <v>50.0</v>
      </c>
      <c r="U2" s="1">
        <v>50.0</v>
      </c>
      <c r="V2" s="1">
        <v>50.0</v>
      </c>
      <c r="W2" s="1">
        <v>50.0</v>
      </c>
      <c r="X2" s="1">
        <v>50.0</v>
      </c>
      <c r="Y2" s="1">
        <v>50.0</v>
      </c>
      <c r="Z2" s="1">
        <v>50.0</v>
      </c>
      <c r="AA2" s="1">
        <v>50.0</v>
      </c>
      <c r="AB2" s="1">
        <v>50.0</v>
      </c>
      <c r="AC2" s="1">
        <v>50.0</v>
      </c>
      <c r="AD2" s="1">
        <v>50.0</v>
      </c>
      <c r="AE2" s="1">
        <v>50.0</v>
      </c>
      <c r="AF2" s="1">
        <v>50.0</v>
      </c>
      <c r="AG2" s="1">
        <v>50.0</v>
      </c>
      <c r="AH2" s="1">
        <v>50.0</v>
      </c>
      <c r="AI2" s="1">
        <v>50.0</v>
      </c>
      <c r="AJ2" s="1">
        <v>1.0</v>
      </c>
      <c r="AK2" s="1">
        <v>2.0</v>
      </c>
      <c r="AL2" s="1">
        <v>2.0</v>
      </c>
      <c r="AM2" s="1">
        <v>3.0</v>
      </c>
      <c r="AN2" s="1">
        <v>3.0</v>
      </c>
      <c r="AO2" s="1">
        <v>3.0</v>
      </c>
      <c r="AP2" s="1">
        <v>4.0</v>
      </c>
      <c r="AQ2" s="1">
        <v>5.0</v>
      </c>
      <c r="AR2" s="1">
        <v>5.0</v>
      </c>
      <c r="AS2" s="1">
        <v>6.0</v>
      </c>
      <c r="AT2" s="1">
        <v>7.0</v>
      </c>
      <c r="AU2" s="1">
        <v>8.0</v>
      </c>
      <c r="AV2" s="1">
        <v>9.0</v>
      </c>
      <c r="AW2" s="1">
        <v>11.0</v>
      </c>
      <c r="AX2" s="1">
        <v>12.0</v>
      </c>
      <c r="AY2" s="1">
        <v>14.0</v>
      </c>
      <c r="AZ2" s="1">
        <v>16.0</v>
      </c>
      <c r="BA2" s="1">
        <v>19.0</v>
      </c>
      <c r="BB2" s="1">
        <v>22.0</v>
      </c>
      <c r="BC2" s="1">
        <v>25.0</v>
      </c>
      <c r="BD2" s="1">
        <v>28.0</v>
      </c>
      <c r="BE2" s="1">
        <v>33.0</v>
      </c>
      <c r="BF2" s="1">
        <v>38.0</v>
      </c>
      <c r="BG2" s="1">
        <v>43.0</v>
      </c>
      <c r="BH2" s="1">
        <v>50.0</v>
      </c>
      <c r="BI2" s="1" t="s">
        <v>123</v>
      </c>
      <c r="BJ2" s="1" t="s">
        <v>124</v>
      </c>
      <c r="BK2" s="1">
        <v>0.0</v>
      </c>
      <c r="BL2" s="9">
        <v>1.2</v>
      </c>
      <c r="BM2" s="9">
        <v>1.71</v>
      </c>
      <c r="BN2" s="9">
        <v>2.43</v>
      </c>
      <c r="BO2" s="9">
        <v>3.82</v>
      </c>
      <c r="BP2" s="9">
        <v>6.02</v>
      </c>
      <c r="BQ2" s="9">
        <v>9.47</v>
      </c>
      <c r="BR2" s="9">
        <v>16.4</v>
      </c>
      <c r="BS2" s="9">
        <v>31.4</v>
      </c>
      <c r="BT2" s="9">
        <v>60.1</v>
      </c>
      <c r="BU2" s="9">
        <v>126.0</v>
      </c>
      <c r="BV2" s="9">
        <v>290.0</v>
      </c>
      <c r="BW2" s="9">
        <v>728.0</v>
      </c>
      <c r="BX2" s="9">
        <v>2000.0</v>
      </c>
      <c r="BY2" s="9">
        <v>6490.0</v>
      </c>
      <c r="BZ2" s="9">
        <v>22900.0</v>
      </c>
      <c r="CA2" s="9">
        <v>94800.0</v>
      </c>
      <c r="CB2" s="9">
        <v>459000.0</v>
      </c>
      <c r="CC2" s="9">
        <v>2790000.0</v>
      </c>
      <c r="CD2" s="9">
        <v>2.11E7</v>
      </c>
      <c r="CE2" s="9">
        <v>1.97E8</v>
      </c>
      <c r="CF2" s="9">
        <v>2.27E9</v>
      </c>
      <c r="CG2" s="9">
        <v>3.65E10</v>
      </c>
      <c r="CH2" s="9">
        <v>8.15E11</v>
      </c>
      <c r="CI2" s="9">
        <v>2.5E13</v>
      </c>
      <c r="CJ2" s="9">
        <v>1.19E15</v>
      </c>
      <c r="CK2" s="1" t="s">
        <v>119</v>
      </c>
      <c r="CL2" s="1">
        <v>0.0</v>
      </c>
      <c r="CM2" s="1">
        <v>0.0</v>
      </c>
      <c r="CN2" s="1">
        <v>0.0</v>
      </c>
      <c r="CO2" s="1">
        <v>0.0</v>
      </c>
      <c r="CP2" s="1">
        <v>0.0</v>
      </c>
      <c r="CQ2" s="1">
        <v>0.0</v>
      </c>
      <c r="CR2" s="1">
        <v>0.0</v>
      </c>
      <c r="CS2" s="1">
        <v>0.0</v>
      </c>
      <c r="CT2" s="1">
        <v>0.0</v>
      </c>
      <c r="CU2" s="1">
        <v>0.0</v>
      </c>
      <c r="CV2" s="1">
        <v>0.0</v>
      </c>
      <c r="CW2" s="1">
        <v>0.0</v>
      </c>
      <c r="CX2" s="1">
        <v>0.0</v>
      </c>
      <c r="CY2" s="1">
        <v>0.0</v>
      </c>
      <c r="CZ2" s="1">
        <v>0.0</v>
      </c>
      <c r="DA2" s="1">
        <v>0.0</v>
      </c>
      <c r="DB2" s="1">
        <v>0.0</v>
      </c>
      <c r="DC2" s="1">
        <v>0.0</v>
      </c>
      <c r="DD2" s="1">
        <v>0.0</v>
      </c>
      <c r="DE2" s="1">
        <v>0.0</v>
      </c>
      <c r="DF2" s="1">
        <v>0.0</v>
      </c>
      <c r="DG2" s="1">
        <v>0.0</v>
      </c>
      <c r="DH2" s="1">
        <v>0.0</v>
      </c>
      <c r="DI2" s="1">
        <v>0.0</v>
      </c>
      <c r="DJ2" s="1">
        <v>0.0</v>
      </c>
      <c r="DK2" s="1">
        <v>0.0</v>
      </c>
      <c r="DL2" s="1" t="s">
        <v>119</v>
      </c>
      <c r="DM2" s="1">
        <v>0.0</v>
      </c>
    </row>
    <row r="3">
      <c r="A3" s="1" t="s">
        <v>126</v>
      </c>
      <c r="B3" s="1" t="s">
        <v>118</v>
      </c>
      <c r="C3" s="1">
        <v>1.0</v>
      </c>
      <c r="D3" s="1">
        <v>3.0</v>
      </c>
      <c r="E3" s="1" t="s">
        <v>117</v>
      </c>
      <c r="F3" s="1" t="s">
        <v>127</v>
      </c>
      <c r="G3" s="1" t="s">
        <v>128</v>
      </c>
      <c r="H3" s="1" t="s">
        <v>129</v>
      </c>
      <c r="I3" s="1">
        <v>25.0</v>
      </c>
      <c r="J3" s="1">
        <v>250.0</v>
      </c>
      <c r="K3" s="1">
        <v>250.0</v>
      </c>
      <c r="L3" s="1">
        <v>250.0</v>
      </c>
      <c r="M3" s="1">
        <v>250.0</v>
      </c>
      <c r="N3" s="1">
        <v>250.0</v>
      </c>
      <c r="O3" s="1">
        <v>250.0</v>
      </c>
      <c r="P3" s="1">
        <v>250.0</v>
      </c>
      <c r="Q3" s="1">
        <v>250.0</v>
      </c>
      <c r="R3" s="1">
        <v>250.0</v>
      </c>
      <c r="S3" s="1">
        <v>250.0</v>
      </c>
      <c r="T3" s="1">
        <v>250.0</v>
      </c>
      <c r="U3" s="1">
        <v>250.0</v>
      </c>
      <c r="V3" s="1">
        <v>250.0</v>
      </c>
      <c r="W3" s="1">
        <v>250.0</v>
      </c>
      <c r="X3" s="1">
        <v>250.0</v>
      </c>
      <c r="Y3" s="1">
        <v>250.0</v>
      </c>
      <c r="Z3" s="1">
        <v>250.0</v>
      </c>
      <c r="AA3" s="1">
        <v>250.0</v>
      </c>
      <c r="AB3" s="1">
        <v>250.0</v>
      </c>
      <c r="AC3" s="1">
        <v>250.0</v>
      </c>
      <c r="AD3" s="1">
        <v>250.0</v>
      </c>
      <c r="AE3" s="1">
        <v>250.0</v>
      </c>
      <c r="AF3" s="1">
        <v>250.0</v>
      </c>
      <c r="AG3" s="1">
        <v>250.0</v>
      </c>
      <c r="AH3" s="1">
        <v>250.0</v>
      </c>
      <c r="AI3" s="1">
        <v>250.0</v>
      </c>
      <c r="AJ3" s="1">
        <v>1.0</v>
      </c>
      <c r="AK3" s="1">
        <v>2.0</v>
      </c>
      <c r="AL3" s="1">
        <v>2.0</v>
      </c>
      <c r="AM3" s="1">
        <v>3.0</v>
      </c>
      <c r="AN3" s="1">
        <v>3.0</v>
      </c>
      <c r="AO3" s="1">
        <v>3.0</v>
      </c>
      <c r="AP3" s="1">
        <v>4.0</v>
      </c>
      <c r="AQ3" s="1">
        <v>5.0</v>
      </c>
      <c r="AR3" s="1">
        <v>5.0</v>
      </c>
      <c r="AS3" s="1">
        <v>6.0</v>
      </c>
      <c r="AT3" s="1">
        <v>7.0</v>
      </c>
      <c r="AU3" s="1">
        <v>8.0</v>
      </c>
      <c r="AV3" s="1">
        <v>9.0</v>
      </c>
      <c r="AW3" s="1">
        <v>11.0</v>
      </c>
      <c r="AX3" s="1">
        <v>12.0</v>
      </c>
      <c r="AY3" s="1">
        <v>14.0</v>
      </c>
      <c r="AZ3" s="1">
        <v>16.0</v>
      </c>
      <c r="BA3" s="1">
        <v>19.0</v>
      </c>
      <c r="BB3" s="1">
        <v>22.0</v>
      </c>
      <c r="BC3" s="1">
        <v>25.0</v>
      </c>
      <c r="BD3" s="1">
        <v>28.0</v>
      </c>
      <c r="BE3" s="1">
        <v>33.0</v>
      </c>
      <c r="BF3" s="1">
        <v>38.0</v>
      </c>
      <c r="BG3" s="1">
        <v>43.0</v>
      </c>
      <c r="BH3" s="1">
        <v>50.0</v>
      </c>
      <c r="BI3" s="1" t="s">
        <v>123</v>
      </c>
      <c r="BJ3" s="1" t="s">
        <v>130</v>
      </c>
      <c r="BK3" s="1">
        <v>0.0</v>
      </c>
      <c r="BL3" s="1">
        <v>4.0E-4</v>
      </c>
      <c r="BM3" s="1">
        <v>6.0E-4</v>
      </c>
      <c r="BN3" s="1">
        <v>0.001</v>
      </c>
      <c r="BO3" s="1">
        <v>0.0017</v>
      </c>
      <c r="BP3" s="1">
        <v>0.0028</v>
      </c>
      <c r="BQ3" s="1">
        <v>0.0046</v>
      </c>
      <c r="BR3" s="1">
        <v>0.0082</v>
      </c>
      <c r="BS3" s="1">
        <v>0.0154</v>
      </c>
      <c r="BT3" s="1">
        <v>0.0291</v>
      </c>
      <c r="BU3" s="1">
        <v>0.0582</v>
      </c>
      <c r="BV3" s="1">
        <v>0.1237</v>
      </c>
      <c r="BW3" s="1">
        <v>0.2797</v>
      </c>
      <c r="BX3" s="1">
        <v>0.6728</v>
      </c>
      <c r="BY3" s="1">
        <v>1.8343</v>
      </c>
      <c r="BZ3" s="9">
        <v>5.33</v>
      </c>
      <c r="CA3" s="9">
        <v>17.6</v>
      </c>
      <c r="CB3" s="9">
        <v>66.1</v>
      </c>
      <c r="CC3" s="9">
        <v>303.0</v>
      </c>
      <c r="CD3" s="9">
        <v>1700.0</v>
      </c>
      <c r="CE3" s="9">
        <v>11700.0</v>
      </c>
      <c r="CF3" s="9">
        <v>99600.0</v>
      </c>
      <c r="CG3" s="9">
        <v>1210000.0</v>
      </c>
      <c r="CH3" s="9">
        <v>2.13E7</v>
      </c>
      <c r="CI3" s="9">
        <v>5.47E8</v>
      </c>
      <c r="CJ3" s="9">
        <v>2.42E10</v>
      </c>
      <c r="CK3" s="1" t="s">
        <v>119</v>
      </c>
      <c r="CL3" s="1">
        <v>0.0</v>
      </c>
      <c r="CM3" s="1">
        <v>0.0</v>
      </c>
      <c r="CN3" s="1">
        <v>0.0</v>
      </c>
      <c r="CO3" s="1">
        <v>0.0</v>
      </c>
      <c r="CP3" s="1">
        <v>0.0</v>
      </c>
      <c r="CQ3" s="1">
        <v>0.0</v>
      </c>
      <c r="CR3" s="1">
        <v>0.0</v>
      </c>
      <c r="CS3" s="1">
        <v>0.0</v>
      </c>
      <c r="CT3" s="1">
        <v>0.0</v>
      </c>
      <c r="CU3" s="1">
        <v>0.0</v>
      </c>
      <c r="CV3" s="1">
        <v>0.0</v>
      </c>
      <c r="CW3" s="1">
        <v>0.0</v>
      </c>
      <c r="CX3" s="1">
        <v>0.0</v>
      </c>
      <c r="CY3" s="1">
        <v>0.0</v>
      </c>
      <c r="CZ3" s="1">
        <v>0.0</v>
      </c>
      <c r="DA3" s="1">
        <v>0.0</v>
      </c>
      <c r="DB3" s="1">
        <v>0.0</v>
      </c>
      <c r="DC3" s="1">
        <v>0.0</v>
      </c>
      <c r="DD3" s="1">
        <v>0.0</v>
      </c>
      <c r="DE3" s="1">
        <v>0.0</v>
      </c>
      <c r="DF3" s="1">
        <v>0.0</v>
      </c>
      <c r="DG3" s="1">
        <v>0.0</v>
      </c>
      <c r="DH3" s="1">
        <v>0.0</v>
      </c>
      <c r="DI3" s="1">
        <v>0.0</v>
      </c>
      <c r="DJ3" s="1">
        <v>0.0</v>
      </c>
      <c r="DK3" s="1">
        <v>0.0</v>
      </c>
      <c r="DL3" s="1" t="s">
        <v>119</v>
      </c>
      <c r="DM3" s="1">
        <v>0.0</v>
      </c>
    </row>
    <row r="4">
      <c r="A4" s="1" t="s">
        <v>132</v>
      </c>
      <c r="B4" s="1" t="s">
        <v>118</v>
      </c>
      <c r="C4" s="1">
        <v>2.0</v>
      </c>
      <c r="D4" s="1">
        <v>3.0</v>
      </c>
      <c r="E4" s="1" t="s">
        <v>117</v>
      </c>
      <c r="F4" s="1" t="s">
        <v>127</v>
      </c>
      <c r="G4" s="1" t="s">
        <v>133</v>
      </c>
      <c r="H4" s="1" t="s">
        <v>134</v>
      </c>
      <c r="I4" s="1">
        <v>25.0</v>
      </c>
      <c r="J4" s="1">
        <v>250.0</v>
      </c>
      <c r="K4" s="1">
        <v>250.0</v>
      </c>
      <c r="L4" s="1">
        <v>250.0</v>
      </c>
      <c r="M4" s="1">
        <v>250.0</v>
      </c>
      <c r="N4" s="1">
        <v>250.0</v>
      </c>
      <c r="O4" s="1">
        <v>250.0</v>
      </c>
      <c r="P4" s="1">
        <v>250.0</v>
      </c>
      <c r="Q4" s="1">
        <v>250.0</v>
      </c>
      <c r="R4" s="1">
        <v>250.0</v>
      </c>
      <c r="S4" s="1">
        <v>250.0</v>
      </c>
      <c r="T4" s="1">
        <v>250.0</v>
      </c>
      <c r="U4" s="1">
        <v>250.0</v>
      </c>
      <c r="V4" s="1">
        <v>250.0</v>
      </c>
      <c r="W4" s="1">
        <v>250.0</v>
      </c>
      <c r="X4" s="1">
        <v>250.0</v>
      </c>
      <c r="Y4" s="1">
        <v>250.0</v>
      </c>
      <c r="Z4" s="1">
        <v>250.0</v>
      </c>
      <c r="AA4" s="1">
        <v>250.0</v>
      </c>
      <c r="AB4" s="1">
        <v>250.0</v>
      </c>
      <c r="AC4" s="1">
        <v>250.0</v>
      </c>
      <c r="AD4" s="1">
        <v>250.0</v>
      </c>
      <c r="AE4" s="1">
        <v>250.0</v>
      </c>
      <c r="AF4" s="1">
        <v>250.0</v>
      </c>
      <c r="AG4" s="1">
        <v>250.0</v>
      </c>
      <c r="AH4" s="1">
        <v>250.0</v>
      </c>
      <c r="AI4" s="1">
        <v>250.0</v>
      </c>
      <c r="AJ4" s="1">
        <v>1.0</v>
      </c>
      <c r="AK4" s="1">
        <v>2.0</v>
      </c>
      <c r="AL4" s="1">
        <v>2.0</v>
      </c>
      <c r="AM4" s="1">
        <v>3.0</v>
      </c>
      <c r="AN4" s="1">
        <v>3.0</v>
      </c>
      <c r="AO4" s="1">
        <v>3.0</v>
      </c>
      <c r="AP4" s="1">
        <v>4.0</v>
      </c>
      <c r="AQ4" s="1">
        <v>5.0</v>
      </c>
      <c r="AR4" s="1">
        <v>5.0</v>
      </c>
      <c r="AS4" s="1">
        <v>6.0</v>
      </c>
      <c r="AT4" s="1">
        <v>7.0</v>
      </c>
      <c r="AU4" s="1">
        <v>8.0</v>
      </c>
      <c r="AV4" s="1">
        <v>9.0</v>
      </c>
      <c r="AW4" s="1">
        <v>11.0</v>
      </c>
      <c r="AX4" s="1">
        <v>12.0</v>
      </c>
      <c r="AY4" s="1">
        <v>14.0</v>
      </c>
      <c r="AZ4" s="1">
        <v>16.0</v>
      </c>
      <c r="BA4" s="1">
        <v>19.0</v>
      </c>
      <c r="BB4" s="1">
        <v>22.0</v>
      </c>
      <c r="BC4" s="1">
        <v>25.0</v>
      </c>
      <c r="BD4" s="1">
        <v>28.0</v>
      </c>
      <c r="BE4" s="1">
        <v>33.0</v>
      </c>
      <c r="BF4" s="1">
        <v>38.0</v>
      </c>
      <c r="BG4" s="1">
        <v>43.0</v>
      </c>
      <c r="BH4" s="1">
        <v>50.0</v>
      </c>
      <c r="BI4" s="1" t="s">
        <v>123</v>
      </c>
      <c r="BJ4" s="1" t="s">
        <v>135</v>
      </c>
      <c r="BK4" s="1">
        <v>0.0</v>
      </c>
      <c r="BL4" s="9">
        <v>1.5</v>
      </c>
      <c r="BM4" s="9">
        <v>2.21</v>
      </c>
      <c r="BN4" s="9">
        <v>3.24</v>
      </c>
      <c r="BO4" s="9">
        <v>5.26</v>
      </c>
      <c r="BP4" s="9">
        <v>8.52</v>
      </c>
      <c r="BQ4" s="9">
        <v>13.8</v>
      </c>
      <c r="BR4" s="9">
        <v>24.6</v>
      </c>
      <c r="BS4" s="9">
        <v>48.3</v>
      </c>
      <c r="BT4" s="9">
        <v>94.6</v>
      </c>
      <c r="BU4" s="9">
        <v>203.0</v>
      </c>
      <c r="BV4" s="9">
        <v>478.0</v>
      </c>
      <c r="BW4" s="9">
        <v>1230.0</v>
      </c>
      <c r="BX4" s="9">
        <v>3440.0</v>
      </c>
      <c r="BY4" s="9">
        <v>11400.0</v>
      </c>
      <c r="BZ4" s="9">
        <v>41300.0</v>
      </c>
      <c r="CA4" s="9">
        <v>176000.0</v>
      </c>
      <c r="CB4" s="9">
        <v>877000.0</v>
      </c>
      <c r="CC4" s="9">
        <v>5530000.0</v>
      </c>
      <c r="CD4" s="9">
        <v>4.38E7</v>
      </c>
      <c r="CE4" s="9">
        <v>4.33E8</v>
      </c>
      <c r="CF4" s="9">
        <v>5.32E9</v>
      </c>
      <c r="CG4" s="9">
        <v>9.33E10</v>
      </c>
      <c r="CH4" s="9">
        <v>2.31E12</v>
      </c>
      <c r="CI4" s="9">
        <v>8.07E13</v>
      </c>
      <c r="CJ4" s="9">
        <v>4.5E15</v>
      </c>
      <c r="CK4" s="1" t="s">
        <v>136</v>
      </c>
      <c r="CL4" s="1">
        <v>0.0</v>
      </c>
      <c r="CM4" s="1">
        <v>0.0</v>
      </c>
      <c r="CN4" s="1">
        <v>1.0</v>
      </c>
      <c r="CO4" s="1">
        <v>1.0</v>
      </c>
      <c r="CP4" s="1">
        <v>2.0</v>
      </c>
      <c r="CQ4" s="1">
        <v>2.0</v>
      </c>
      <c r="CR4" s="1">
        <v>3.0</v>
      </c>
      <c r="CS4" s="1">
        <v>3.0</v>
      </c>
      <c r="CT4" s="1">
        <v>4.0</v>
      </c>
      <c r="CU4" s="1">
        <v>4.0</v>
      </c>
      <c r="CV4" s="1">
        <v>5.0</v>
      </c>
      <c r="CW4" s="1">
        <v>5.0</v>
      </c>
      <c r="CX4" s="1">
        <v>6.0</v>
      </c>
      <c r="CY4" s="1">
        <v>6.0</v>
      </c>
      <c r="CZ4" s="1">
        <v>7.0</v>
      </c>
      <c r="DA4" s="1">
        <v>7.0</v>
      </c>
      <c r="DB4" s="1">
        <v>8.0</v>
      </c>
      <c r="DC4" s="1">
        <v>8.0</v>
      </c>
      <c r="DD4" s="1">
        <v>9.0</v>
      </c>
      <c r="DE4" s="1">
        <v>9.0</v>
      </c>
      <c r="DF4" s="1">
        <v>10.0</v>
      </c>
      <c r="DG4" s="1">
        <v>11.0</v>
      </c>
      <c r="DH4" s="1">
        <v>12.0</v>
      </c>
      <c r="DI4" s="1">
        <v>13.0</v>
      </c>
      <c r="DJ4" s="1">
        <v>14.0</v>
      </c>
      <c r="DK4" s="1">
        <v>15.0</v>
      </c>
      <c r="DL4" s="1" t="s">
        <v>119</v>
      </c>
      <c r="DM4" s="1">
        <v>0.0</v>
      </c>
    </row>
    <row r="5">
      <c r="A5" s="1" t="s">
        <v>137</v>
      </c>
      <c r="B5" s="1" t="s">
        <v>118</v>
      </c>
      <c r="C5" s="1">
        <v>3.0</v>
      </c>
      <c r="D5" s="1">
        <v>3.0</v>
      </c>
      <c r="E5" s="1" t="s">
        <v>117</v>
      </c>
      <c r="F5" s="1" t="s">
        <v>127</v>
      </c>
      <c r="G5" s="1" t="s">
        <v>138</v>
      </c>
      <c r="H5" s="1" t="s">
        <v>139</v>
      </c>
      <c r="I5" s="1">
        <v>25.0</v>
      </c>
      <c r="J5" s="1">
        <v>250.0</v>
      </c>
      <c r="K5" s="1">
        <v>250.0</v>
      </c>
      <c r="L5" s="1">
        <v>250.0</v>
      </c>
      <c r="M5" s="1">
        <v>250.0</v>
      </c>
      <c r="N5" s="1">
        <v>250.0</v>
      </c>
      <c r="O5" s="1">
        <v>250.0</v>
      </c>
      <c r="P5" s="1">
        <v>250.0</v>
      </c>
      <c r="Q5" s="1">
        <v>250.0</v>
      </c>
      <c r="R5" s="1">
        <v>250.0</v>
      </c>
      <c r="S5" s="1">
        <v>250.0</v>
      </c>
      <c r="T5" s="1">
        <v>250.0</v>
      </c>
      <c r="U5" s="1">
        <v>250.0</v>
      </c>
      <c r="V5" s="1">
        <v>250.0</v>
      </c>
      <c r="W5" s="1">
        <v>250.0</v>
      </c>
      <c r="X5" s="1">
        <v>250.0</v>
      </c>
      <c r="Y5" s="1">
        <v>250.0</v>
      </c>
      <c r="Z5" s="1">
        <v>250.0</v>
      </c>
      <c r="AA5" s="1">
        <v>250.0</v>
      </c>
      <c r="AB5" s="1">
        <v>250.0</v>
      </c>
      <c r="AC5" s="1">
        <v>250.0</v>
      </c>
      <c r="AD5" s="1">
        <v>250.0</v>
      </c>
      <c r="AE5" s="1">
        <v>250.0</v>
      </c>
      <c r="AF5" s="1">
        <v>250.0</v>
      </c>
      <c r="AG5" s="1">
        <v>250.0</v>
      </c>
      <c r="AH5" s="1">
        <v>250.0</v>
      </c>
      <c r="AI5" s="1">
        <v>250.0</v>
      </c>
      <c r="AJ5" s="1">
        <v>1.0</v>
      </c>
      <c r="AK5" s="1">
        <v>2.0</v>
      </c>
      <c r="AL5" s="1">
        <v>2.0</v>
      </c>
      <c r="AM5" s="1">
        <v>3.0</v>
      </c>
      <c r="AN5" s="1">
        <v>3.0</v>
      </c>
      <c r="AO5" s="1">
        <v>3.0</v>
      </c>
      <c r="AP5" s="1">
        <v>4.0</v>
      </c>
      <c r="AQ5" s="1">
        <v>5.0</v>
      </c>
      <c r="AR5" s="1">
        <v>5.0</v>
      </c>
      <c r="AS5" s="1">
        <v>6.0</v>
      </c>
      <c r="AT5" s="1">
        <v>7.0</v>
      </c>
      <c r="AU5" s="1">
        <v>8.0</v>
      </c>
      <c r="AV5" s="1">
        <v>9.0</v>
      </c>
      <c r="AW5" s="1">
        <v>11.0</v>
      </c>
      <c r="AX5" s="1">
        <v>12.0</v>
      </c>
      <c r="AY5" s="1">
        <v>14.0</v>
      </c>
      <c r="AZ5" s="1">
        <v>16.0</v>
      </c>
      <c r="BA5" s="1">
        <v>19.0</v>
      </c>
      <c r="BB5" s="1">
        <v>22.0</v>
      </c>
      <c r="BC5" s="1">
        <v>25.0</v>
      </c>
      <c r="BD5" s="1">
        <v>28.0</v>
      </c>
      <c r="BE5" s="1">
        <v>33.0</v>
      </c>
      <c r="BF5" s="1">
        <v>38.0</v>
      </c>
      <c r="BG5" s="1">
        <v>43.0</v>
      </c>
      <c r="BH5" s="1">
        <v>50.0</v>
      </c>
      <c r="BI5" s="1" t="s">
        <v>123</v>
      </c>
      <c r="BJ5" s="1" t="s">
        <v>140</v>
      </c>
      <c r="BK5" s="1">
        <v>0.0</v>
      </c>
      <c r="BL5" s="9">
        <v>1.8</v>
      </c>
      <c r="BM5" s="9">
        <v>2.98</v>
      </c>
      <c r="BN5" s="9">
        <v>4.93</v>
      </c>
      <c r="BO5" s="9">
        <v>9.16</v>
      </c>
      <c r="BP5" s="9">
        <v>17.0</v>
      </c>
      <c r="BQ5" s="9">
        <v>31.6</v>
      </c>
      <c r="BR5" s="9">
        <v>65.7</v>
      </c>
      <c r="BS5" s="9">
        <v>152.0</v>
      </c>
      <c r="BT5" s="9">
        <v>353.0</v>
      </c>
      <c r="BU5" s="9">
        <v>910.0</v>
      </c>
      <c r="BV5" s="9">
        <v>2600.0</v>
      </c>
      <c r="BW5" s="9">
        <v>8240.0</v>
      </c>
      <c r="BX5" s="9">
        <v>28800.0</v>
      </c>
      <c r="BY5" s="9">
        <v>122000.0</v>
      </c>
      <c r="BZ5" s="9">
        <v>571000.0</v>
      </c>
      <c r="CA5" s="9">
        <v>3200000.0</v>
      </c>
      <c r="CB5" s="9">
        <v>2.15E7</v>
      </c>
      <c r="CC5" s="9">
        <v>1.86E8</v>
      </c>
      <c r="CD5" s="9">
        <v>2.08E9</v>
      </c>
      <c r="CE5" s="9">
        <v>2.98E10</v>
      </c>
      <c r="CF5" s="9">
        <v>5.39E11</v>
      </c>
      <c r="CG5" s="9">
        <v>1.44E13</v>
      </c>
      <c r="CH5" s="9">
        <v>5.58E14</v>
      </c>
      <c r="CI5" s="9">
        <v>3.14E16</v>
      </c>
      <c r="CJ5" s="9">
        <v>2.92E18</v>
      </c>
      <c r="CK5" s="1" t="s">
        <v>141</v>
      </c>
      <c r="CL5" s="1">
        <v>0.0</v>
      </c>
      <c r="CM5" s="1">
        <v>0.0</v>
      </c>
      <c r="CN5" s="1">
        <v>1.0</v>
      </c>
      <c r="CO5" s="1">
        <v>2.0</v>
      </c>
      <c r="CP5" s="1">
        <v>3.0</v>
      </c>
      <c r="CQ5" s="1">
        <v>4.0</v>
      </c>
      <c r="CR5" s="1">
        <v>5.0</v>
      </c>
      <c r="CS5" s="1">
        <v>6.0</v>
      </c>
      <c r="CT5" s="1">
        <v>7.0</v>
      </c>
      <c r="CU5" s="1">
        <v>8.0</v>
      </c>
      <c r="CV5" s="1">
        <v>9.0</v>
      </c>
      <c r="CW5" s="1">
        <v>10.0</v>
      </c>
      <c r="CX5" s="1">
        <v>11.0</v>
      </c>
      <c r="CY5" s="1">
        <v>12.0</v>
      </c>
      <c r="CZ5" s="1">
        <v>13.0</v>
      </c>
      <c r="DA5" s="1">
        <v>14.0</v>
      </c>
      <c r="DB5" s="1">
        <v>15.0</v>
      </c>
      <c r="DC5" s="1">
        <v>16.0</v>
      </c>
      <c r="DD5" s="1">
        <v>17.0</v>
      </c>
      <c r="DE5" s="1">
        <v>18.0</v>
      </c>
      <c r="DF5" s="1">
        <v>20.0</v>
      </c>
      <c r="DG5" s="1">
        <v>22.0</v>
      </c>
      <c r="DH5" s="1">
        <v>24.0</v>
      </c>
      <c r="DI5" s="1">
        <v>26.0</v>
      </c>
      <c r="DJ5" s="1">
        <v>28.0</v>
      </c>
      <c r="DK5" s="1">
        <v>30.0</v>
      </c>
      <c r="DL5" s="1" t="s">
        <v>119</v>
      </c>
      <c r="DM5" s="1">
        <v>0.0</v>
      </c>
    </row>
    <row r="6">
      <c r="A6" s="1" t="s">
        <v>143</v>
      </c>
      <c r="B6" s="1" t="s">
        <v>118</v>
      </c>
      <c r="C6" s="1">
        <v>4.0</v>
      </c>
      <c r="D6" s="1">
        <v>20.0</v>
      </c>
      <c r="E6" s="1" t="s">
        <v>126</v>
      </c>
      <c r="F6" s="1" t="s">
        <v>144</v>
      </c>
      <c r="G6" s="1" t="s">
        <v>145</v>
      </c>
      <c r="H6" s="1" t="s">
        <v>146</v>
      </c>
      <c r="I6" s="1">
        <v>25.0</v>
      </c>
      <c r="J6" s="1">
        <v>500.0</v>
      </c>
      <c r="K6" s="1">
        <v>500.0</v>
      </c>
      <c r="L6" s="1">
        <v>500.0</v>
      </c>
      <c r="M6" s="1">
        <v>500.0</v>
      </c>
      <c r="N6" s="1">
        <v>500.0</v>
      </c>
      <c r="O6" s="1">
        <v>500.0</v>
      </c>
      <c r="P6" s="1">
        <v>500.0</v>
      </c>
      <c r="Q6" s="1">
        <v>500.0</v>
      </c>
      <c r="R6" s="1">
        <v>500.0</v>
      </c>
      <c r="S6" s="1">
        <v>500.0</v>
      </c>
      <c r="T6" s="1">
        <v>500.0</v>
      </c>
      <c r="U6" s="1">
        <v>500.0</v>
      </c>
      <c r="V6" s="1">
        <v>500.0</v>
      </c>
      <c r="W6" s="1">
        <v>500.0</v>
      </c>
      <c r="X6" s="1">
        <v>500.0</v>
      </c>
      <c r="Y6" s="1">
        <v>500.0</v>
      </c>
      <c r="Z6" s="1">
        <v>500.0</v>
      </c>
      <c r="AA6" s="1">
        <v>500.0</v>
      </c>
      <c r="AB6" s="1">
        <v>500.0</v>
      </c>
      <c r="AC6" s="1">
        <v>500.0</v>
      </c>
      <c r="AD6" s="1">
        <v>500.0</v>
      </c>
      <c r="AE6" s="1">
        <v>500.0</v>
      </c>
      <c r="AF6" s="1">
        <v>500.0</v>
      </c>
      <c r="AG6" s="1">
        <v>500.0</v>
      </c>
      <c r="AH6" s="1">
        <v>500.0</v>
      </c>
      <c r="AI6" s="1">
        <v>500.0</v>
      </c>
      <c r="AJ6" s="1">
        <v>2.0</v>
      </c>
      <c r="AK6" s="1">
        <v>2.0</v>
      </c>
      <c r="AL6" s="1">
        <v>3.0</v>
      </c>
      <c r="AM6" s="1">
        <v>3.0</v>
      </c>
      <c r="AN6" s="1">
        <v>3.0</v>
      </c>
      <c r="AO6" s="1">
        <v>4.0</v>
      </c>
      <c r="AP6" s="1">
        <v>5.0</v>
      </c>
      <c r="AQ6" s="1">
        <v>5.0</v>
      </c>
      <c r="AR6" s="1">
        <v>6.0</v>
      </c>
      <c r="AS6" s="1">
        <v>7.0</v>
      </c>
      <c r="AT6" s="1">
        <v>8.0</v>
      </c>
      <c r="AU6" s="1">
        <v>9.0</v>
      </c>
      <c r="AV6" s="1">
        <v>11.0</v>
      </c>
      <c r="AW6" s="1">
        <v>12.0</v>
      </c>
      <c r="AX6" s="1">
        <v>14.0</v>
      </c>
      <c r="AY6" s="1">
        <v>16.0</v>
      </c>
      <c r="AZ6" s="1">
        <v>19.0</v>
      </c>
      <c r="BA6" s="1">
        <v>22.0</v>
      </c>
      <c r="BB6" s="1">
        <v>25.0</v>
      </c>
      <c r="BC6" s="1">
        <v>28.0</v>
      </c>
      <c r="BD6" s="1">
        <v>33.0</v>
      </c>
      <c r="BE6" s="1">
        <v>38.0</v>
      </c>
      <c r="BF6" s="1">
        <v>43.0</v>
      </c>
      <c r="BG6" s="1">
        <v>50.0</v>
      </c>
      <c r="BH6" s="1">
        <v>57.0</v>
      </c>
      <c r="BI6" s="1" t="s">
        <v>123</v>
      </c>
      <c r="BJ6" s="1" t="s">
        <v>147</v>
      </c>
      <c r="BK6" s="1">
        <v>0.0</v>
      </c>
      <c r="BL6" s="9">
        <v>1.6</v>
      </c>
      <c r="BM6" s="9">
        <v>2.38</v>
      </c>
      <c r="BN6" s="9">
        <v>3.93</v>
      </c>
      <c r="BO6" s="9">
        <v>6.48</v>
      </c>
      <c r="BP6" s="9">
        <v>10.7</v>
      </c>
      <c r="BQ6" s="9">
        <v>19.5</v>
      </c>
      <c r="BR6" s="9">
        <v>39.4</v>
      </c>
      <c r="BS6" s="9">
        <v>79.4</v>
      </c>
      <c r="BT6" s="9">
        <v>176.0</v>
      </c>
      <c r="BU6" s="9">
        <v>431.0</v>
      </c>
      <c r="BV6" s="9">
        <v>1150.0</v>
      </c>
      <c r="BW6" s="9">
        <v>3390.0</v>
      </c>
      <c r="BX6" s="9">
        <v>11900.0</v>
      </c>
      <c r="BY6" s="9">
        <v>45800.0</v>
      </c>
      <c r="BZ6" s="9">
        <v>209000.0</v>
      </c>
      <c r="CA6" s="9">
        <v>1130000.0</v>
      </c>
      <c r="CB6" s="9">
        <v>7750000.0</v>
      </c>
      <c r="CC6" s="9">
        <v>6.77E7</v>
      </c>
      <c r="CD6" s="9">
        <v>7.45E8</v>
      </c>
      <c r="CE6" s="9">
        <v>1.03E10</v>
      </c>
      <c r="CF6" s="9">
        <v>2.05E11</v>
      </c>
      <c r="CG6" s="9">
        <v>5.87E12</v>
      </c>
      <c r="CH6" s="9">
        <v>2.39E14</v>
      </c>
      <c r="CI6" s="9">
        <v>1.57E16</v>
      </c>
      <c r="CJ6" s="9">
        <v>1.67E18</v>
      </c>
      <c r="CK6" s="1" t="s">
        <v>149</v>
      </c>
      <c r="CL6" s="1">
        <v>0.0</v>
      </c>
      <c r="CM6" s="1">
        <v>-0.01</v>
      </c>
      <c r="CN6" s="1">
        <v>-0.02</v>
      </c>
      <c r="CO6" s="1">
        <v>-0.03</v>
      </c>
      <c r="CP6" s="1">
        <v>-0.04</v>
      </c>
      <c r="CQ6" s="1">
        <v>-0.05</v>
      </c>
      <c r="CR6" s="1">
        <v>-0.06</v>
      </c>
      <c r="CS6" s="1">
        <v>-0.07</v>
      </c>
      <c r="CT6" s="1">
        <v>-0.08</v>
      </c>
      <c r="CU6" s="1">
        <v>-0.09</v>
      </c>
      <c r="CV6" s="1">
        <v>-0.1</v>
      </c>
      <c r="CW6" s="1">
        <v>-0.11</v>
      </c>
      <c r="CX6" s="1">
        <v>-0.12</v>
      </c>
      <c r="CY6" s="1">
        <v>-0.13</v>
      </c>
      <c r="CZ6" s="1">
        <v>-0.14</v>
      </c>
      <c r="DA6" s="1">
        <v>-0.15</v>
      </c>
      <c r="DB6" s="1">
        <v>-0.16</v>
      </c>
      <c r="DC6" s="1">
        <v>-0.17</v>
      </c>
      <c r="DD6" s="1">
        <v>-0.18</v>
      </c>
      <c r="DE6" s="1">
        <v>-0.19</v>
      </c>
      <c r="DF6" s="1">
        <v>-0.2</v>
      </c>
      <c r="DG6" s="1">
        <v>-0.21</v>
      </c>
      <c r="DH6" s="1">
        <v>-0.22</v>
      </c>
      <c r="DI6" s="1">
        <v>-0.23</v>
      </c>
      <c r="DJ6" s="1">
        <v>-0.24</v>
      </c>
      <c r="DK6" s="1">
        <v>-0.25</v>
      </c>
      <c r="DL6" s="1" t="s">
        <v>119</v>
      </c>
      <c r="DM6" s="1">
        <v>0.0</v>
      </c>
    </row>
    <row r="7">
      <c r="A7" s="1" t="s">
        <v>151</v>
      </c>
      <c r="B7" s="1" t="s">
        <v>118</v>
      </c>
      <c r="C7" s="1">
        <v>5.0</v>
      </c>
      <c r="D7" s="1">
        <v>20.0</v>
      </c>
      <c r="E7" s="1" t="s">
        <v>132</v>
      </c>
      <c r="F7" s="1" t="s">
        <v>144</v>
      </c>
      <c r="G7" s="1" t="s">
        <v>153</v>
      </c>
      <c r="H7" s="1" t="s">
        <v>154</v>
      </c>
      <c r="I7" s="1">
        <v>25.0</v>
      </c>
      <c r="J7" s="1">
        <v>500.0</v>
      </c>
      <c r="K7" s="1">
        <v>500.0</v>
      </c>
      <c r="L7" s="1">
        <v>500.0</v>
      </c>
      <c r="M7" s="1">
        <v>500.0</v>
      </c>
      <c r="N7" s="1">
        <v>500.0</v>
      </c>
      <c r="O7" s="1">
        <v>500.0</v>
      </c>
      <c r="P7" s="1">
        <v>500.0</v>
      </c>
      <c r="Q7" s="1">
        <v>500.0</v>
      </c>
      <c r="R7" s="1">
        <v>500.0</v>
      </c>
      <c r="S7" s="1">
        <v>500.0</v>
      </c>
      <c r="T7" s="1">
        <v>500.0</v>
      </c>
      <c r="U7" s="1">
        <v>500.0</v>
      </c>
      <c r="V7" s="1">
        <v>500.0</v>
      </c>
      <c r="W7" s="1">
        <v>500.0</v>
      </c>
      <c r="X7" s="1">
        <v>500.0</v>
      </c>
      <c r="Y7" s="1">
        <v>500.0</v>
      </c>
      <c r="Z7" s="1">
        <v>500.0</v>
      </c>
      <c r="AA7" s="1">
        <v>500.0</v>
      </c>
      <c r="AB7" s="1">
        <v>500.0</v>
      </c>
      <c r="AC7" s="1">
        <v>500.0</v>
      </c>
      <c r="AD7" s="1">
        <v>500.0</v>
      </c>
      <c r="AE7" s="1">
        <v>500.0</v>
      </c>
      <c r="AF7" s="1">
        <v>500.0</v>
      </c>
      <c r="AG7" s="1">
        <v>500.0</v>
      </c>
      <c r="AH7" s="1">
        <v>500.0</v>
      </c>
      <c r="AI7" s="1">
        <v>500.0</v>
      </c>
      <c r="AJ7" s="1">
        <v>2.0</v>
      </c>
      <c r="AK7" s="1">
        <v>2.0</v>
      </c>
      <c r="AL7" s="1">
        <v>3.0</v>
      </c>
      <c r="AM7" s="1">
        <v>3.0</v>
      </c>
      <c r="AN7" s="1">
        <v>3.0</v>
      </c>
      <c r="AO7" s="1">
        <v>4.0</v>
      </c>
      <c r="AP7" s="1">
        <v>5.0</v>
      </c>
      <c r="AQ7" s="1">
        <v>5.0</v>
      </c>
      <c r="AR7" s="1">
        <v>6.0</v>
      </c>
      <c r="AS7" s="1">
        <v>7.0</v>
      </c>
      <c r="AT7" s="1">
        <v>8.0</v>
      </c>
      <c r="AU7" s="1">
        <v>9.0</v>
      </c>
      <c r="AV7" s="1">
        <v>11.0</v>
      </c>
      <c r="AW7" s="1">
        <v>12.0</v>
      </c>
      <c r="AX7" s="1">
        <v>14.0</v>
      </c>
      <c r="AY7" s="1">
        <v>16.0</v>
      </c>
      <c r="AZ7" s="1">
        <v>19.0</v>
      </c>
      <c r="BA7" s="1">
        <v>22.0</v>
      </c>
      <c r="BB7" s="1">
        <v>25.0</v>
      </c>
      <c r="BC7" s="1">
        <v>28.0</v>
      </c>
      <c r="BD7" s="1">
        <v>33.0</v>
      </c>
      <c r="BE7" s="1">
        <v>38.0</v>
      </c>
      <c r="BF7" s="1">
        <v>43.0</v>
      </c>
      <c r="BG7" s="1">
        <v>50.0</v>
      </c>
      <c r="BH7" s="1">
        <v>57.0</v>
      </c>
      <c r="BI7" s="1" t="s">
        <v>123</v>
      </c>
      <c r="BJ7" s="1" t="s">
        <v>155</v>
      </c>
      <c r="BK7" s="1">
        <v>0.0</v>
      </c>
      <c r="BL7" s="9">
        <v>1.6</v>
      </c>
      <c r="BM7" s="9">
        <v>2.37</v>
      </c>
      <c r="BN7" s="9">
        <v>3.89</v>
      </c>
      <c r="BO7" s="9">
        <v>6.38</v>
      </c>
      <c r="BP7" s="9">
        <v>10.5</v>
      </c>
      <c r="BQ7" s="9">
        <v>19.0</v>
      </c>
      <c r="BR7" s="9">
        <v>37.9</v>
      </c>
      <c r="BS7" s="9">
        <v>75.6</v>
      </c>
      <c r="BT7" s="9">
        <v>166.0</v>
      </c>
      <c r="BU7" s="9">
        <v>401.0</v>
      </c>
      <c r="BV7" s="9">
        <v>1060.0</v>
      </c>
      <c r="BW7" s="9">
        <v>3060.0</v>
      </c>
      <c r="BX7" s="9">
        <v>10600.0</v>
      </c>
      <c r="BY7" s="9">
        <v>39800.0</v>
      </c>
      <c r="BZ7" s="9">
        <v>177000.0</v>
      </c>
      <c r="CA7" s="9">
        <v>931000.0</v>
      </c>
      <c r="CB7" s="9">
        <v>6230000.0</v>
      </c>
      <c r="CC7" s="9">
        <v>5.26E7</v>
      </c>
      <c r="CD7" s="9">
        <v>5.59E8</v>
      </c>
      <c r="CE7" s="9">
        <v>7.42E9</v>
      </c>
      <c r="CF7" s="9">
        <v>1.42E11</v>
      </c>
      <c r="CG7" s="9">
        <v>3.87E12</v>
      </c>
      <c r="CH7" s="9">
        <v>1.49E14</v>
      </c>
      <c r="CI7" s="9">
        <v>9.32E15</v>
      </c>
      <c r="CJ7" s="9">
        <v>9.32E17</v>
      </c>
      <c r="CK7" s="1" t="s">
        <v>156</v>
      </c>
      <c r="CL7" s="1">
        <v>0.0</v>
      </c>
      <c r="CM7" s="1">
        <v>1.0</v>
      </c>
      <c r="CN7" s="1">
        <v>2.0</v>
      </c>
      <c r="CO7" s="1">
        <v>4.0</v>
      </c>
      <c r="CP7" s="1">
        <v>7.0</v>
      </c>
      <c r="CQ7" s="1">
        <v>9.0</v>
      </c>
      <c r="CR7" s="1">
        <v>12.0</v>
      </c>
      <c r="CS7" s="1">
        <v>16.0</v>
      </c>
      <c r="CT7" s="1">
        <v>21.0</v>
      </c>
      <c r="CU7" s="1">
        <v>26.0</v>
      </c>
      <c r="CV7" s="1">
        <v>33.0</v>
      </c>
      <c r="CW7" s="1">
        <v>41.0</v>
      </c>
      <c r="CX7" s="1">
        <v>51.0</v>
      </c>
      <c r="CY7" s="1">
        <v>63.0</v>
      </c>
      <c r="CZ7" s="1">
        <v>77.0</v>
      </c>
      <c r="DA7" s="1">
        <v>95.0</v>
      </c>
      <c r="DB7" s="1">
        <v>115.0</v>
      </c>
      <c r="DC7" s="1">
        <v>142.0</v>
      </c>
      <c r="DD7" s="1">
        <v>173.0</v>
      </c>
      <c r="DE7" s="1">
        <v>211.0</v>
      </c>
      <c r="DF7" s="1">
        <v>255.0</v>
      </c>
      <c r="DG7" s="1">
        <v>310.0</v>
      </c>
      <c r="DH7" s="1">
        <v>376.0</v>
      </c>
      <c r="DI7" s="1">
        <v>454.0</v>
      </c>
      <c r="DJ7" s="1">
        <v>550.0</v>
      </c>
      <c r="DK7" s="1">
        <v>664.0</v>
      </c>
      <c r="DL7" s="1" t="s">
        <v>119</v>
      </c>
      <c r="DM7" s="1">
        <v>0.0</v>
      </c>
    </row>
    <row r="8">
      <c r="A8" s="1" t="s">
        <v>157</v>
      </c>
      <c r="B8" s="1" t="s">
        <v>118</v>
      </c>
      <c r="C8" s="1">
        <v>6.0</v>
      </c>
      <c r="D8" s="1">
        <v>20.0</v>
      </c>
      <c r="E8" s="1" t="s">
        <v>137</v>
      </c>
      <c r="F8" s="1" t="s">
        <v>144</v>
      </c>
      <c r="G8" s="1" t="s">
        <v>158</v>
      </c>
      <c r="H8" s="1" t="s">
        <v>159</v>
      </c>
      <c r="I8" s="1">
        <v>25.0</v>
      </c>
      <c r="J8" s="1">
        <v>500.0</v>
      </c>
      <c r="K8" s="1">
        <v>500.0</v>
      </c>
      <c r="L8" s="1">
        <v>500.0</v>
      </c>
      <c r="M8" s="1">
        <v>500.0</v>
      </c>
      <c r="N8" s="1">
        <v>500.0</v>
      </c>
      <c r="O8" s="1">
        <v>500.0</v>
      </c>
      <c r="P8" s="1">
        <v>500.0</v>
      </c>
      <c r="Q8" s="1">
        <v>500.0</v>
      </c>
      <c r="R8" s="1">
        <v>500.0</v>
      </c>
      <c r="S8" s="1">
        <v>500.0</v>
      </c>
      <c r="T8" s="1">
        <v>500.0</v>
      </c>
      <c r="U8" s="1">
        <v>500.0</v>
      </c>
      <c r="V8" s="1">
        <v>500.0</v>
      </c>
      <c r="W8" s="1">
        <v>500.0</v>
      </c>
      <c r="X8" s="1">
        <v>500.0</v>
      </c>
      <c r="Y8" s="1">
        <v>500.0</v>
      </c>
      <c r="Z8" s="1">
        <v>500.0</v>
      </c>
      <c r="AA8" s="1">
        <v>500.0</v>
      </c>
      <c r="AB8" s="1">
        <v>500.0</v>
      </c>
      <c r="AC8" s="1">
        <v>500.0</v>
      </c>
      <c r="AD8" s="1">
        <v>500.0</v>
      </c>
      <c r="AE8" s="1">
        <v>500.0</v>
      </c>
      <c r="AF8" s="1">
        <v>500.0</v>
      </c>
      <c r="AG8" s="1">
        <v>500.0</v>
      </c>
      <c r="AH8" s="1">
        <v>500.0</v>
      </c>
      <c r="AI8" s="1">
        <v>500.0</v>
      </c>
      <c r="AJ8" s="1">
        <v>2.0</v>
      </c>
      <c r="AK8" s="1">
        <v>2.0</v>
      </c>
      <c r="AL8" s="1">
        <v>3.0</v>
      </c>
      <c r="AM8" s="1">
        <v>3.0</v>
      </c>
      <c r="AN8" s="1">
        <v>3.0</v>
      </c>
      <c r="AO8" s="1">
        <v>4.0</v>
      </c>
      <c r="AP8" s="1">
        <v>5.0</v>
      </c>
      <c r="AQ8" s="1">
        <v>5.0</v>
      </c>
      <c r="AR8" s="1">
        <v>6.0</v>
      </c>
      <c r="AS8" s="1">
        <v>7.0</v>
      </c>
      <c r="AT8" s="1">
        <v>8.0</v>
      </c>
      <c r="AU8" s="1">
        <v>9.0</v>
      </c>
      <c r="AV8" s="1">
        <v>11.0</v>
      </c>
      <c r="AW8" s="1">
        <v>12.0</v>
      </c>
      <c r="AX8" s="1">
        <v>14.0</v>
      </c>
      <c r="AY8" s="1">
        <v>16.0</v>
      </c>
      <c r="AZ8" s="1">
        <v>19.0</v>
      </c>
      <c r="BA8" s="1">
        <v>22.0</v>
      </c>
      <c r="BB8" s="1">
        <v>25.0</v>
      </c>
      <c r="BC8" s="1">
        <v>28.0</v>
      </c>
      <c r="BD8" s="1">
        <v>33.0</v>
      </c>
      <c r="BE8" s="1">
        <v>38.0</v>
      </c>
      <c r="BF8" s="1">
        <v>43.0</v>
      </c>
      <c r="BG8" s="1">
        <v>50.0</v>
      </c>
      <c r="BH8" s="1">
        <v>57.0</v>
      </c>
      <c r="BI8" s="1" t="s">
        <v>123</v>
      </c>
      <c r="BJ8" s="1" t="s">
        <v>161</v>
      </c>
      <c r="BK8" s="1">
        <v>0.0</v>
      </c>
      <c r="BL8" s="9">
        <v>1.5</v>
      </c>
      <c r="BM8" s="9">
        <v>2.14</v>
      </c>
      <c r="BN8" s="9">
        <v>3.39</v>
      </c>
      <c r="BO8" s="9">
        <v>5.36</v>
      </c>
      <c r="BP8" s="9">
        <v>8.48</v>
      </c>
      <c r="BQ8" s="9">
        <v>14.8</v>
      </c>
      <c r="BR8" s="9">
        <v>28.7</v>
      </c>
      <c r="BS8" s="9">
        <v>55.6</v>
      </c>
      <c r="BT8" s="9">
        <v>119.0</v>
      </c>
      <c r="BU8" s="9">
        <v>279.0</v>
      </c>
      <c r="BV8" s="9">
        <v>719.0</v>
      </c>
      <c r="BW8" s="9">
        <v>2040.0</v>
      </c>
      <c r="BX8" s="9">
        <v>6920.0</v>
      </c>
      <c r="BY8" s="9">
        <v>25700.0</v>
      </c>
      <c r="BZ8" s="9">
        <v>113000.0</v>
      </c>
      <c r="CA8" s="9">
        <v>595000.0</v>
      </c>
      <c r="CB8" s="9">
        <v>4010000.0</v>
      </c>
      <c r="CC8" s="9">
        <v>3.44E7</v>
      </c>
      <c r="CD8" s="9">
        <v>3.75E8</v>
      </c>
      <c r="CE8" s="9">
        <v>5.15E9</v>
      </c>
      <c r="CF8" s="9">
        <v>1.04E11</v>
      </c>
      <c r="CG8" s="9">
        <v>3.04E12</v>
      </c>
      <c r="CH8" s="9">
        <v>1.28E14</v>
      </c>
      <c r="CI8" s="9">
        <v>8.99E15</v>
      </c>
      <c r="CJ8" s="9">
        <v>1.04E18</v>
      </c>
      <c r="CK8" s="1" t="s">
        <v>162</v>
      </c>
      <c r="CL8" s="1">
        <v>0.0</v>
      </c>
      <c r="CM8" s="1">
        <v>2.0</v>
      </c>
      <c r="CN8" s="1">
        <v>4.0</v>
      </c>
      <c r="CO8" s="1">
        <v>6.0</v>
      </c>
      <c r="CP8" s="1">
        <v>8.0</v>
      </c>
      <c r="CQ8" s="1">
        <v>10.0</v>
      </c>
      <c r="CR8" s="1">
        <v>12.0</v>
      </c>
      <c r="CS8" s="1">
        <v>14.0</v>
      </c>
      <c r="CT8" s="1">
        <v>16.0</v>
      </c>
      <c r="CU8" s="1">
        <v>18.0</v>
      </c>
      <c r="CV8" s="1">
        <v>20.0</v>
      </c>
      <c r="CW8" s="1">
        <v>22.0</v>
      </c>
      <c r="CX8" s="1">
        <v>24.0</v>
      </c>
      <c r="CY8" s="1">
        <v>26.0</v>
      </c>
      <c r="CZ8" s="1">
        <v>28.0</v>
      </c>
      <c r="DA8" s="1">
        <v>30.0</v>
      </c>
      <c r="DB8" s="1">
        <v>33.0</v>
      </c>
      <c r="DC8" s="1">
        <v>36.0</v>
      </c>
      <c r="DD8" s="1">
        <v>39.0</v>
      </c>
      <c r="DE8" s="1">
        <v>42.0</v>
      </c>
      <c r="DF8" s="1">
        <v>45.0</v>
      </c>
      <c r="DG8" s="1">
        <v>48.0</v>
      </c>
      <c r="DH8" s="1">
        <v>51.0</v>
      </c>
      <c r="DI8" s="1">
        <v>54.0</v>
      </c>
      <c r="DJ8" s="1">
        <v>57.0</v>
      </c>
      <c r="DK8" s="1">
        <v>60.0</v>
      </c>
      <c r="DL8" s="1" t="s">
        <v>119</v>
      </c>
      <c r="DM8" s="1">
        <v>0.0</v>
      </c>
    </row>
    <row r="9">
      <c r="A9" s="1" t="s">
        <v>163</v>
      </c>
      <c r="B9" s="1" t="s">
        <v>118</v>
      </c>
      <c r="C9" s="1">
        <v>7.0</v>
      </c>
      <c r="D9" s="1">
        <v>50.0</v>
      </c>
      <c r="E9" s="1" t="s">
        <v>143</v>
      </c>
      <c r="F9" s="1" t="s">
        <v>165</v>
      </c>
      <c r="G9" s="1" t="s">
        <v>166</v>
      </c>
      <c r="H9" s="1" t="s">
        <v>167</v>
      </c>
      <c r="I9" s="1">
        <v>15.0</v>
      </c>
      <c r="J9" s="1">
        <v>1000.0</v>
      </c>
      <c r="K9" s="1">
        <v>1000.0</v>
      </c>
      <c r="L9" s="1">
        <v>1000.0</v>
      </c>
      <c r="M9" s="1">
        <v>1000.0</v>
      </c>
      <c r="N9" s="1">
        <v>1000.0</v>
      </c>
      <c r="O9" s="1">
        <v>1000.0</v>
      </c>
      <c r="P9" s="1">
        <v>1000.0</v>
      </c>
      <c r="Q9" s="1">
        <v>1000.0</v>
      </c>
      <c r="R9" s="1">
        <v>1000.0</v>
      </c>
      <c r="S9" s="1">
        <v>1000.0</v>
      </c>
      <c r="T9" s="1">
        <v>1000.0</v>
      </c>
      <c r="U9" s="1">
        <v>1000.0</v>
      </c>
      <c r="V9" s="1">
        <v>1000.0</v>
      </c>
      <c r="W9" s="1">
        <v>1000.0</v>
      </c>
      <c r="X9" s="1">
        <v>1000.0</v>
      </c>
      <c r="Y9" s="1">
        <v>1000.0</v>
      </c>
      <c r="Z9" s="1" t="s">
        <v>123</v>
      </c>
      <c r="AA9" s="1" t="s">
        <v>123</v>
      </c>
      <c r="AB9" s="1" t="s">
        <v>123</v>
      </c>
      <c r="AC9" s="1" t="s">
        <v>123</v>
      </c>
      <c r="AD9" s="1" t="s">
        <v>123</v>
      </c>
      <c r="AE9" s="1" t="s">
        <v>123</v>
      </c>
      <c r="AF9" s="1" t="s">
        <v>123</v>
      </c>
      <c r="AG9" s="1" t="s">
        <v>123</v>
      </c>
      <c r="AH9" s="1" t="s">
        <v>123</v>
      </c>
      <c r="AI9" s="1" t="s">
        <v>123</v>
      </c>
      <c r="AJ9" s="1">
        <v>3.0</v>
      </c>
      <c r="AK9" s="1">
        <v>4.0</v>
      </c>
      <c r="AL9" s="1">
        <v>5.0</v>
      </c>
      <c r="AM9" s="1">
        <v>7.0</v>
      </c>
      <c r="AN9" s="1">
        <v>9.0</v>
      </c>
      <c r="AO9" s="1">
        <v>12.0</v>
      </c>
      <c r="AP9" s="1">
        <v>16.0</v>
      </c>
      <c r="AQ9" s="1">
        <v>21.0</v>
      </c>
      <c r="AR9" s="1">
        <v>27.0</v>
      </c>
      <c r="AS9" s="1">
        <v>35.0</v>
      </c>
      <c r="AT9" s="1">
        <v>46.0</v>
      </c>
      <c r="AU9" s="1">
        <v>60.0</v>
      </c>
      <c r="AV9" s="1">
        <v>78.0</v>
      </c>
      <c r="AW9" s="1">
        <v>101.0</v>
      </c>
      <c r="AX9" s="1">
        <v>131.0</v>
      </c>
      <c r="AY9" s="1" t="s">
        <v>123</v>
      </c>
      <c r="AZ9" s="1" t="s">
        <v>123</v>
      </c>
      <c r="BA9" s="1" t="s">
        <v>123</v>
      </c>
      <c r="BB9" s="1" t="s">
        <v>123</v>
      </c>
      <c r="BC9" s="1" t="s">
        <v>123</v>
      </c>
      <c r="BD9" s="1" t="s">
        <v>123</v>
      </c>
      <c r="BE9" s="1" t="s">
        <v>123</v>
      </c>
      <c r="BF9" s="1" t="s">
        <v>123</v>
      </c>
      <c r="BG9" s="1" t="s">
        <v>123</v>
      </c>
      <c r="BH9" s="1" t="s">
        <v>123</v>
      </c>
      <c r="BI9" s="1" t="s">
        <v>123</v>
      </c>
      <c r="BJ9" s="1" t="s">
        <v>168</v>
      </c>
      <c r="BK9" s="1">
        <v>0.0</v>
      </c>
      <c r="BL9" s="9">
        <v>2.5</v>
      </c>
      <c r="BM9" s="9">
        <v>6.19</v>
      </c>
      <c r="BN9" s="9">
        <v>17.7</v>
      </c>
      <c r="BO9" s="9">
        <v>66.6</v>
      </c>
      <c r="BP9" s="9">
        <v>325.0</v>
      </c>
      <c r="BQ9" s="9">
        <v>2280.0</v>
      </c>
      <c r="BR9" s="9">
        <v>25100.0</v>
      </c>
      <c r="BS9" s="9">
        <v>463000.0</v>
      </c>
      <c r="BT9" s="9">
        <v>1.53E7</v>
      </c>
      <c r="BU9" s="9">
        <v>1.04E9</v>
      </c>
      <c r="BV9" s="9">
        <v>1.8E11</v>
      </c>
      <c r="BW9" s="9">
        <v>9.62E13</v>
      </c>
      <c r="BX9" s="9">
        <v>2.09E17</v>
      </c>
      <c r="BY9" s="9">
        <v>2.63E21</v>
      </c>
      <c r="BZ9" s="9">
        <v>3.21E26</v>
      </c>
      <c r="CA9" s="1" t="s">
        <v>123</v>
      </c>
      <c r="CB9" s="1" t="s">
        <v>123</v>
      </c>
      <c r="CC9" s="1" t="s">
        <v>123</v>
      </c>
      <c r="CD9" s="1" t="s">
        <v>123</v>
      </c>
      <c r="CE9" s="1" t="s">
        <v>123</v>
      </c>
      <c r="CF9" s="1" t="s">
        <v>123</v>
      </c>
      <c r="CG9" s="1" t="s">
        <v>123</v>
      </c>
      <c r="CH9" s="1" t="s">
        <v>123</v>
      </c>
      <c r="CI9" s="1" t="s">
        <v>123</v>
      </c>
      <c r="CJ9" s="1" t="s">
        <v>123</v>
      </c>
      <c r="CK9" s="1" t="s">
        <v>169</v>
      </c>
      <c r="CL9" s="1">
        <v>0.0</v>
      </c>
      <c r="CM9" s="1">
        <v>1.0</v>
      </c>
      <c r="CN9" s="1">
        <v>2.0</v>
      </c>
      <c r="CO9" s="1">
        <v>3.0</v>
      </c>
      <c r="CP9" s="1">
        <v>4.0</v>
      </c>
      <c r="CQ9" s="1">
        <v>5.0</v>
      </c>
      <c r="CR9" s="1">
        <v>6.0</v>
      </c>
      <c r="CS9" s="1">
        <v>8.0</v>
      </c>
      <c r="CT9" s="1">
        <v>10.0</v>
      </c>
      <c r="CU9" s="1">
        <v>12.0</v>
      </c>
      <c r="CV9" s="1">
        <v>15.0</v>
      </c>
      <c r="CW9" s="1">
        <v>18.0</v>
      </c>
      <c r="CX9" s="1">
        <v>21.0</v>
      </c>
      <c r="CY9" s="1">
        <v>24.0</v>
      </c>
      <c r="CZ9" s="1">
        <v>27.0</v>
      </c>
      <c r="DA9" s="1">
        <v>30.0</v>
      </c>
      <c r="DB9" s="1" t="s">
        <v>123</v>
      </c>
      <c r="DC9" s="1" t="s">
        <v>123</v>
      </c>
      <c r="DD9" s="1" t="s">
        <v>123</v>
      </c>
      <c r="DE9" s="1" t="s">
        <v>123</v>
      </c>
      <c r="DF9" s="1" t="s">
        <v>123</v>
      </c>
      <c r="DG9" s="1" t="s">
        <v>123</v>
      </c>
      <c r="DH9" s="1" t="s">
        <v>123</v>
      </c>
      <c r="DI9" s="1" t="s">
        <v>123</v>
      </c>
      <c r="DJ9" s="1" t="s">
        <v>123</v>
      </c>
      <c r="DK9" s="1" t="s">
        <v>123</v>
      </c>
      <c r="DL9" s="1" t="s">
        <v>119</v>
      </c>
      <c r="DM9" s="1">
        <v>0.0</v>
      </c>
    </row>
    <row r="10">
      <c r="A10" s="1" t="s">
        <v>171</v>
      </c>
      <c r="B10" s="1" t="s">
        <v>118</v>
      </c>
      <c r="C10" s="1">
        <v>9.0</v>
      </c>
      <c r="D10" s="1">
        <v>50.0</v>
      </c>
      <c r="E10" s="1" t="s">
        <v>157</v>
      </c>
      <c r="F10" s="1" t="s">
        <v>165</v>
      </c>
      <c r="G10" s="1" t="s">
        <v>172</v>
      </c>
      <c r="H10" s="1" t="s">
        <v>173</v>
      </c>
      <c r="I10" s="1">
        <v>15.0</v>
      </c>
      <c r="J10" s="1">
        <v>1000.0</v>
      </c>
      <c r="K10" s="1">
        <v>1000.0</v>
      </c>
      <c r="L10" s="1">
        <v>1000.0</v>
      </c>
      <c r="M10" s="1">
        <v>1000.0</v>
      </c>
      <c r="N10" s="1">
        <v>1000.0</v>
      </c>
      <c r="O10" s="1">
        <v>1000.0</v>
      </c>
      <c r="P10" s="1">
        <v>1000.0</v>
      </c>
      <c r="Q10" s="1">
        <v>1000.0</v>
      </c>
      <c r="R10" s="1">
        <v>1000.0</v>
      </c>
      <c r="S10" s="1">
        <v>1000.0</v>
      </c>
      <c r="T10" s="1">
        <v>1000.0</v>
      </c>
      <c r="U10" s="1">
        <v>1000.0</v>
      </c>
      <c r="V10" s="1">
        <v>1000.0</v>
      </c>
      <c r="W10" s="1">
        <v>1000.0</v>
      </c>
      <c r="X10" s="1">
        <v>1000.0</v>
      </c>
      <c r="Y10" s="1">
        <v>1000.0</v>
      </c>
      <c r="Z10" s="1" t="s">
        <v>123</v>
      </c>
      <c r="AA10" s="1" t="s">
        <v>123</v>
      </c>
      <c r="AB10" s="1" t="s">
        <v>123</v>
      </c>
      <c r="AC10" s="1" t="s">
        <v>123</v>
      </c>
      <c r="AD10" s="1" t="s">
        <v>123</v>
      </c>
      <c r="AE10" s="1" t="s">
        <v>123</v>
      </c>
      <c r="AF10" s="1" t="s">
        <v>123</v>
      </c>
      <c r="AG10" s="1" t="s">
        <v>123</v>
      </c>
      <c r="AH10" s="1" t="s">
        <v>123</v>
      </c>
      <c r="AI10" s="1" t="s">
        <v>123</v>
      </c>
      <c r="AJ10" s="1">
        <v>3.0</v>
      </c>
      <c r="AK10" s="1">
        <v>4.0</v>
      </c>
      <c r="AL10" s="1">
        <v>5.0</v>
      </c>
      <c r="AM10" s="1">
        <v>7.0</v>
      </c>
      <c r="AN10" s="1">
        <v>9.0</v>
      </c>
      <c r="AO10" s="1">
        <v>12.0</v>
      </c>
      <c r="AP10" s="1">
        <v>16.0</v>
      </c>
      <c r="AQ10" s="1">
        <v>21.0</v>
      </c>
      <c r="AR10" s="1">
        <v>27.0</v>
      </c>
      <c r="AS10" s="1">
        <v>35.0</v>
      </c>
      <c r="AT10" s="1">
        <v>46.0</v>
      </c>
      <c r="AU10" s="1">
        <v>60.0</v>
      </c>
      <c r="AV10" s="1">
        <v>78.0</v>
      </c>
      <c r="AW10" s="1">
        <v>101.0</v>
      </c>
      <c r="AX10" s="1">
        <v>131.0</v>
      </c>
      <c r="AY10" s="1" t="s">
        <v>123</v>
      </c>
      <c r="AZ10" s="1" t="s">
        <v>123</v>
      </c>
      <c r="BA10" s="1" t="s">
        <v>123</v>
      </c>
      <c r="BB10" s="1" t="s">
        <v>123</v>
      </c>
      <c r="BC10" s="1" t="s">
        <v>123</v>
      </c>
      <c r="BD10" s="1" t="s">
        <v>123</v>
      </c>
      <c r="BE10" s="1" t="s">
        <v>123</v>
      </c>
      <c r="BF10" s="1" t="s">
        <v>123</v>
      </c>
      <c r="BG10" s="1" t="s">
        <v>123</v>
      </c>
      <c r="BH10" s="1" t="s">
        <v>123</v>
      </c>
      <c r="BI10" s="1" t="s">
        <v>123</v>
      </c>
      <c r="BJ10" s="1" t="s">
        <v>174</v>
      </c>
      <c r="BK10" s="1">
        <v>0.0</v>
      </c>
      <c r="BL10" s="9">
        <v>2.0</v>
      </c>
      <c r="BM10" s="9">
        <v>5.07</v>
      </c>
      <c r="BN10" s="9">
        <v>14.9</v>
      </c>
      <c r="BO10" s="9">
        <v>58.4</v>
      </c>
      <c r="BP10" s="9">
        <v>298.0</v>
      </c>
      <c r="BQ10" s="9">
        <v>2220.0</v>
      </c>
      <c r="BR10" s="9">
        <v>26300.0</v>
      </c>
      <c r="BS10" s="9">
        <v>529000.0</v>
      </c>
      <c r="BT10" s="9">
        <v>1.94E7</v>
      </c>
      <c r="BU10" s="9">
        <v>1.48E9</v>
      </c>
      <c r="BV10" s="9">
        <v>2.95E11</v>
      </c>
      <c r="BW10" s="9">
        <v>1.86E14</v>
      </c>
      <c r="BX10" s="9">
        <v>4.85E17</v>
      </c>
      <c r="BY10" s="9">
        <v>7.48E21</v>
      </c>
      <c r="BZ10" s="9">
        <v>1.15E27</v>
      </c>
      <c r="CA10" s="1" t="s">
        <v>123</v>
      </c>
      <c r="CB10" s="1" t="s">
        <v>123</v>
      </c>
      <c r="CC10" s="1" t="s">
        <v>123</v>
      </c>
      <c r="CD10" s="1" t="s">
        <v>123</v>
      </c>
      <c r="CE10" s="1" t="s">
        <v>123</v>
      </c>
      <c r="CF10" s="1" t="s">
        <v>123</v>
      </c>
      <c r="CG10" s="1" t="s">
        <v>123</v>
      </c>
      <c r="CH10" s="1" t="s">
        <v>123</v>
      </c>
      <c r="CI10" s="1" t="s">
        <v>123</v>
      </c>
      <c r="CJ10" s="1" t="s">
        <v>123</v>
      </c>
      <c r="CK10" s="1" t="s">
        <v>175</v>
      </c>
      <c r="CL10" s="1">
        <v>0.0</v>
      </c>
      <c r="CM10" s="1">
        <v>0.965</v>
      </c>
      <c r="CN10" s="1">
        <v>0.93</v>
      </c>
      <c r="CO10" s="1">
        <v>0.895</v>
      </c>
      <c r="CP10" s="1">
        <v>0.86</v>
      </c>
      <c r="CQ10" s="1">
        <v>0.825</v>
      </c>
      <c r="CR10" s="1">
        <v>0.79</v>
      </c>
      <c r="CS10" s="1">
        <v>0.755</v>
      </c>
      <c r="CT10" s="1">
        <v>0.72</v>
      </c>
      <c r="CU10" s="1">
        <v>0.685</v>
      </c>
      <c r="CV10" s="1">
        <v>0.65</v>
      </c>
      <c r="CW10" s="1">
        <v>0.615</v>
      </c>
      <c r="CX10" s="1">
        <v>0.58</v>
      </c>
      <c r="CY10" s="1">
        <v>0.545</v>
      </c>
      <c r="CZ10" s="1">
        <v>0.51</v>
      </c>
      <c r="DA10" s="1">
        <v>0.475</v>
      </c>
      <c r="DB10" s="1" t="s">
        <v>123</v>
      </c>
      <c r="DC10" s="1" t="s">
        <v>123</v>
      </c>
      <c r="DD10" s="1" t="s">
        <v>123</v>
      </c>
      <c r="DE10" s="1" t="s">
        <v>123</v>
      </c>
      <c r="DF10" s="1" t="s">
        <v>123</v>
      </c>
      <c r="DG10" s="1" t="s">
        <v>123</v>
      </c>
      <c r="DH10" s="1" t="s">
        <v>123</v>
      </c>
      <c r="DI10" s="1" t="s">
        <v>123</v>
      </c>
      <c r="DJ10" s="1" t="s">
        <v>123</v>
      </c>
      <c r="DK10" s="1" t="s">
        <v>123</v>
      </c>
      <c r="DL10" s="1" t="s">
        <v>177</v>
      </c>
      <c r="DM10" s="1">
        <v>30.0</v>
      </c>
    </row>
    <row r="11">
      <c r="A11" s="1" t="s">
        <v>178</v>
      </c>
      <c r="B11" s="1" t="s">
        <v>179</v>
      </c>
      <c r="C11" s="1">
        <v>0.0</v>
      </c>
      <c r="D11" s="1">
        <v>0.0</v>
      </c>
      <c r="E11" s="1" t="s">
        <v>119</v>
      </c>
      <c r="F11" s="1" t="s">
        <v>120</v>
      </c>
      <c r="G11" s="1" t="s">
        <v>180</v>
      </c>
      <c r="H11" s="1" t="s">
        <v>181</v>
      </c>
      <c r="I11" s="1">
        <v>25.0</v>
      </c>
      <c r="J11" s="1">
        <v>100.0</v>
      </c>
      <c r="K11" s="1">
        <v>100.0</v>
      </c>
      <c r="L11" s="1">
        <v>100.0</v>
      </c>
      <c r="M11" s="1">
        <v>100.0</v>
      </c>
      <c r="N11" s="1">
        <v>100.0</v>
      </c>
      <c r="O11" s="1">
        <v>100.0</v>
      </c>
      <c r="P11" s="1">
        <v>100.0</v>
      </c>
      <c r="Q11" s="1">
        <v>100.0</v>
      </c>
      <c r="R11" s="1">
        <v>100.0</v>
      </c>
      <c r="S11" s="1">
        <v>100.0</v>
      </c>
      <c r="T11" s="1">
        <v>100.0</v>
      </c>
      <c r="U11" s="1">
        <v>100.0</v>
      </c>
      <c r="V11" s="1">
        <v>100.0</v>
      </c>
      <c r="W11" s="1">
        <v>100.0</v>
      </c>
      <c r="X11" s="1">
        <v>100.0</v>
      </c>
      <c r="Y11" s="1">
        <v>100.0</v>
      </c>
      <c r="Z11" s="1">
        <v>100.0</v>
      </c>
      <c r="AA11" s="1">
        <v>100.0</v>
      </c>
      <c r="AB11" s="1">
        <v>100.0</v>
      </c>
      <c r="AC11" s="1">
        <v>100.0</v>
      </c>
      <c r="AD11" s="1">
        <v>100.0</v>
      </c>
      <c r="AE11" s="1">
        <v>100.0</v>
      </c>
      <c r="AF11" s="1">
        <v>100.0</v>
      </c>
      <c r="AG11" s="1">
        <v>100.0</v>
      </c>
      <c r="AH11" s="1">
        <v>100.0</v>
      </c>
      <c r="AI11" s="1">
        <v>100.0</v>
      </c>
      <c r="AJ11" s="1">
        <v>1.0</v>
      </c>
      <c r="AK11" s="1">
        <v>2.0</v>
      </c>
      <c r="AL11" s="1">
        <v>2.0</v>
      </c>
      <c r="AM11" s="1">
        <v>3.0</v>
      </c>
      <c r="AN11" s="1">
        <v>3.0</v>
      </c>
      <c r="AO11" s="1">
        <v>3.0</v>
      </c>
      <c r="AP11" s="1">
        <v>4.0</v>
      </c>
      <c r="AQ11" s="1">
        <v>5.0</v>
      </c>
      <c r="AR11" s="1">
        <v>5.0</v>
      </c>
      <c r="AS11" s="1">
        <v>6.0</v>
      </c>
      <c r="AT11" s="1">
        <v>7.0</v>
      </c>
      <c r="AU11" s="1">
        <v>8.0</v>
      </c>
      <c r="AV11" s="1">
        <v>9.0</v>
      </c>
      <c r="AW11" s="1">
        <v>11.0</v>
      </c>
      <c r="AX11" s="1">
        <v>12.0</v>
      </c>
      <c r="AY11" s="1">
        <v>14.0</v>
      </c>
      <c r="AZ11" s="1">
        <v>16.0</v>
      </c>
      <c r="BA11" s="1">
        <v>19.0</v>
      </c>
      <c r="BB11" s="1">
        <v>22.0</v>
      </c>
      <c r="BC11" s="1">
        <v>25.0</v>
      </c>
      <c r="BD11" s="1">
        <v>28.0</v>
      </c>
      <c r="BE11" s="1">
        <v>33.0</v>
      </c>
      <c r="BF11" s="1">
        <v>38.0</v>
      </c>
      <c r="BG11" s="1">
        <v>43.0</v>
      </c>
      <c r="BH11" s="1">
        <v>50.0</v>
      </c>
      <c r="BI11" s="1" t="s">
        <v>123</v>
      </c>
      <c r="BJ11" s="1" t="s">
        <v>183</v>
      </c>
      <c r="BK11" s="1">
        <v>0.0</v>
      </c>
      <c r="BL11" s="9">
        <v>1.2</v>
      </c>
      <c r="BM11" s="9">
        <v>1.71</v>
      </c>
      <c r="BN11" s="9">
        <v>2.43</v>
      </c>
      <c r="BO11" s="9">
        <v>3.82</v>
      </c>
      <c r="BP11" s="9">
        <v>6.02</v>
      </c>
      <c r="BQ11" s="9">
        <v>9.47</v>
      </c>
      <c r="BR11" s="9">
        <v>16.4</v>
      </c>
      <c r="BS11" s="9">
        <v>31.4</v>
      </c>
      <c r="BT11" s="9">
        <v>60.1</v>
      </c>
      <c r="BU11" s="9">
        <v>126.0</v>
      </c>
      <c r="BV11" s="9">
        <v>290.0</v>
      </c>
      <c r="BW11" s="9">
        <v>728.0</v>
      </c>
      <c r="BX11" s="9">
        <v>2000.0</v>
      </c>
      <c r="BY11" s="9">
        <v>6490.0</v>
      </c>
      <c r="BZ11" s="9">
        <v>22900.0</v>
      </c>
      <c r="CA11" s="9">
        <v>94800.0</v>
      </c>
      <c r="CB11" s="9">
        <v>459000.0</v>
      </c>
      <c r="CC11" s="9">
        <v>2790000.0</v>
      </c>
      <c r="CD11" s="9">
        <v>2.11E7</v>
      </c>
      <c r="CE11" s="9">
        <v>1.97E8</v>
      </c>
      <c r="CF11" s="9">
        <v>2.27E9</v>
      </c>
      <c r="CG11" s="9">
        <v>3.65E10</v>
      </c>
      <c r="CH11" s="9">
        <v>8.15E11</v>
      </c>
      <c r="CI11" s="9">
        <v>2.5E13</v>
      </c>
      <c r="CJ11" s="9">
        <v>1.19E15</v>
      </c>
      <c r="CK11" s="1" t="s">
        <v>119</v>
      </c>
      <c r="CL11" s="1">
        <v>0.0</v>
      </c>
      <c r="CM11" s="1">
        <v>0.0</v>
      </c>
      <c r="CN11" s="1">
        <v>0.0</v>
      </c>
      <c r="CO11" s="1">
        <v>0.0</v>
      </c>
      <c r="CP11" s="1">
        <v>0.0</v>
      </c>
      <c r="CQ11" s="1">
        <v>0.0</v>
      </c>
      <c r="CR11" s="1">
        <v>0.0</v>
      </c>
      <c r="CS11" s="1">
        <v>0.0</v>
      </c>
      <c r="CT11" s="1">
        <v>0.0</v>
      </c>
      <c r="CU11" s="1">
        <v>0.0</v>
      </c>
      <c r="CV11" s="1">
        <v>0.0</v>
      </c>
      <c r="CW11" s="1">
        <v>0.0</v>
      </c>
      <c r="CX11" s="1">
        <v>0.0</v>
      </c>
      <c r="CY11" s="1">
        <v>0.0</v>
      </c>
      <c r="CZ11" s="1">
        <v>0.0</v>
      </c>
      <c r="DA11" s="1">
        <v>0.0</v>
      </c>
      <c r="DB11" s="1">
        <v>0.0</v>
      </c>
      <c r="DC11" s="1">
        <v>0.0</v>
      </c>
      <c r="DD11" s="1">
        <v>0.0</v>
      </c>
      <c r="DE11" s="1">
        <v>0.0</v>
      </c>
      <c r="DF11" s="1">
        <v>0.0</v>
      </c>
      <c r="DG11" s="1">
        <v>0.0</v>
      </c>
      <c r="DH11" s="1">
        <v>0.0</v>
      </c>
      <c r="DI11" s="1">
        <v>0.0</v>
      </c>
      <c r="DJ11" s="1">
        <v>0.0</v>
      </c>
      <c r="DK11" s="1">
        <v>0.0</v>
      </c>
      <c r="DL11" s="1" t="s">
        <v>119</v>
      </c>
      <c r="DM11" s="1">
        <v>0.0</v>
      </c>
    </row>
    <row r="12">
      <c r="A12" s="1" t="s">
        <v>184</v>
      </c>
      <c r="B12" s="1" t="s">
        <v>179</v>
      </c>
      <c r="C12" s="1">
        <v>1.0</v>
      </c>
      <c r="D12" s="1">
        <v>3.0</v>
      </c>
      <c r="E12" s="1" t="s">
        <v>178</v>
      </c>
      <c r="F12" s="1" t="s">
        <v>127</v>
      </c>
      <c r="G12" s="1" t="s">
        <v>185</v>
      </c>
      <c r="H12" s="1" t="s">
        <v>186</v>
      </c>
      <c r="I12" s="1">
        <v>25.0</v>
      </c>
      <c r="J12" s="1">
        <v>300.0</v>
      </c>
      <c r="K12" s="1">
        <v>300.0</v>
      </c>
      <c r="L12" s="1">
        <v>300.0</v>
      </c>
      <c r="M12" s="1">
        <v>300.0</v>
      </c>
      <c r="N12" s="1">
        <v>300.0</v>
      </c>
      <c r="O12" s="1">
        <v>300.0</v>
      </c>
      <c r="P12" s="1">
        <v>300.0</v>
      </c>
      <c r="Q12" s="1">
        <v>300.0</v>
      </c>
      <c r="R12" s="1">
        <v>300.0</v>
      </c>
      <c r="S12" s="1">
        <v>300.0</v>
      </c>
      <c r="T12" s="1">
        <v>300.0</v>
      </c>
      <c r="U12" s="1">
        <v>300.0</v>
      </c>
      <c r="V12" s="1">
        <v>300.0</v>
      </c>
      <c r="W12" s="1">
        <v>300.0</v>
      </c>
      <c r="X12" s="1">
        <v>300.0</v>
      </c>
      <c r="Y12" s="1">
        <v>300.0</v>
      </c>
      <c r="Z12" s="1">
        <v>300.0</v>
      </c>
      <c r="AA12" s="1">
        <v>300.0</v>
      </c>
      <c r="AB12" s="1">
        <v>300.0</v>
      </c>
      <c r="AC12" s="1">
        <v>300.0</v>
      </c>
      <c r="AD12" s="1">
        <v>300.0</v>
      </c>
      <c r="AE12" s="1">
        <v>300.0</v>
      </c>
      <c r="AF12" s="1">
        <v>300.0</v>
      </c>
      <c r="AG12" s="1">
        <v>300.0</v>
      </c>
      <c r="AH12" s="1">
        <v>300.0</v>
      </c>
      <c r="AI12" s="1">
        <v>300.0</v>
      </c>
      <c r="AJ12" s="1">
        <v>1.0</v>
      </c>
      <c r="AK12" s="1">
        <v>2.0</v>
      </c>
      <c r="AL12" s="1">
        <v>2.0</v>
      </c>
      <c r="AM12" s="1">
        <v>3.0</v>
      </c>
      <c r="AN12" s="1">
        <v>3.0</v>
      </c>
      <c r="AO12" s="1">
        <v>3.0</v>
      </c>
      <c r="AP12" s="1">
        <v>4.0</v>
      </c>
      <c r="AQ12" s="1">
        <v>5.0</v>
      </c>
      <c r="AR12" s="1">
        <v>5.0</v>
      </c>
      <c r="AS12" s="1">
        <v>6.0</v>
      </c>
      <c r="AT12" s="1">
        <v>7.0</v>
      </c>
      <c r="AU12" s="1">
        <v>8.0</v>
      </c>
      <c r="AV12" s="1">
        <v>9.0</v>
      </c>
      <c r="AW12" s="1">
        <v>11.0</v>
      </c>
      <c r="AX12" s="1">
        <v>12.0</v>
      </c>
      <c r="AY12" s="1">
        <v>14.0</v>
      </c>
      <c r="AZ12" s="1">
        <v>16.0</v>
      </c>
      <c r="BA12" s="1">
        <v>19.0</v>
      </c>
      <c r="BB12" s="1">
        <v>22.0</v>
      </c>
      <c r="BC12" s="1">
        <v>25.0</v>
      </c>
      <c r="BD12" s="1">
        <v>28.0</v>
      </c>
      <c r="BE12" s="1">
        <v>33.0</v>
      </c>
      <c r="BF12" s="1">
        <v>38.0</v>
      </c>
      <c r="BG12" s="1">
        <v>43.0</v>
      </c>
      <c r="BH12" s="1">
        <v>50.0</v>
      </c>
      <c r="BI12" s="1" t="s">
        <v>123</v>
      </c>
      <c r="BJ12" s="1" t="s">
        <v>187</v>
      </c>
      <c r="BK12" s="1">
        <v>0.0</v>
      </c>
      <c r="BL12" s="9">
        <v>1.8</v>
      </c>
      <c r="BM12" s="9">
        <v>2.98</v>
      </c>
      <c r="BN12" s="9">
        <v>4.93</v>
      </c>
      <c r="BO12" s="9">
        <v>9.16</v>
      </c>
      <c r="BP12" s="9">
        <v>17.0</v>
      </c>
      <c r="BQ12" s="9">
        <v>31.6</v>
      </c>
      <c r="BR12" s="9">
        <v>65.7</v>
      </c>
      <c r="BS12" s="9">
        <v>152.0</v>
      </c>
      <c r="BT12" s="9">
        <v>353.0</v>
      </c>
      <c r="BU12" s="9">
        <v>910.0</v>
      </c>
      <c r="BV12" s="9">
        <v>2600.0</v>
      </c>
      <c r="BW12" s="9">
        <v>8240.0</v>
      </c>
      <c r="BX12" s="9">
        <v>28800.0</v>
      </c>
      <c r="BY12" s="9">
        <v>122000.0</v>
      </c>
      <c r="BZ12" s="9">
        <v>571000.0</v>
      </c>
      <c r="CA12" s="9">
        <v>3200000.0</v>
      </c>
      <c r="CB12" s="9">
        <v>2.15E7</v>
      </c>
      <c r="CC12" s="9">
        <v>1.86E8</v>
      </c>
      <c r="CD12" s="9">
        <v>2.08E9</v>
      </c>
      <c r="CE12" s="9">
        <v>2.98E10</v>
      </c>
      <c r="CF12" s="9">
        <v>5.39E11</v>
      </c>
      <c r="CG12" s="9">
        <v>1.44E13</v>
      </c>
      <c r="CH12" s="9">
        <v>5.58E14</v>
      </c>
      <c r="CI12" s="9">
        <v>3.14E16</v>
      </c>
      <c r="CJ12" s="9">
        <v>2.92E18</v>
      </c>
      <c r="CK12" s="1" t="s">
        <v>188</v>
      </c>
      <c r="CL12" s="1">
        <v>0.0</v>
      </c>
      <c r="CM12" s="1">
        <v>0.01</v>
      </c>
      <c r="CN12" s="1">
        <v>0.02</v>
      </c>
      <c r="CO12" s="1">
        <v>0.03</v>
      </c>
      <c r="CP12" s="1">
        <v>0.04</v>
      </c>
      <c r="CQ12" s="1">
        <v>0.05</v>
      </c>
      <c r="CR12" s="1">
        <v>0.06</v>
      </c>
      <c r="CS12" s="1">
        <v>0.07</v>
      </c>
      <c r="CT12" s="1">
        <v>0.08</v>
      </c>
      <c r="CU12" s="1">
        <v>0.09</v>
      </c>
      <c r="CV12" s="1">
        <v>0.1</v>
      </c>
      <c r="CW12" s="1">
        <v>0.11</v>
      </c>
      <c r="CX12" s="1">
        <v>0.12</v>
      </c>
      <c r="CY12" s="1">
        <v>0.13</v>
      </c>
      <c r="CZ12" s="1">
        <v>0.14</v>
      </c>
      <c r="DA12" s="1">
        <v>0.15</v>
      </c>
      <c r="DB12" s="1">
        <v>0.16</v>
      </c>
      <c r="DC12" s="1">
        <v>0.17</v>
      </c>
      <c r="DD12" s="1">
        <v>0.18</v>
      </c>
      <c r="DE12" s="1">
        <v>0.19</v>
      </c>
      <c r="DF12" s="1">
        <v>0.2</v>
      </c>
      <c r="DG12" s="1">
        <v>0.21</v>
      </c>
      <c r="DH12" s="1">
        <v>0.22</v>
      </c>
      <c r="DI12" s="1">
        <v>0.23</v>
      </c>
      <c r="DJ12" s="1">
        <v>0.24</v>
      </c>
      <c r="DK12" s="1">
        <v>0.25</v>
      </c>
      <c r="DL12" s="1" t="s">
        <v>119</v>
      </c>
      <c r="DM12" s="1">
        <v>0.0</v>
      </c>
    </row>
    <row r="13">
      <c r="A13" s="1" t="s">
        <v>189</v>
      </c>
      <c r="B13" s="1" t="s">
        <v>179</v>
      </c>
      <c r="C13" s="1">
        <v>2.0</v>
      </c>
      <c r="D13" s="1">
        <v>3.0</v>
      </c>
      <c r="E13" s="1" t="s">
        <v>178</v>
      </c>
      <c r="F13" s="1" t="s">
        <v>127</v>
      </c>
      <c r="G13" s="1" t="s">
        <v>190</v>
      </c>
      <c r="H13" s="1" t="s">
        <v>191</v>
      </c>
      <c r="I13" s="1">
        <v>25.0</v>
      </c>
      <c r="J13" s="1">
        <v>300.0</v>
      </c>
      <c r="K13" s="1">
        <v>300.0</v>
      </c>
      <c r="L13" s="1">
        <v>300.0</v>
      </c>
      <c r="M13" s="1">
        <v>300.0</v>
      </c>
      <c r="N13" s="1">
        <v>300.0</v>
      </c>
      <c r="O13" s="1">
        <v>300.0</v>
      </c>
      <c r="P13" s="1">
        <v>300.0</v>
      </c>
      <c r="Q13" s="1">
        <v>300.0</v>
      </c>
      <c r="R13" s="1">
        <v>300.0</v>
      </c>
      <c r="S13" s="1">
        <v>300.0</v>
      </c>
      <c r="T13" s="1">
        <v>300.0</v>
      </c>
      <c r="U13" s="1">
        <v>300.0</v>
      </c>
      <c r="V13" s="1">
        <v>300.0</v>
      </c>
      <c r="W13" s="1">
        <v>300.0</v>
      </c>
      <c r="X13" s="1">
        <v>300.0</v>
      </c>
      <c r="Y13" s="1">
        <v>300.0</v>
      </c>
      <c r="Z13" s="1">
        <v>300.0</v>
      </c>
      <c r="AA13" s="1">
        <v>300.0</v>
      </c>
      <c r="AB13" s="1">
        <v>300.0</v>
      </c>
      <c r="AC13" s="1">
        <v>300.0</v>
      </c>
      <c r="AD13" s="1">
        <v>300.0</v>
      </c>
      <c r="AE13" s="1">
        <v>300.0</v>
      </c>
      <c r="AF13" s="1">
        <v>300.0</v>
      </c>
      <c r="AG13" s="1">
        <v>300.0</v>
      </c>
      <c r="AH13" s="1">
        <v>300.0</v>
      </c>
      <c r="AI13" s="1">
        <v>300.0</v>
      </c>
      <c r="AJ13" s="1">
        <v>1.0</v>
      </c>
      <c r="AK13" s="1">
        <v>2.0</v>
      </c>
      <c r="AL13" s="1">
        <v>2.0</v>
      </c>
      <c r="AM13" s="1">
        <v>3.0</v>
      </c>
      <c r="AN13" s="1">
        <v>3.0</v>
      </c>
      <c r="AO13" s="1">
        <v>3.0</v>
      </c>
      <c r="AP13" s="1">
        <v>4.0</v>
      </c>
      <c r="AQ13" s="1">
        <v>5.0</v>
      </c>
      <c r="AR13" s="1">
        <v>5.0</v>
      </c>
      <c r="AS13" s="1">
        <v>6.0</v>
      </c>
      <c r="AT13" s="1">
        <v>7.0</v>
      </c>
      <c r="AU13" s="1">
        <v>8.0</v>
      </c>
      <c r="AV13" s="1">
        <v>9.0</v>
      </c>
      <c r="AW13" s="1">
        <v>11.0</v>
      </c>
      <c r="AX13" s="1">
        <v>12.0</v>
      </c>
      <c r="AY13" s="1">
        <v>14.0</v>
      </c>
      <c r="AZ13" s="1">
        <v>16.0</v>
      </c>
      <c r="BA13" s="1">
        <v>19.0</v>
      </c>
      <c r="BB13" s="1">
        <v>22.0</v>
      </c>
      <c r="BC13" s="1">
        <v>25.0</v>
      </c>
      <c r="BD13" s="1">
        <v>28.0</v>
      </c>
      <c r="BE13" s="1">
        <v>33.0</v>
      </c>
      <c r="BF13" s="1">
        <v>38.0</v>
      </c>
      <c r="BG13" s="1">
        <v>43.0</v>
      </c>
      <c r="BH13" s="1">
        <v>50.0</v>
      </c>
      <c r="BI13" s="1" t="s">
        <v>123</v>
      </c>
      <c r="BJ13" s="1" t="s">
        <v>192</v>
      </c>
      <c r="BK13" s="1">
        <v>0.0</v>
      </c>
      <c r="BL13" s="9">
        <v>1.5</v>
      </c>
      <c r="BM13" s="9">
        <v>2.13</v>
      </c>
      <c r="BN13" s="9">
        <v>3.04</v>
      </c>
      <c r="BO13" s="9">
        <v>4.79</v>
      </c>
      <c r="BP13" s="9">
        <v>7.55</v>
      </c>
      <c r="BQ13" s="9">
        <v>11.9</v>
      </c>
      <c r="BR13" s="9">
        <v>20.7</v>
      </c>
      <c r="BS13" s="9">
        <v>39.7</v>
      </c>
      <c r="BT13" s="9">
        <v>76.1</v>
      </c>
      <c r="BU13" s="9">
        <v>160.0</v>
      </c>
      <c r="BV13" s="9">
        <v>371.0</v>
      </c>
      <c r="BW13" s="9">
        <v>939.0</v>
      </c>
      <c r="BX13" s="9">
        <v>2600.0</v>
      </c>
      <c r="BY13" s="9">
        <v>8550.0</v>
      </c>
      <c r="BZ13" s="9">
        <v>30700.0</v>
      </c>
      <c r="CA13" s="9">
        <v>130000.0</v>
      </c>
      <c r="CB13" s="9">
        <v>645000.0</v>
      </c>
      <c r="CC13" s="9">
        <v>4060000.0</v>
      </c>
      <c r="CD13" s="9">
        <v>3.21E7</v>
      </c>
      <c r="CE13" s="9">
        <v>3.18E8</v>
      </c>
      <c r="CF13" s="9">
        <v>3.92E9</v>
      </c>
      <c r="CG13" s="9">
        <v>6.9E10</v>
      </c>
      <c r="CH13" s="9">
        <v>1.72E12</v>
      </c>
      <c r="CI13" s="9">
        <v>6.07E13</v>
      </c>
      <c r="CJ13" s="9">
        <v>3.43E15</v>
      </c>
      <c r="CK13" s="1" t="s">
        <v>193</v>
      </c>
      <c r="CL13" s="1">
        <v>0.0</v>
      </c>
      <c r="CM13" s="1">
        <v>1.0</v>
      </c>
      <c r="CN13" s="1">
        <v>2.0</v>
      </c>
      <c r="CO13" s="1">
        <v>3.0</v>
      </c>
      <c r="CP13" s="1">
        <v>4.0</v>
      </c>
      <c r="CQ13" s="1">
        <v>5.0</v>
      </c>
      <c r="CR13" s="1">
        <v>6.0</v>
      </c>
      <c r="CS13" s="1">
        <v>7.0</v>
      </c>
      <c r="CT13" s="1">
        <v>8.0</v>
      </c>
      <c r="CU13" s="1">
        <v>9.0</v>
      </c>
      <c r="CV13" s="1">
        <v>10.0</v>
      </c>
      <c r="CW13" s="1">
        <v>11.0</v>
      </c>
      <c r="CX13" s="1">
        <v>12.0</v>
      </c>
      <c r="CY13" s="1">
        <v>13.0</v>
      </c>
      <c r="CZ13" s="1">
        <v>14.0</v>
      </c>
      <c r="DA13" s="1">
        <v>15.0</v>
      </c>
      <c r="DB13" s="1">
        <v>16.0</v>
      </c>
      <c r="DC13" s="1">
        <v>17.0</v>
      </c>
      <c r="DD13" s="1">
        <v>18.0</v>
      </c>
      <c r="DE13" s="1">
        <v>19.0</v>
      </c>
      <c r="DF13" s="1">
        <v>20.0</v>
      </c>
      <c r="DG13" s="1">
        <v>22.0</v>
      </c>
      <c r="DH13" s="1">
        <v>24.0</v>
      </c>
      <c r="DI13" s="1">
        <v>26.0</v>
      </c>
      <c r="DJ13" s="1">
        <v>28.0</v>
      </c>
      <c r="DK13" s="1">
        <v>30.0</v>
      </c>
      <c r="DL13" s="1" t="s">
        <v>119</v>
      </c>
      <c r="DM13" s="1">
        <v>0.0</v>
      </c>
    </row>
    <row r="14">
      <c r="A14" s="1" t="s">
        <v>196</v>
      </c>
      <c r="B14" s="1" t="s">
        <v>179</v>
      </c>
      <c r="C14" s="1">
        <v>3.0</v>
      </c>
      <c r="D14" s="1">
        <v>3.0</v>
      </c>
      <c r="E14" s="1" t="s">
        <v>178</v>
      </c>
      <c r="F14" s="1" t="s">
        <v>127</v>
      </c>
      <c r="G14" s="1" t="s">
        <v>197</v>
      </c>
      <c r="H14" s="1" t="s">
        <v>198</v>
      </c>
      <c r="I14" s="1">
        <v>25.0</v>
      </c>
      <c r="J14" s="1">
        <v>300.0</v>
      </c>
      <c r="K14" s="1">
        <v>300.0</v>
      </c>
      <c r="L14" s="1">
        <v>300.0</v>
      </c>
      <c r="M14" s="1">
        <v>300.0</v>
      </c>
      <c r="N14" s="1">
        <v>300.0</v>
      </c>
      <c r="O14" s="1">
        <v>300.0</v>
      </c>
      <c r="P14" s="1">
        <v>300.0</v>
      </c>
      <c r="Q14" s="1">
        <v>300.0</v>
      </c>
      <c r="R14" s="1">
        <v>300.0</v>
      </c>
      <c r="S14" s="1">
        <v>300.0</v>
      </c>
      <c r="T14" s="1">
        <v>300.0</v>
      </c>
      <c r="U14" s="1">
        <v>300.0</v>
      </c>
      <c r="V14" s="1">
        <v>300.0</v>
      </c>
      <c r="W14" s="1">
        <v>300.0</v>
      </c>
      <c r="X14" s="1">
        <v>300.0</v>
      </c>
      <c r="Y14" s="1">
        <v>300.0</v>
      </c>
      <c r="Z14" s="1">
        <v>300.0</v>
      </c>
      <c r="AA14" s="1">
        <v>300.0</v>
      </c>
      <c r="AB14" s="1">
        <v>300.0</v>
      </c>
      <c r="AC14" s="1">
        <v>300.0</v>
      </c>
      <c r="AD14" s="1">
        <v>300.0</v>
      </c>
      <c r="AE14" s="1">
        <v>300.0</v>
      </c>
      <c r="AF14" s="1">
        <v>300.0</v>
      </c>
      <c r="AG14" s="1">
        <v>300.0</v>
      </c>
      <c r="AH14" s="1">
        <v>300.0</v>
      </c>
      <c r="AI14" s="1">
        <v>300.0</v>
      </c>
      <c r="AJ14" s="1">
        <v>1.0</v>
      </c>
      <c r="AK14" s="1">
        <v>2.0</v>
      </c>
      <c r="AL14" s="1">
        <v>2.0</v>
      </c>
      <c r="AM14" s="1">
        <v>3.0</v>
      </c>
      <c r="AN14" s="1">
        <v>3.0</v>
      </c>
      <c r="AO14" s="1">
        <v>3.0</v>
      </c>
      <c r="AP14" s="1">
        <v>4.0</v>
      </c>
      <c r="AQ14" s="1">
        <v>5.0</v>
      </c>
      <c r="AR14" s="1">
        <v>5.0</v>
      </c>
      <c r="AS14" s="1">
        <v>6.0</v>
      </c>
      <c r="AT14" s="1">
        <v>7.0</v>
      </c>
      <c r="AU14" s="1">
        <v>8.0</v>
      </c>
      <c r="AV14" s="1">
        <v>9.0</v>
      </c>
      <c r="AW14" s="1">
        <v>11.0</v>
      </c>
      <c r="AX14" s="1">
        <v>12.0</v>
      </c>
      <c r="AY14" s="1">
        <v>14.0</v>
      </c>
      <c r="AZ14" s="1">
        <v>16.0</v>
      </c>
      <c r="BA14" s="1">
        <v>19.0</v>
      </c>
      <c r="BB14" s="1">
        <v>22.0</v>
      </c>
      <c r="BC14" s="1">
        <v>25.0</v>
      </c>
      <c r="BD14" s="1">
        <v>28.0</v>
      </c>
      <c r="BE14" s="1">
        <v>33.0</v>
      </c>
      <c r="BF14" s="1">
        <v>38.0</v>
      </c>
      <c r="BG14" s="1">
        <v>43.0</v>
      </c>
      <c r="BH14" s="1">
        <v>50.0</v>
      </c>
      <c r="BI14" s="1" t="s">
        <v>123</v>
      </c>
      <c r="BJ14" s="1" t="s">
        <v>199</v>
      </c>
      <c r="BK14" s="1">
        <v>0.0</v>
      </c>
      <c r="BL14" s="9">
        <v>1.5</v>
      </c>
      <c r="BM14" s="9">
        <v>2.11</v>
      </c>
      <c r="BN14" s="9">
        <v>2.98</v>
      </c>
      <c r="BO14" s="9">
        <v>4.63</v>
      </c>
      <c r="BP14" s="9">
        <v>7.19</v>
      </c>
      <c r="BQ14" s="9">
        <v>11.2</v>
      </c>
      <c r="BR14" s="9">
        <v>19.1</v>
      </c>
      <c r="BS14" s="9">
        <v>35.8</v>
      </c>
      <c r="BT14" s="9">
        <v>67.3</v>
      </c>
      <c r="BU14" s="9">
        <v>138.0</v>
      </c>
      <c r="BV14" s="9">
        <v>311.0</v>
      </c>
      <c r="BW14" s="9">
        <v>763.0</v>
      </c>
      <c r="BX14" s="9">
        <v>2040.0</v>
      </c>
      <c r="BY14" s="9">
        <v>6480.0</v>
      </c>
      <c r="BZ14" s="9">
        <v>22300.0</v>
      </c>
      <c r="CA14" s="9">
        <v>90200.0</v>
      </c>
      <c r="CB14" s="9">
        <v>427000.0</v>
      </c>
      <c r="CC14" s="9">
        <v>2550000.0</v>
      </c>
      <c r="CD14" s="9">
        <v>1.91E7</v>
      </c>
      <c r="CE14" s="9">
        <v>1.77E8</v>
      </c>
      <c r="CF14" s="9">
        <v>2.05E9</v>
      </c>
      <c r="CG14" s="9">
        <v>3.36E10</v>
      </c>
      <c r="CH14" s="9">
        <v>7.76E11</v>
      </c>
      <c r="CI14" s="9">
        <v>2.52E13</v>
      </c>
      <c r="CJ14" s="9">
        <v>1.3E15</v>
      </c>
      <c r="CK14" s="1" t="s">
        <v>200</v>
      </c>
      <c r="CL14" s="1">
        <v>0.0</v>
      </c>
      <c r="CM14" s="1">
        <v>1.0</v>
      </c>
      <c r="CN14" s="1">
        <v>2.0</v>
      </c>
      <c r="CO14" s="1">
        <v>3.0</v>
      </c>
      <c r="CP14" s="1">
        <v>4.0</v>
      </c>
      <c r="CQ14" s="1">
        <v>5.0</v>
      </c>
      <c r="CR14" s="1">
        <v>6.0</v>
      </c>
      <c r="CS14" s="1">
        <v>7.0</v>
      </c>
      <c r="CT14" s="1">
        <v>8.0</v>
      </c>
      <c r="CU14" s="1">
        <v>9.0</v>
      </c>
      <c r="CV14" s="1">
        <v>10.0</v>
      </c>
      <c r="CW14" s="1">
        <v>11.0</v>
      </c>
      <c r="CX14" s="1">
        <v>12.0</v>
      </c>
      <c r="CY14" s="1">
        <v>13.0</v>
      </c>
      <c r="CZ14" s="1">
        <v>14.0</v>
      </c>
      <c r="DA14" s="1">
        <v>15.0</v>
      </c>
      <c r="DB14" s="1">
        <v>16.0</v>
      </c>
      <c r="DC14" s="1">
        <v>18.0</v>
      </c>
      <c r="DD14" s="1">
        <v>20.0</v>
      </c>
      <c r="DE14" s="1">
        <v>22.0</v>
      </c>
      <c r="DF14" s="1">
        <v>24.0</v>
      </c>
      <c r="DG14" s="1">
        <v>26.0</v>
      </c>
      <c r="DH14" s="1">
        <v>28.0</v>
      </c>
      <c r="DI14" s="1">
        <v>30.0</v>
      </c>
      <c r="DJ14" s="1">
        <v>32.0</v>
      </c>
      <c r="DK14" s="1">
        <v>35.0</v>
      </c>
      <c r="DL14" s="1" t="s">
        <v>119</v>
      </c>
      <c r="DM14" s="1">
        <v>0.0</v>
      </c>
    </row>
    <row r="15">
      <c r="A15" s="1" t="s">
        <v>201</v>
      </c>
      <c r="B15" s="1" t="s">
        <v>179</v>
      </c>
      <c r="C15" s="1">
        <v>4.0</v>
      </c>
      <c r="D15" s="1">
        <v>20.0</v>
      </c>
      <c r="E15" s="1" t="s">
        <v>184</v>
      </c>
      <c r="F15" s="1" t="s">
        <v>144</v>
      </c>
      <c r="G15" s="1" t="s">
        <v>202</v>
      </c>
      <c r="H15" s="1" t="s">
        <v>203</v>
      </c>
      <c r="I15" s="1">
        <v>25.0</v>
      </c>
      <c r="J15" s="1">
        <v>600.0</v>
      </c>
      <c r="K15" s="1">
        <v>600.0</v>
      </c>
      <c r="L15" s="1">
        <v>600.0</v>
      </c>
      <c r="M15" s="1">
        <v>600.0</v>
      </c>
      <c r="N15" s="1">
        <v>600.0</v>
      </c>
      <c r="O15" s="1">
        <v>600.0</v>
      </c>
      <c r="P15" s="1">
        <v>600.0</v>
      </c>
      <c r="Q15" s="1">
        <v>600.0</v>
      </c>
      <c r="R15" s="1">
        <v>600.0</v>
      </c>
      <c r="S15" s="1">
        <v>600.0</v>
      </c>
      <c r="T15" s="1">
        <v>600.0</v>
      </c>
      <c r="U15" s="1">
        <v>600.0</v>
      </c>
      <c r="V15" s="1">
        <v>600.0</v>
      </c>
      <c r="W15" s="1">
        <v>600.0</v>
      </c>
      <c r="X15" s="1">
        <v>600.0</v>
      </c>
      <c r="Y15" s="1">
        <v>600.0</v>
      </c>
      <c r="Z15" s="1">
        <v>600.0</v>
      </c>
      <c r="AA15" s="1">
        <v>600.0</v>
      </c>
      <c r="AB15" s="1">
        <v>600.0</v>
      </c>
      <c r="AC15" s="1">
        <v>600.0</v>
      </c>
      <c r="AD15" s="1">
        <v>600.0</v>
      </c>
      <c r="AE15" s="1">
        <v>600.0</v>
      </c>
      <c r="AF15" s="1">
        <v>600.0</v>
      </c>
      <c r="AG15" s="1">
        <v>600.0</v>
      </c>
      <c r="AH15" s="1">
        <v>600.0</v>
      </c>
      <c r="AI15" s="1">
        <v>600.0</v>
      </c>
      <c r="AJ15" s="1">
        <v>2.0</v>
      </c>
      <c r="AK15" s="1">
        <v>2.0</v>
      </c>
      <c r="AL15" s="1">
        <v>3.0</v>
      </c>
      <c r="AM15" s="1">
        <v>3.0</v>
      </c>
      <c r="AN15" s="1">
        <v>3.0</v>
      </c>
      <c r="AO15" s="1">
        <v>4.0</v>
      </c>
      <c r="AP15" s="1">
        <v>5.0</v>
      </c>
      <c r="AQ15" s="1">
        <v>5.0</v>
      </c>
      <c r="AR15" s="1">
        <v>6.0</v>
      </c>
      <c r="AS15" s="1">
        <v>7.0</v>
      </c>
      <c r="AT15" s="1">
        <v>8.0</v>
      </c>
      <c r="AU15" s="1">
        <v>9.0</v>
      </c>
      <c r="AV15" s="1">
        <v>11.0</v>
      </c>
      <c r="AW15" s="1">
        <v>12.0</v>
      </c>
      <c r="AX15" s="1">
        <v>14.0</v>
      </c>
      <c r="AY15" s="1">
        <v>16.0</v>
      </c>
      <c r="AZ15" s="1">
        <v>19.0</v>
      </c>
      <c r="BA15" s="1">
        <v>22.0</v>
      </c>
      <c r="BB15" s="1">
        <v>25.0</v>
      </c>
      <c r="BC15" s="1">
        <v>28.0</v>
      </c>
      <c r="BD15" s="1">
        <v>33.0</v>
      </c>
      <c r="BE15" s="1">
        <v>38.0</v>
      </c>
      <c r="BF15" s="1">
        <v>43.0</v>
      </c>
      <c r="BG15" s="1">
        <v>50.0</v>
      </c>
      <c r="BH15" s="1">
        <v>57.0</v>
      </c>
      <c r="BI15" s="1" t="s">
        <v>123</v>
      </c>
      <c r="BJ15" s="1" t="s">
        <v>205</v>
      </c>
      <c r="BK15" s="1">
        <v>0.0</v>
      </c>
      <c r="BL15" s="1">
        <v>0.0025</v>
      </c>
      <c r="BM15" s="1">
        <v>0.0047</v>
      </c>
      <c r="BN15" s="1">
        <v>0.0076</v>
      </c>
      <c r="BO15" s="1">
        <v>0.0105</v>
      </c>
      <c r="BP15" s="1">
        <v>0.0134</v>
      </c>
      <c r="BQ15" s="1">
        <v>0.017</v>
      </c>
      <c r="BR15" s="1">
        <v>0.0212</v>
      </c>
      <c r="BS15" s="1">
        <v>0.0254</v>
      </c>
      <c r="BT15" s="1">
        <v>0.0302</v>
      </c>
      <c r="BU15" s="1">
        <v>0.0358</v>
      </c>
      <c r="BV15" s="1">
        <v>0.042</v>
      </c>
      <c r="BW15" s="1">
        <v>0.0488</v>
      </c>
      <c r="BX15" s="1">
        <v>0.0568</v>
      </c>
      <c r="BY15" s="1">
        <v>0.0655</v>
      </c>
      <c r="BZ15" s="1">
        <v>0.0754</v>
      </c>
      <c r="CA15" s="1">
        <v>0.0866</v>
      </c>
      <c r="CB15" s="1">
        <v>0.0995</v>
      </c>
      <c r="CC15" s="1">
        <v>0.1143</v>
      </c>
      <c r="CD15" s="1">
        <v>0.1309</v>
      </c>
      <c r="CE15" s="1">
        <v>0.1494</v>
      </c>
      <c r="CF15" s="1">
        <v>0.1709</v>
      </c>
      <c r="CG15" s="1">
        <v>0.1955</v>
      </c>
      <c r="CH15" s="1">
        <v>0.2235</v>
      </c>
      <c r="CI15" s="1">
        <v>0.256</v>
      </c>
      <c r="CJ15" s="1">
        <v>0.2933</v>
      </c>
      <c r="CK15" s="1" t="s">
        <v>206</v>
      </c>
      <c r="CL15" s="1">
        <v>0.0</v>
      </c>
      <c r="CM15" s="1">
        <v>0.02</v>
      </c>
      <c r="CN15" s="1">
        <v>0.044</v>
      </c>
      <c r="CO15" s="1">
        <v>0.07</v>
      </c>
      <c r="CP15" s="1">
        <v>0.095</v>
      </c>
      <c r="CQ15" s="1">
        <v>0.121</v>
      </c>
      <c r="CR15" s="1">
        <v>0.148</v>
      </c>
      <c r="CS15" s="1">
        <v>0.176</v>
      </c>
      <c r="CT15" s="1">
        <v>0.204</v>
      </c>
      <c r="CU15" s="1">
        <v>0.233</v>
      </c>
      <c r="CV15" s="1">
        <v>0.263</v>
      </c>
      <c r="CW15" s="1">
        <v>0.293</v>
      </c>
      <c r="CX15" s="1">
        <v>0.324</v>
      </c>
      <c r="CY15" s="1">
        <v>0.356</v>
      </c>
      <c r="CZ15" s="1">
        <v>0.388</v>
      </c>
      <c r="DA15" s="1">
        <v>0.421</v>
      </c>
      <c r="DB15" s="1">
        <v>0.456</v>
      </c>
      <c r="DC15" s="1">
        <v>0.49</v>
      </c>
      <c r="DD15" s="1">
        <v>0.526</v>
      </c>
      <c r="DE15" s="1">
        <v>0.563</v>
      </c>
      <c r="DF15" s="1">
        <v>0.6</v>
      </c>
      <c r="DG15" s="1">
        <v>0.639</v>
      </c>
      <c r="DH15" s="1">
        <v>0.678</v>
      </c>
      <c r="DI15" s="1">
        <v>0.718</v>
      </c>
      <c r="DJ15" s="1">
        <v>0.76</v>
      </c>
      <c r="DK15" s="1">
        <v>0.802</v>
      </c>
      <c r="DL15" s="1" t="s">
        <v>119</v>
      </c>
      <c r="DM15" s="1">
        <v>0.0</v>
      </c>
    </row>
    <row r="16">
      <c r="A16" s="1" t="s">
        <v>207</v>
      </c>
      <c r="B16" s="1" t="s">
        <v>179</v>
      </c>
      <c r="C16" s="1">
        <v>5.0</v>
      </c>
      <c r="D16" s="1">
        <v>20.0</v>
      </c>
      <c r="E16" s="1" t="s">
        <v>189</v>
      </c>
      <c r="F16" s="1" t="s">
        <v>144</v>
      </c>
      <c r="G16" s="1" t="s">
        <v>208</v>
      </c>
      <c r="H16" s="1" t="s">
        <v>209</v>
      </c>
      <c r="I16" s="1">
        <v>25.0</v>
      </c>
      <c r="J16" s="1">
        <v>600.0</v>
      </c>
      <c r="K16" s="1">
        <v>600.0</v>
      </c>
      <c r="L16" s="1">
        <v>600.0</v>
      </c>
      <c r="M16" s="1">
        <v>600.0</v>
      </c>
      <c r="N16" s="1">
        <v>600.0</v>
      </c>
      <c r="O16" s="1">
        <v>600.0</v>
      </c>
      <c r="P16" s="1">
        <v>600.0</v>
      </c>
      <c r="Q16" s="1">
        <v>600.0</v>
      </c>
      <c r="R16" s="1">
        <v>600.0</v>
      </c>
      <c r="S16" s="1">
        <v>600.0</v>
      </c>
      <c r="T16" s="1">
        <v>600.0</v>
      </c>
      <c r="U16" s="1">
        <v>600.0</v>
      </c>
      <c r="V16" s="1">
        <v>600.0</v>
      </c>
      <c r="W16" s="1">
        <v>600.0</v>
      </c>
      <c r="X16" s="1">
        <v>600.0</v>
      </c>
      <c r="Y16" s="1">
        <v>600.0</v>
      </c>
      <c r="Z16" s="1">
        <v>600.0</v>
      </c>
      <c r="AA16" s="1">
        <v>600.0</v>
      </c>
      <c r="AB16" s="1">
        <v>600.0</v>
      </c>
      <c r="AC16" s="1">
        <v>600.0</v>
      </c>
      <c r="AD16" s="1">
        <v>600.0</v>
      </c>
      <c r="AE16" s="1">
        <v>600.0</v>
      </c>
      <c r="AF16" s="1">
        <v>600.0</v>
      </c>
      <c r="AG16" s="1">
        <v>600.0</v>
      </c>
      <c r="AH16" s="1">
        <v>600.0</v>
      </c>
      <c r="AI16" s="1">
        <v>600.0</v>
      </c>
      <c r="AJ16" s="1">
        <v>2.0</v>
      </c>
      <c r="AK16" s="1">
        <v>2.0</v>
      </c>
      <c r="AL16" s="1">
        <v>3.0</v>
      </c>
      <c r="AM16" s="1">
        <v>3.0</v>
      </c>
      <c r="AN16" s="1">
        <v>3.0</v>
      </c>
      <c r="AO16" s="1">
        <v>4.0</v>
      </c>
      <c r="AP16" s="1">
        <v>5.0</v>
      </c>
      <c r="AQ16" s="1">
        <v>5.0</v>
      </c>
      <c r="AR16" s="1">
        <v>6.0</v>
      </c>
      <c r="AS16" s="1">
        <v>7.0</v>
      </c>
      <c r="AT16" s="1">
        <v>8.0</v>
      </c>
      <c r="AU16" s="1">
        <v>9.0</v>
      </c>
      <c r="AV16" s="1">
        <v>11.0</v>
      </c>
      <c r="AW16" s="1">
        <v>12.0</v>
      </c>
      <c r="AX16" s="1">
        <v>14.0</v>
      </c>
      <c r="AY16" s="1">
        <v>16.0</v>
      </c>
      <c r="AZ16" s="1">
        <v>19.0</v>
      </c>
      <c r="BA16" s="1">
        <v>22.0</v>
      </c>
      <c r="BB16" s="1">
        <v>25.0</v>
      </c>
      <c r="BC16" s="1">
        <v>28.0</v>
      </c>
      <c r="BD16" s="1">
        <v>33.0</v>
      </c>
      <c r="BE16" s="1">
        <v>38.0</v>
      </c>
      <c r="BF16" s="1">
        <v>43.0</v>
      </c>
      <c r="BG16" s="1">
        <v>50.0</v>
      </c>
      <c r="BH16" s="1">
        <v>57.0</v>
      </c>
      <c r="BI16" s="1" t="s">
        <v>123</v>
      </c>
      <c r="BJ16" s="1" t="s">
        <v>211</v>
      </c>
      <c r="BK16" s="1">
        <v>0.0</v>
      </c>
      <c r="BL16" s="1">
        <v>0.0075</v>
      </c>
      <c r="BM16" s="9">
        <v>0.00951</v>
      </c>
      <c r="BN16" s="9">
        <v>0.0135</v>
      </c>
      <c r="BO16" s="9">
        <v>0.0192</v>
      </c>
      <c r="BP16" s="9">
        <v>0.0272</v>
      </c>
      <c r="BQ16" s="9">
        <v>0.0432</v>
      </c>
      <c r="BR16" s="9">
        <v>0.0763</v>
      </c>
      <c r="BS16" s="9">
        <v>0.135</v>
      </c>
      <c r="BT16" s="9">
        <v>0.265</v>
      </c>
      <c r="BU16" s="9">
        <v>0.576</v>
      </c>
      <c r="BV16" s="9">
        <v>1.39</v>
      </c>
      <c r="BW16" s="9">
        <v>3.68</v>
      </c>
      <c r="BX16" s="9">
        <v>11.9</v>
      </c>
      <c r="BY16" s="9">
        <v>42.0</v>
      </c>
      <c r="BZ16" s="9">
        <v>179.0</v>
      </c>
      <c r="CA16" s="9">
        <v>911.0</v>
      </c>
      <c r="CB16" s="9">
        <v>6030.0</v>
      </c>
      <c r="CC16" s="9">
        <v>51500.0</v>
      </c>
      <c r="CD16" s="9">
        <v>563000.0</v>
      </c>
      <c r="CE16" s="9">
        <v>7850000.0</v>
      </c>
      <c r="CF16" s="9">
        <v>1.63E8</v>
      </c>
      <c r="CG16" s="9">
        <v>4.96E9</v>
      </c>
      <c r="CH16" s="9">
        <v>2.21E11</v>
      </c>
      <c r="CI16" s="9">
        <v>1.67E13</v>
      </c>
      <c r="CJ16" s="9">
        <v>2.11E15</v>
      </c>
      <c r="CK16" s="1" t="s">
        <v>213</v>
      </c>
      <c r="CL16" s="1">
        <v>0.0</v>
      </c>
      <c r="CM16" s="1">
        <v>1.0</v>
      </c>
      <c r="CN16" s="1">
        <v>2.0</v>
      </c>
      <c r="CO16" s="1">
        <v>4.0</v>
      </c>
      <c r="CP16" s="1">
        <v>7.0</v>
      </c>
      <c r="CQ16" s="1">
        <v>9.0</v>
      </c>
      <c r="CR16" s="1">
        <v>12.0</v>
      </c>
      <c r="CS16" s="1">
        <v>16.0</v>
      </c>
      <c r="CT16" s="1">
        <v>21.0</v>
      </c>
      <c r="CU16" s="1">
        <v>26.0</v>
      </c>
      <c r="CV16" s="1">
        <v>33.0</v>
      </c>
      <c r="CW16" s="1">
        <v>41.0</v>
      </c>
      <c r="CX16" s="1">
        <v>51.0</v>
      </c>
      <c r="CY16" s="1">
        <v>63.0</v>
      </c>
      <c r="CZ16" s="1">
        <v>77.0</v>
      </c>
      <c r="DA16" s="1">
        <v>95.0</v>
      </c>
      <c r="DB16" s="1">
        <v>115.0</v>
      </c>
      <c r="DC16" s="1">
        <v>142.0</v>
      </c>
      <c r="DD16" s="1">
        <v>173.0</v>
      </c>
      <c r="DE16" s="1">
        <v>211.0</v>
      </c>
      <c r="DF16" s="1">
        <v>255.0</v>
      </c>
      <c r="DG16" s="1">
        <v>310.0</v>
      </c>
      <c r="DH16" s="1">
        <v>376.0</v>
      </c>
      <c r="DI16" s="1">
        <v>454.0</v>
      </c>
      <c r="DJ16" s="1">
        <v>550.0</v>
      </c>
      <c r="DK16" s="1">
        <v>664.0</v>
      </c>
      <c r="DL16" s="1" t="s">
        <v>119</v>
      </c>
      <c r="DM16" s="1">
        <v>0.0</v>
      </c>
    </row>
    <row r="17">
      <c r="A17" s="1" t="s">
        <v>214</v>
      </c>
      <c r="B17" s="1" t="s">
        <v>179</v>
      </c>
      <c r="C17" s="1">
        <v>6.0</v>
      </c>
      <c r="D17" s="1">
        <v>20.0</v>
      </c>
      <c r="E17" s="1" t="s">
        <v>196</v>
      </c>
      <c r="F17" s="1" t="s">
        <v>144</v>
      </c>
      <c r="G17" s="1" t="s">
        <v>215</v>
      </c>
      <c r="H17" s="1" t="s">
        <v>216</v>
      </c>
      <c r="I17" s="1">
        <v>25.0</v>
      </c>
      <c r="J17" s="1">
        <v>600.0</v>
      </c>
      <c r="K17" s="1">
        <v>600.0</v>
      </c>
      <c r="L17" s="1">
        <v>600.0</v>
      </c>
      <c r="M17" s="1">
        <v>600.0</v>
      </c>
      <c r="N17" s="1">
        <v>600.0</v>
      </c>
      <c r="O17" s="1">
        <v>600.0</v>
      </c>
      <c r="P17" s="1">
        <v>600.0</v>
      </c>
      <c r="Q17" s="1">
        <v>600.0</v>
      </c>
      <c r="R17" s="1">
        <v>600.0</v>
      </c>
      <c r="S17" s="1">
        <v>600.0</v>
      </c>
      <c r="T17" s="1">
        <v>600.0</v>
      </c>
      <c r="U17" s="1">
        <v>600.0</v>
      </c>
      <c r="V17" s="1">
        <v>600.0</v>
      </c>
      <c r="W17" s="1">
        <v>600.0</v>
      </c>
      <c r="X17" s="1">
        <v>600.0</v>
      </c>
      <c r="Y17" s="1">
        <v>600.0</v>
      </c>
      <c r="Z17" s="1">
        <v>600.0</v>
      </c>
      <c r="AA17" s="1">
        <v>600.0</v>
      </c>
      <c r="AB17" s="1">
        <v>600.0</v>
      </c>
      <c r="AC17" s="1">
        <v>600.0</v>
      </c>
      <c r="AD17" s="1">
        <v>600.0</v>
      </c>
      <c r="AE17" s="1">
        <v>600.0</v>
      </c>
      <c r="AF17" s="1">
        <v>600.0</v>
      </c>
      <c r="AG17" s="1">
        <v>600.0</v>
      </c>
      <c r="AH17" s="1">
        <v>600.0</v>
      </c>
      <c r="AI17" s="1">
        <v>600.0</v>
      </c>
      <c r="AJ17" s="1">
        <v>2.0</v>
      </c>
      <c r="AK17" s="1">
        <v>2.0</v>
      </c>
      <c r="AL17" s="1">
        <v>3.0</v>
      </c>
      <c r="AM17" s="1">
        <v>3.0</v>
      </c>
      <c r="AN17" s="1">
        <v>3.0</v>
      </c>
      <c r="AO17" s="1">
        <v>4.0</v>
      </c>
      <c r="AP17" s="1">
        <v>5.0</v>
      </c>
      <c r="AQ17" s="1">
        <v>5.0</v>
      </c>
      <c r="AR17" s="1">
        <v>6.0</v>
      </c>
      <c r="AS17" s="1">
        <v>7.0</v>
      </c>
      <c r="AT17" s="1">
        <v>8.0</v>
      </c>
      <c r="AU17" s="1">
        <v>9.0</v>
      </c>
      <c r="AV17" s="1">
        <v>11.0</v>
      </c>
      <c r="AW17" s="1">
        <v>12.0</v>
      </c>
      <c r="AX17" s="1">
        <v>14.0</v>
      </c>
      <c r="AY17" s="1">
        <v>16.0</v>
      </c>
      <c r="AZ17" s="1">
        <v>19.0</v>
      </c>
      <c r="BA17" s="1">
        <v>22.0</v>
      </c>
      <c r="BB17" s="1">
        <v>25.0</v>
      </c>
      <c r="BC17" s="1">
        <v>28.0</v>
      </c>
      <c r="BD17" s="1">
        <v>33.0</v>
      </c>
      <c r="BE17" s="1">
        <v>38.0</v>
      </c>
      <c r="BF17" s="1">
        <v>43.0</v>
      </c>
      <c r="BG17" s="1">
        <v>50.0</v>
      </c>
      <c r="BH17" s="1">
        <v>57.0</v>
      </c>
      <c r="BI17" s="1" t="s">
        <v>123</v>
      </c>
      <c r="BJ17" s="1" t="s">
        <v>217</v>
      </c>
      <c r="BK17" s="1">
        <v>0.0</v>
      </c>
      <c r="BL17" s="9">
        <v>1.8</v>
      </c>
      <c r="BM17" s="9">
        <v>2.59</v>
      </c>
      <c r="BN17" s="9">
        <v>4.14</v>
      </c>
      <c r="BO17" s="9">
        <v>6.62</v>
      </c>
      <c r="BP17" s="9">
        <v>10.6</v>
      </c>
      <c r="BQ17" s="9">
        <v>18.8</v>
      </c>
      <c r="BR17" s="9">
        <v>36.9</v>
      </c>
      <c r="BS17" s="9">
        <v>72.5</v>
      </c>
      <c r="BT17" s="9">
        <v>157.0</v>
      </c>
      <c r="BU17" s="9">
        <v>376.0</v>
      </c>
      <c r="BV17" s="9">
        <v>990.0</v>
      </c>
      <c r="BW17" s="9">
        <v>2860.0</v>
      </c>
      <c r="BX17" s="9">
        <v>9930.0</v>
      </c>
      <c r="BY17" s="9">
        <v>37700.0</v>
      </c>
      <c r="BZ17" s="9">
        <v>170000.0</v>
      </c>
      <c r="CA17" s="9">
        <v>914000.0</v>
      </c>
      <c r="CB17" s="9">
        <v>6290000.0</v>
      </c>
      <c r="CC17" s="9">
        <v>5.53E7</v>
      </c>
      <c r="CD17" s="9">
        <v>6.16E8</v>
      </c>
      <c r="CE17" s="9">
        <v>8.66E9</v>
      </c>
      <c r="CF17" s="9">
        <v>1.78E11</v>
      </c>
      <c r="CG17" s="9">
        <v>5.33E12</v>
      </c>
      <c r="CH17" s="9">
        <v>2.3E14</v>
      </c>
      <c r="CI17" s="9">
        <v>1.65E16</v>
      </c>
      <c r="CJ17" s="9">
        <v>1.96E18</v>
      </c>
      <c r="CK17" s="1" t="s">
        <v>218</v>
      </c>
      <c r="CL17" s="1">
        <v>0.0</v>
      </c>
      <c r="CM17" s="1">
        <v>0.0</v>
      </c>
      <c r="CN17" s="1">
        <v>0.5</v>
      </c>
      <c r="CO17" s="1">
        <v>1.0</v>
      </c>
      <c r="CP17" s="1">
        <v>1.5</v>
      </c>
      <c r="CQ17" s="1">
        <v>2.0</v>
      </c>
      <c r="CR17" s="1">
        <v>2.5</v>
      </c>
      <c r="CS17" s="1">
        <v>3.0</v>
      </c>
      <c r="CT17" s="1">
        <v>3.5</v>
      </c>
      <c r="CU17" s="1">
        <v>4.0</v>
      </c>
      <c r="CV17" s="1">
        <v>5.0</v>
      </c>
      <c r="CW17" s="1">
        <v>6.0</v>
      </c>
      <c r="CX17" s="1">
        <v>7.0</v>
      </c>
      <c r="CY17" s="1">
        <v>8.0</v>
      </c>
      <c r="CZ17" s="1">
        <v>9.0</v>
      </c>
      <c r="DA17" s="1">
        <v>10.0</v>
      </c>
      <c r="DB17" s="1">
        <v>11.0</v>
      </c>
      <c r="DC17" s="1">
        <v>12.0</v>
      </c>
      <c r="DD17" s="1">
        <v>13.0</v>
      </c>
      <c r="DE17" s="1">
        <v>14.0</v>
      </c>
      <c r="DF17" s="1">
        <v>15.0</v>
      </c>
      <c r="DG17" s="1">
        <v>16.0</v>
      </c>
      <c r="DH17" s="1">
        <v>18.0</v>
      </c>
      <c r="DI17" s="1">
        <v>20.0</v>
      </c>
      <c r="DJ17" s="1">
        <v>22.0</v>
      </c>
      <c r="DK17" s="1">
        <v>24.0</v>
      </c>
      <c r="DL17" s="1" t="s">
        <v>119</v>
      </c>
      <c r="DM17" s="1">
        <v>0.0</v>
      </c>
    </row>
    <row r="18">
      <c r="A18" s="1" t="s">
        <v>219</v>
      </c>
      <c r="B18" s="1" t="s">
        <v>179</v>
      </c>
      <c r="C18" s="1">
        <v>7.0</v>
      </c>
      <c r="D18" s="1">
        <v>50.0</v>
      </c>
      <c r="E18" s="1" t="s">
        <v>201</v>
      </c>
      <c r="F18" s="1" t="s">
        <v>165</v>
      </c>
      <c r="G18" s="1" t="s">
        <v>220</v>
      </c>
      <c r="H18" s="1" t="s">
        <v>221</v>
      </c>
      <c r="I18" s="1">
        <v>15.0</v>
      </c>
      <c r="J18" s="1">
        <v>1200.0</v>
      </c>
      <c r="K18" s="1">
        <v>1200.0</v>
      </c>
      <c r="L18" s="1">
        <v>1200.0</v>
      </c>
      <c r="M18" s="1">
        <v>1200.0</v>
      </c>
      <c r="N18" s="1">
        <v>1200.0</v>
      </c>
      <c r="O18" s="1">
        <v>1200.0</v>
      </c>
      <c r="P18" s="1">
        <v>1200.0</v>
      </c>
      <c r="Q18" s="1">
        <v>1200.0</v>
      </c>
      <c r="R18" s="1">
        <v>1200.0</v>
      </c>
      <c r="S18" s="1">
        <v>1200.0</v>
      </c>
      <c r="T18" s="1">
        <v>1200.0</v>
      </c>
      <c r="U18" s="1">
        <v>1200.0</v>
      </c>
      <c r="V18" s="1">
        <v>1200.0</v>
      </c>
      <c r="W18" s="1">
        <v>1200.0</v>
      </c>
      <c r="X18" s="1">
        <v>1200.0</v>
      </c>
      <c r="Y18" s="1">
        <v>1200.0</v>
      </c>
      <c r="Z18" s="1" t="s">
        <v>123</v>
      </c>
      <c r="AA18" s="1" t="s">
        <v>123</v>
      </c>
      <c r="AB18" s="1" t="s">
        <v>123</v>
      </c>
      <c r="AC18" s="1" t="s">
        <v>123</v>
      </c>
      <c r="AD18" s="1" t="s">
        <v>123</v>
      </c>
      <c r="AE18" s="1" t="s">
        <v>123</v>
      </c>
      <c r="AF18" s="1" t="s">
        <v>123</v>
      </c>
      <c r="AG18" s="1" t="s">
        <v>123</v>
      </c>
      <c r="AH18" s="1" t="s">
        <v>123</v>
      </c>
      <c r="AI18" s="1" t="s">
        <v>123</v>
      </c>
      <c r="AJ18" s="1">
        <v>3.0</v>
      </c>
      <c r="AK18" s="1">
        <v>4.0</v>
      </c>
      <c r="AL18" s="1">
        <v>5.0</v>
      </c>
      <c r="AM18" s="1">
        <v>7.0</v>
      </c>
      <c r="AN18" s="1">
        <v>9.0</v>
      </c>
      <c r="AO18" s="1">
        <v>12.0</v>
      </c>
      <c r="AP18" s="1">
        <v>16.0</v>
      </c>
      <c r="AQ18" s="1">
        <v>21.0</v>
      </c>
      <c r="AR18" s="1">
        <v>27.0</v>
      </c>
      <c r="AS18" s="1">
        <v>35.0</v>
      </c>
      <c r="AT18" s="1">
        <v>46.0</v>
      </c>
      <c r="AU18" s="1">
        <v>60.0</v>
      </c>
      <c r="AV18" s="1">
        <v>78.0</v>
      </c>
      <c r="AW18" s="1">
        <v>101.0</v>
      </c>
      <c r="AX18" s="1">
        <v>131.0</v>
      </c>
      <c r="AY18" s="1" t="s">
        <v>123</v>
      </c>
      <c r="AZ18" s="1" t="s">
        <v>123</v>
      </c>
      <c r="BA18" s="1" t="s">
        <v>123</v>
      </c>
      <c r="BB18" s="1" t="s">
        <v>123</v>
      </c>
      <c r="BC18" s="1" t="s">
        <v>123</v>
      </c>
      <c r="BD18" s="1" t="s">
        <v>123</v>
      </c>
      <c r="BE18" s="1" t="s">
        <v>123</v>
      </c>
      <c r="BF18" s="1" t="s">
        <v>123</v>
      </c>
      <c r="BG18" s="1" t="s">
        <v>123</v>
      </c>
      <c r="BH18" s="1" t="s">
        <v>123</v>
      </c>
      <c r="BI18" s="1" t="s">
        <v>123</v>
      </c>
      <c r="BJ18" s="1" t="s">
        <v>222</v>
      </c>
      <c r="BK18" s="1">
        <v>0.0</v>
      </c>
      <c r="BL18" s="9">
        <v>1.21</v>
      </c>
      <c r="BM18" s="9">
        <v>1.45</v>
      </c>
      <c r="BN18" s="9">
        <v>1.8</v>
      </c>
      <c r="BO18" s="9">
        <v>2.36</v>
      </c>
      <c r="BP18" s="9">
        <v>3.25</v>
      </c>
      <c r="BQ18" s="9">
        <v>4.84</v>
      </c>
      <c r="BR18" s="9">
        <v>7.9</v>
      </c>
      <c r="BS18" s="9">
        <v>14.3</v>
      </c>
      <c r="BT18" s="9">
        <v>29.2</v>
      </c>
      <c r="BU18" s="9">
        <v>69.1</v>
      </c>
      <c r="BV18" s="9">
        <v>198.0</v>
      </c>
      <c r="BW18" s="9">
        <v>712.0</v>
      </c>
      <c r="BX18" s="9">
        <v>3420.0</v>
      </c>
      <c r="BY18" s="9">
        <v>23400.0</v>
      </c>
      <c r="BZ18" s="9">
        <v>256000.0</v>
      </c>
      <c r="CA18" s="1" t="s">
        <v>123</v>
      </c>
      <c r="CB18" s="1" t="s">
        <v>123</v>
      </c>
      <c r="CC18" s="1" t="s">
        <v>123</v>
      </c>
      <c r="CD18" s="1" t="s">
        <v>123</v>
      </c>
      <c r="CE18" s="1" t="s">
        <v>123</v>
      </c>
      <c r="CF18" s="1" t="s">
        <v>123</v>
      </c>
      <c r="CG18" s="1" t="s">
        <v>123</v>
      </c>
      <c r="CH18" s="1" t="s">
        <v>123</v>
      </c>
      <c r="CI18" s="1" t="s">
        <v>123</v>
      </c>
      <c r="CJ18" s="1" t="s">
        <v>123</v>
      </c>
      <c r="CK18" s="1" t="s">
        <v>119</v>
      </c>
      <c r="CL18" s="1">
        <v>0.0</v>
      </c>
      <c r="CM18" s="1">
        <v>0.0</v>
      </c>
      <c r="CN18" s="1">
        <v>0.0</v>
      </c>
      <c r="CO18" s="1">
        <v>0.0</v>
      </c>
      <c r="CP18" s="1">
        <v>0.0</v>
      </c>
      <c r="CQ18" s="1">
        <v>0.0</v>
      </c>
      <c r="CR18" s="1">
        <v>0.0</v>
      </c>
      <c r="CS18" s="1">
        <v>0.0</v>
      </c>
      <c r="CT18" s="1">
        <v>0.0</v>
      </c>
      <c r="CU18" s="1">
        <v>0.0</v>
      </c>
      <c r="CV18" s="1">
        <v>0.0</v>
      </c>
      <c r="CW18" s="1">
        <v>0.0</v>
      </c>
      <c r="CX18" s="1">
        <v>0.0</v>
      </c>
      <c r="CY18" s="1">
        <v>0.0</v>
      </c>
      <c r="CZ18" s="1">
        <v>0.0</v>
      </c>
      <c r="DA18" s="1">
        <v>0.0</v>
      </c>
      <c r="DB18" s="1" t="s">
        <v>123</v>
      </c>
      <c r="DC18" s="1" t="s">
        <v>123</v>
      </c>
      <c r="DD18" s="1" t="s">
        <v>123</v>
      </c>
      <c r="DE18" s="1" t="s">
        <v>123</v>
      </c>
      <c r="DF18" s="1" t="s">
        <v>123</v>
      </c>
      <c r="DG18" s="1" t="s">
        <v>123</v>
      </c>
      <c r="DH18" s="1" t="s">
        <v>123</v>
      </c>
      <c r="DI18" s="1" t="s">
        <v>123</v>
      </c>
      <c r="DJ18" s="1" t="s">
        <v>123</v>
      </c>
      <c r="DK18" s="1" t="s">
        <v>123</v>
      </c>
      <c r="DL18" s="1" t="s">
        <v>224</v>
      </c>
      <c r="DM18" s="1">
        <v>5.0</v>
      </c>
    </row>
    <row r="19">
      <c r="A19" s="1" t="s">
        <v>225</v>
      </c>
      <c r="B19" s="1" t="s">
        <v>179</v>
      </c>
      <c r="C19" s="1">
        <v>9.0</v>
      </c>
      <c r="D19" s="1">
        <v>50.0</v>
      </c>
      <c r="E19" s="1" t="s">
        <v>214</v>
      </c>
      <c r="F19" s="1" t="s">
        <v>165</v>
      </c>
      <c r="G19" s="1" t="s">
        <v>226</v>
      </c>
      <c r="H19" s="1" t="s">
        <v>227</v>
      </c>
      <c r="I19" s="1">
        <v>15.0</v>
      </c>
      <c r="J19" s="1">
        <v>1200.0</v>
      </c>
      <c r="K19" s="1">
        <v>1200.0</v>
      </c>
      <c r="L19" s="1">
        <v>1200.0</v>
      </c>
      <c r="M19" s="1">
        <v>1200.0</v>
      </c>
      <c r="N19" s="1">
        <v>1200.0</v>
      </c>
      <c r="O19" s="1">
        <v>1200.0</v>
      </c>
      <c r="P19" s="1">
        <v>1200.0</v>
      </c>
      <c r="Q19" s="1">
        <v>1200.0</v>
      </c>
      <c r="R19" s="1">
        <v>1200.0</v>
      </c>
      <c r="S19" s="1">
        <v>1200.0</v>
      </c>
      <c r="T19" s="1">
        <v>1200.0</v>
      </c>
      <c r="U19" s="1">
        <v>1200.0</v>
      </c>
      <c r="V19" s="1">
        <v>1200.0</v>
      </c>
      <c r="W19" s="1">
        <v>1200.0</v>
      </c>
      <c r="X19" s="1">
        <v>1200.0</v>
      </c>
      <c r="Y19" s="1">
        <v>1200.0</v>
      </c>
      <c r="Z19" s="1" t="s">
        <v>123</v>
      </c>
      <c r="AA19" s="1" t="s">
        <v>123</v>
      </c>
      <c r="AB19" s="1" t="s">
        <v>123</v>
      </c>
      <c r="AC19" s="1" t="s">
        <v>123</v>
      </c>
      <c r="AD19" s="1" t="s">
        <v>123</v>
      </c>
      <c r="AE19" s="1" t="s">
        <v>123</v>
      </c>
      <c r="AF19" s="1" t="s">
        <v>123</v>
      </c>
      <c r="AG19" s="1" t="s">
        <v>123</v>
      </c>
      <c r="AH19" s="1" t="s">
        <v>123</v>
      </c>
      <c r="AI19" s="1" t="s">
        <v>123</v>
      </c>
      <c r="AJ19" s="1">
        <v>3.0</v>
      </c>
      <c r="AK19" s="1">
        <v>4.0</v>
      </c>
      <c r="AL19" s="1">
        <v>5.0</v>
      </c>
      <c r="AM19" s="1">
        <v>7.0</v>
      </c>
      <c r="AN19" s="1">
        <v>9.0</v>
      </c>
      <c r="AO19" s="1">
        <v>12.0</v>
      </c>
      <c r="AP19" s="1">
        <v>16.0</v>
      </c>
      <c r="AQ19" s="1">
        <v>21.0</v>
      </c>
      <c r="AR19" s="1">
        <v>27.0</v>
      </c>
      <c r="AS19" s="1">
        <v>35.0</v>
      </c>
      <c r="AT19" s="1">
        <v>46.0</v>
      </c>
      <c r="AU19" s="1">
        <v>60.0</v>
      </c>
      <c r="AV19" s="1">
        <v>78.0</v>
      </c>
      <c r="AW19" s="1">
        <v>101.0</v>
      </c>
      <c r="AX19" s="1">
        <v>131.0</v>
      </c>
      <c r="AY19" s="1" t="s">
        <v>123</v>
      </c>
      <c r="AZ19" s="1" t="s">
        <v>123</v>
      </c>
      <c r="BA19" s="1" t="s">
        <v>123</v>
      </c>
      <c r="BB19" s="1" t="s">
        <v>123</v>
      </c>
      <c r="BC19" s="1" t="s">
        <v>123</v>
      </c>
      <c r="BD19" s="1" t="s">
        <v>123</v>
      </c>
      <c r="BE19" s="1" t="s">
        <v>123</v>
      </c>
      <c r="BF19" s="1" t="s">
        <v>123</v>
      </c>
      <c r="BG19" s="1" t="s">
        <v>123</v>
      </c>
      <c r="BH19" s="1" t="s">
        <v>123</v>
      </c>
      <c r="BI19" s="1" t="s">
        <v>123</v>
      </c>
      <c r="BJ19" s="1" t="s">
        <v>229</v>
      </c>
      <c r="BK19" s="1">
        <v>0.0</v>
      </c>
      <c r="BL19" s="9">
        <v>3.5</v>
      </c>
      <c r="BM19" s="9">
        <v>10.0</v>
      </c>
      <c r="BN19" s="9">
        <v>33.6</v>
      </c>
      <c r="BO19" s="9">
        <v>153.0</v>
      </c>
      <c r="BP19" s="9">
        <v>925.0</v>
      </c>
      <c r="BQ19" s="9">
        <v>8340.0</v>
      </c>
      <c r="BR19" s="9">
        <v>123000.0</v>
      </c>
      <c r="BS19" s="9">
        <v>3180000.0</v>
      </c>
      <c r="BT19" s="9">
        <v>1.54E8</v>
      </c>
      <c r="BU19" s="9">
        <v>1.61E10</v>
      </c>
      <c r="BV19" s="9">
        <v>4.58E12</v>
      </c>
      <c r="BW19" s="9">
        <v>4.28E15</v>
      </c>
      <c r="BX19" s="9">
        <v>1.73E19</v>
      </c>
      <c r="BY19" s="9">
        <v>4.34E23</v>
      </c>
      <c r="BZ19" s="9">
        <v>1.13E29</v>
      </c>
      <c r="CA19" s="1" t="s">
        <v>123</v>
      </c>
      <c r="CB19" s="1" t="s">
        <v>123</v>
      </c>
      <c r="CC19" s="1" t="s">
        <v>123</v>
      </c>
      <c r="CD19" s="1" t="s">
        <v>123</v>
      </c>
      <c r="CE19" s="1" t="s">
        <v>123</v>
      </c>
      <c r="CF19" s="1" t="s">
        <v>123</v>
      </c>
      <c r="CG19" s="1" t="s">
        <v>123</v>
      </c>
      <c r="CH19" s="1" t="s">
        <v>123</v>
      </c>
      <c r="CI19" s="1" t="s">
        <v>123</v>
      </c>
      <c r="CJ19" s="1" t="s">
        <v>123</v>
      </c>
      <c r="CK19" s="1" t="s">
        <v>230</v>
      </c>
      <c r="CL19" s="1">
        <v>0.0</v>
      </c>
      <c r="CM19" s="1">
        <v>0.8</v>
      </c>
      <c r="CN19" s="1">
        <v>0.9</v>
      </c>
      <c r="CO19" s="1">
        <v>1.0</v>
      </c>
      <c r="CP19" s="1">
        <v>1.1</v>
      </c>
      <c r="CQ19" s="1">
        <v>1.2</v>
      </c>
      <c r="CR19" s="1">
        <v>1.3</v>
      </c>
      <c r="CS19" s="1">
        <v>1.4</v>
      </c>
      <c r="CT19" s="1">
        <v>1.5</v>
      </c>
      <c r="CU19" s="1">
        <v>1.6</v>
      </c>
      <c r="CV19" s="1">
        <v>1.7</v>
      </c>
      <c r="CW19" s="1">
        <v>1.8</v>
      </c>
      <c r="CX19" s="1">
        <v>1.9</v>
      </c>
      <c r="CY19" s="1">
        <v>2.0</v>
      </c>
      <c r="CZ19" s="1">
        <v>2.1</v>
      </c>
      <c r="DA19" s="1">
        <v>2.2</v>
      </c>
      <c r="DB19" s="1" t="s">
        <v>123</v>
      </c>
      <c r="DC19" s="1" t="s">
        <v>123</v>
      </c>
      <c r="DD19" s="1" t="s">
        <v>123</v>
      </c>
      <c r="DE19" s="1" t="s">
        <v>123</v>
      </c>
      <c r="DF19" s="1" t="s">
        <v>123</v>
      </c>
      <c r="DG19" s="1" t="s">
        <v>123</v>
      </c>
      <c r="DH19" s="1" t="s">
        <v>123</v>
      </c>
      <c r="DI19" s="1" t="s">
        <v>123</v>
      </c>
      <c r="DJ19" s="1" t="s">
        <v>123</v>
      </c>
      <c r="DK19" s="1" t="s">
        <v>123</v>
      </c>
      <c r="DL19" s="1" t="s">
        <v>119</v>
      </c>
      <c r="DM19" s="1">
        <v>0.0</v>
      </c>
    </row>
    <row r="20">
      <c r="A20" s="1" t="s">
        <v>231</v>
      </c>
      <c r="B20" s="1" t="s">
        <v>232</v>
      </c>
      <c r="C20" s="1">
        <v>0.0</v>
      </c>
      <c r="D20" s="1">
        <v>0.0</v>
      </c>
      <c r="E20" s="1" t="s">
        <v>119</v>
      </c>
      <c r="F20" s="1" t="s">
        <v>120</v>
      </c>
      <c r="G20" s="1" t="s">
        <v>233</v>
      </c>
      <c r="H20" s="1" t="s">
        <v>234</v>
      </c>
      <c r="I20" s="1">
        <v>25.0</v>
      </c>
      <c r="J20" s="1">
        <v>150.0</v>
      </c>
      <c r="K20" s="1">
        <v>150.0</v>
      </c>
      <c r="L20" s="1">
        <v>150.0</v>
      </c>
      <c r="M20" s="1">
        <v>150.0</v>
      </c>
      <c r="N20" s="1">
        <v>150.0</v>
      </c>
      <c r="O20" s="1">
        <v>150.0</v>
      </c>
      <c r="P20" s="1">
        <v>150.0</v>
      </c>
      <c r="Q20" s="1">
        <v>150.0</v>
      </c>
      <c r="R20" s="1">
        <v>150.0</v>
      </c>
      <c r="S20" s="1">
        <v>150.0</v>
      </c>
      <c r="T20" s="1">
        <v>150.0</v>
      </c>
      <c r="U20" s="1">
        <v>150.0</v>
      </c>
      <c r="V20" s="1">
        <v>150.0</v>
      </c>
      <c r="W20" s="1">
        <v>150.0</v>
      </c>
      <c r="X20" s="1">
        <v>150.0</v>
      </c>
      <c r="Y20" s="1">
        <v>150.0</v>
      </c>
      <c r="Z20" s="1">
        <v>150.0</v>
      </c>
      <c r="AA20" s="1">
        <v>150.0</v>
      </c>
      <c r="AB20" s="1">
        <v>150.0</v>
      </c>
      <c r="AC20" s="1">
        <v>150.0</v>
      </c>
      <c r="AD20" s="1">
        <v>150.0</v>
      </c>
      <c r="AE20" s="1">
        <v>150.0</v>
      </c>
      <c r="AF20" s="1">
        <v>150.0</v>
      </c>
      <c r="AG20" s="1">
        <v>150.0</v>
      </c>
      <c r="AH20" s="1">
        <v>150.0</v>
      </c>
      <c r="AI20" s="1">
        <v>150.0</v>
      </c>
      <c r="AJ20" s="1">
        <v>1.0</v>
      </c>
      <c r="AK20" s="1">
        <v>2.0</v>
      </c>
      <c r="AL20" s="1">
        <v>2.0</v>
      </c>
      <c r="AM20" s="1">
        <v>3.0</v>
      </c>
      <c r="AN20" s="1">
        <v>3.0</v>
      </c>
      <c r="AO20" s="1">
        <v>3.0</v>
      </c>
      <c r="AP20" s="1">
        <v>4.0</v>
      </c>
      <c r="AQ20" s="1">
        <v>5.0</v>
      </c>
      <c r="AR20" s="1">
        <v>5.0</v>
      </c>
      <c r="AS20" s="1">
        <v>6.0</v>
      </c>
      <c r="AT20" s="1">
        <v>7.0</v>
      </c>
      <c r="AU20" s="1">
        <v>8.0</v>
      </c>
      <c r="AV20" s="1">
        <v>9.0</v>
      </c>
      <c r="AW20" s="1">
        <v>11.0</v>
      </c>
      <c r="AX20" s="1">
        <v>12.0</v>
      </c>
      <c r="AY20" s="1">
        <v>14.0</v>
      </c>
      <c r="AZ20" s="1">
        <v>16.0</v>
      </c>
      <c r="BA20" s="1">
        <v>19.0</v>
      </c>
      <c r="BB20" s="1">
        <v>22.0</v>
      </c>
      <c r="BC20" s="1">
        <v>25.0</v>
      </c>
      <c r="BD20" s="1">
        <v>28.0</v>
      </c>
      <c r="BE20" s="1">
        <v>33.0</v>
      </c>
      <c r="BF20" s="1">
        <v>38.0</v>
      </c>
      <c r="BG20" s="1">
        <v>43.0</v>
      </c>
      <c r="BH20" s="1">
        <v>50.0</v>
      </c>
      <c r="BI20" s="1" t="s">
        <v>123</v>
      </c>
      <c r="BJ20" s="1" t="s">
        <v>236</v>
      </c>
      <c r="BK20" s="1">
        <v>0.0</v>
      </c>
      <c r="BL20" s="1">
        <v>5.0</v>
      </c>
      <c r="BM20" s="1">
        <v>8.0</v>
      </c>
      <c r="BN20" s="1">
        <v>12.0</v>
      </c>
      <c r="BO20" s="1">
        <v>19.0</v>
      </c>
      <c r="BP20" s="1">
        <v>26.0</v>
      </c>
      <c r="BQ20" s="1">
        <v>35.0</v>
      </c>
      <c r="BR20" s="1">
        <v>46.0</v>
      </c>
      <c r="BS20" s="1">
        <v>62.0</v>
      </c>
      <c r="BT20" s="1">
        <v>80.0</v>
      </c>
      <c r="BU20" s="1">
        <v>103.0</v>
      </c>
      <c r="BV20" s="1">
        <v>132.0</v>
      </c>
      <c r="BW20" s="1">
        <v>168.0</v>
      </c>
      <c r="BX20" s="1">
        <v>213.0</v>
      </c>
      <c r="BY20" s="1">
        <v>269.0</v>
      </c>
      <c r="BZ20" s="1">
        <v>337.0</v>
      </c>
      <c r="CA20" s="1">
        <v>421.0</v>
      </c>
      <c r="CB20" s="1">
        <v>524.0</v>
      </c>
      <c r="CC20" s="1">
        <v>652.0</v>
      </c>
      <c r="CD20" s="1">
        <v>809.0</v>
      </c>
      <c r="CE20" s="1">
        <v>1000.0</v>
      </c>
      <c r="CF20" s="1">
        <v>1234.0</v>
      </c>
      <c r="CG20" s="1">
        <v>1520.0</v>
      </c>
      <c r="CH20" s="1">
        <v>1870.0</v>
      </c>
      <c r="CI20" s="1">
        <v>2295.0</v>
      </c>
      <c r="CJ20" s="1">
        <v>2815.0</v>
      </c>
      <c r="CK20" s="1" t="s">
        <v>237</v>
      </c>
      <c r="CL20" s="1">
        <v>0.0</v>
      </c>
      <c r="CM20" s="1">
        <v>0.1</v>
      </c>
      <c r="CN20" s="1">
        <v>0.228</v>
      </c>
      <c r="CO20" s="1">
        <v>0.373</v>
      </c>
      <c r="CP20" s="1">
        <v>0.538</v>
      </c>
      <c r="CQ20" s="1">
        <v>0.727</v>
      </c>
      <c r="CR20" s="1">
        <v>0.941</v>
      </c>
      <c r="CS20" s="1">
        <v>1.185</v>
      </c>
      <c r="CT20" s="1">
        <v>1.463</v>
      </c>
      <c r="CU20" s="1">
        <v>1.779</v>
      </c>
      <c r="CV20" s="1">
        <v>2.139</v>
      </c>
      <c r="CW20" s="1">
        <v>2.549</v>
      </c>
      <c r="CX20" s="1">
        <v>3.015</v>
      </c>
      <c r="CY20" s="1">
        <v>3.546</v>
      </c>
      <c r="CZ20" s="1">
        <v>4.151</v>
      </c>
      <c r="DA20" s="1">
        <v>4.839</v>
      </c>
      <c r="DB20" s="1">
        <v>5.622</v>
      </c>
      <c r="DC20" s="1">
        <v>6.514</v>
      </c>
      <c r="DD20" s="1">
        <v>7.529</v>
      </c>
      <c r="DE20" s="1">
        <v>8.684</v>
      </c>
      <c r="DF20" s="1">
        <v>10.0</v>
      </c>
      <c r="DG20" s="1">
        <v>11.497</v>
      </c>
      <c r="DH20" s="1">
        <v>13.201</v>
      </c>
      <c r="DI20" s="1">
        <v>15.141</v>
      </c>
      <c r="DJ20" s="1">
        <v>17.35</v>
      </c>
      <c r="DK20" s="1">
        <v>19.864</v>
      </c>
      <c r="DL20" s="1" t="s">
        <v>119</v>
      </c>
      <c r="DM20" s="1">
        <v>0.0</v>
      </c>
    </row>
    <row r="21">
      <c r="A21" s="1" t="s">
        <v>239</v>
      </c>
      <c r="B21" s="1" t="s">
        <v>232</v>
      </c>
      <c r="C21" s="1">
        <v>1.0</v>
      </c>
      <c r="D21" s="1">
        <v>3.0</v>
      </c>
      <c r="E21" s="1" t="s">
        <v>231</v>
      </c>
      <c r="F21" s="1" t="s">
        <v>127</v>
      </c>
      <c r="G21" s="1" t="s">
        <v>240</v>
      </c>
      <c r="H21" s="1" t="s">
        <v>241</v>
      </c>
      <c r="I21" s="1">
        <v>25.0</v>
      </c>
      <c r="J21" s="1">
        <v>150.0</v>
      </c>
      <c r="K21" s="1">
        <v>150.0</v>
      </c>
      <c r="L21" s="1">
        <v>150.0</v>
      </c>
      <c r="M21" s="1">
        <v>150.0</v>
      </c>
      <c r="N21" s="1">
        <v>150.0</v>
      </c>
      <c r="O21" s="1">
        <v>150.0</v>
      </c>
      <c r="P21" s="1">
        <v>150.0</v>
      </c>
      <c r="Q21" s="1">
        <v>150.0</v>
      </c>
      <c r="R21" s="1">
        <v>150.0</v>
      </c>
      <c r="S21" s="1">
        <v>150.0</v>
      </c>
      <c r="T21" s="1">
        <v>150.0</v>
      </c>
      <c r="U21" s="1">
        <v>150.0</v>
      </c>
      <c r="V21" s="1">
        <v>150.0</v>
      </c>
      <c r="W21" s="1">
        <v>150.0</v>
      </c>
      <c r="X21" s="1">
        <v>150.0</v>
      </c>
      <c r="Y21" s="1">
        <v>150.0</v>
      </c>
      <c r="Z21" s="1">
        <v>150.0</v>
      </c>
      <c r="AA21" s="1">
        <v>150.0</v>
      </c>
      <c r="AB21" s="1">
        <v>150.0</v>
      </c>
      <c r="AC21" s="1">
        <v>150.0</v>
      </c>
      <c r="AD21" s="1">
        <v>150.0</v>
      </c>
      <c r="AE21" s="1">
        <v>150.0</v>
      </c>
      <c r="AF21" s="1">
        <v>150.0</v>
      </c>
      <c r="AG21" s="1">
        <v>150.0</v>
      </c>
      <c r="AH21" s="1">
        <v>150.0</v>
      </c>
      <c r="AI21" s="1">
        <v>150.0</v>
      </c>
      <c r="AJ21" s="1">
        <v>1.0</v>
      </c>
      <c r="AK21" s="1">
        <v>2.0</v>
      </c>
      <c r="AL21" s="1">
        <v>2.0</v>
      </c>
      <c r="AM21" s="1">
        <v>3.0</v>
      </c>
      <c r="AN21" s="1">
        <v>3.0</v>
      </c>
      <c r="AO21" s="1">
        <v>3.0</v>
      </c>
      <c r="AP21" s="1">
        <v>4.0</v>
      </c>
      <c r="AQ21" s="1">
        <v>5.0</v>
      </c>
      <c r="AR21" s="1">
        <v>5.0</v>
      </c>
      <c r="AS21" s="1">
        <v>6.0</v>
      </c>
      <c r="AT21" s="1">
        <v>7.0</v>
      </c>
      <c r="AU21" s="1">
        <v>8.0</v>
      </c>
      <c r="AV21" s="1">
        <v>9.0</v>
      </c>
      <c r="AW21" s="1">
        <v>11.0</v>
      </c>
      <c r="AX21" s="1">
        <v>12.0</v>
      </c>
      <c r="AY21" s="1">
        <v>14.0</v>
      </c>
      <c r="AZ21" s="1">
        <v>16.0</v>
      </c>
      <c r="BA21" s="1">
        <v>19.0</v>
      </c>
      <c r="BB21" s="1">
        <v>22.0</v>
      </c>
      <c r="BC21" s="1">
        <v>25.0</v>
      </c>
      <c r="BD21" s="1">
        <v>28.0</v>
      </c>
      <c r="BE21" s="1">
        <v>33.0</v>
      </c>
      <c r="BF21" s="1">
        <v>38.0</v>
      </c>
      <c r="BG21" s="1">
        <v>43.0</v>
      </c>
      <c r="BH21" s="1">
        <v>50.0</v>
      </c>
      <c r="BI21" s="1" t="s">
        <v>123</v>
      </c>
      <c r="BJ21" s="1" t="s">
        <v>242</v>
      </c>
      <c r="BK21" s="1">
        <v>0.0</v>
      </c>
      <c r="BL21" s="9">
        <v>1.8</v>
      </c>
      <c r="BM21" s="9">
        <v>2.92</v>
      </c>
      <c r="BN21" s="9">
        <v>4.79</v>
      </c>
      <c r="BO21" s="9">
        <v>8.78</v>
      </c>
      <c r="BP21" s="9">
        <v>16.1</v>
      </c>
      <c r="BQ21" s="9">
        <v>29.5</v>
      </c>
      <c r="BR21" s="9">
        <v>60.2</v>
      </c>
      <c r="BS21" s="9">
        <v>136.0</v>
      </c>
      <c r="BT21" s="9">
        <v>309.0</v>
      </c>
      <c r="BU21" s="9">
        <v>776.0</v>
      </c>
      <c r="BV21" s="9">
        <v>2150.0</v>
      </c>
      <c r="BW21" s="9">
        <v>6590.0</v>
      </c>
      <c r="BX21" s="9">
        <v>22200.0</v>
      </c>
      <c r="BY21" s="9">
        <v>90200.0</v>
      </c>
      <c r="BZ21" s="9">
        <v>402000.0</v>
      </c>
      <c r="CA21" s="9">
        <v>2140000.0</v>
      </c>
      <c r="CB21" s="9">
        <v>1.35E7</v>
      </c>
      <c r="CC21" s="9">
        <v>1.1E8</v>
      </c>
      <c r="CD21" s="9">
        <v>1.14E9</v>
      </c>
      <c r="CE21" s="9">
        <v>1.5E10</v>
      </c>
      <c r="CF21" s="9">
        <v>2.49E11</v>
      </c>
      <c r="CG21" s="9">
        <v>6.02E12</v>
      </c>
      <c r="CH21" s="9">
        <v>2.1E14</v>
      </c>
      <c r="CI21" s="9">
        <v>1.05E16</v>
      </c>
      <c r="CJ21" s="9">
        <v>8.64E17</v>
      </c>
      <c r="CK21" s="1" t="s">
        <v>243</v>
      </c>
      <c r="CL21" s="1">
        <v>0.0</v>
      </c>
      <c r="CM21" s="9">
        <v>1.2</v>
      </c>
      <c r="CN21" s="9">
        <v>1.45</v>
      </c>
      <c r="CO21" s="9">
        <v>1.75</v>
      </c>
      <c r="CP21" s="9">
        <v>2.22</v>
      </c>
      <c r="CQ21" s="9">
        <v>2.8</v>
      </c>
      <c r="CR21" s="9">
        <v>3.54</v>
      </c>
      <c r="CS21" s="9">
        <v>4.69</v>
      </c>
      <c r="CT21" s="9">
        <v>6.5</v>
      </c>
      <c r="CU21" s="9">
        <v>8.99</v>
      </c>
      <c r="CV21" s="9">
        <v>13.0</v>
      </c>
      <c r="CW21" s="9">
        <v>19.7</v>
      </c>
      <c r="CX21" s="9">
        <v>31.1</v>
      </c>
      <c r="CY21" s="9">
        <v>51.4</v>
      </c>
      <c r="CZ21" s="9">
        <v>92.5</v>
      </c>
      <c r="DA21" s="9">
        <v>174.0</v>
      </c>
      <c r="DB21" s="9">
        <v>356.0</v>
      </c>
      <c r="DC21" s="9">
        <v>793.0</v>
      </c>
      <c r="DD21" s="9">
        <v>2000.0</v>
      </c>
      <c r="DE21" s="9">
        <v>5760.0</v>
      </c>
      <c r="DF21" s="9">
        <v>18700.0</v>
      </c>
      <c r="DG21" s="9">
        <v>69300.0</v>
      </c>
      <c r="DH21" s="9">
        <v>317000.0</v>
      </c>
      <c r="DI21" s="9">
        <v>1790000.0</v>
      </c>
      <c r="DJ21" s="9">
        <v>1.25E7</v>
      </c>
      <c r="DK21" s="9">
        <v>1.19E8</v>
      </c>
      <c r="DL21" s="1" t="s">
        <v>119</v>
      </c>
      <c r="DM21" s="1">
        <v>0.0</v>
      </c>
    </row>
    <row r="22">
      <c r="A22" s="1" t="s">
        <v>244</v>
      </c>
      <c r="B22" s="1" t="s">
        <v>232</v>
      </c>
      <c r="C22" s="1">
        <v>2.0</v>
      </c>
      <c r="D22" s="1">
        <v>3.0</v>
      </c>
      <c r="E22" s="1" t="s">
        <v>231</v>
      </c>
      <c r="F22" s="1" t="s">
        <v>127</v>
      </c>
      <c r="G22" s="1" t="s">
        <v>245</v>
      </c>
      <c r="H22" s="1" t="s">
        <v>246</v>
      </c>
      <c r="I22" s="1">
        <v>25.0</v>
      </c>
      <c r="J22" s="1">
        <v>350.0</v>
      </c>
      <c r="K22" s="1">
        <v>350.0</v>
      </c>
      <c r="L22" s="1">
        <v>350.0</v>
      </c>
      <c r="M22" s="1">
        <v>350.0</v>
      </c>
      <c r="N22" s="1">
        <v>350.0</v>
      </c>
      <c r="O22" s="1">
        <v>350.0</v>
      </c>
      <c r="P22" s="1">
        <v>350.0</v>
      </c>
      <c r="Q22" s="1">
        <v>350.0</v>
      </c>
      <c r="R22" s="1">
        <v>350.0</v>
      </c>
      <c r="S22" s="1">
        <v>350.0</v>
      </c>
      <c r="T22" s="1">
        <v>350.0</v>
      </c>
      <c r="U22" s="1">
        <v>350.0</v>
      </c>
      <c r="V22" s="1">
        <v>350.0</v>
      </c>
      <c r="W22" s="1">
        <v>350.0</v>
      </c>
      <c r="X22" s="1">
        <v>350.0</v>
      </c>
      <c r="Y22" s="1">
        <v>350.0</v>
      </c>
      <c r="Z22" s="1">
        <v>350.0</v>
      </c>
      <c r="AA22" s="1">
        <v>350.0</v>
      </c>
      <c r="AB22" s="1">
        <v>350.0</v>
      </c>
      <c r="AC22" s="1">
        <v>350.0</v>
      </c>
      <c r="AD22" s="1">
        <v>350.0</v>
      </c>
      <c r="AE22" s="1">
        <v>350.0</v>
      </c>
      <c r="AF22" s="1">
        <v>350.0</v>
      </c>
      <c r="AG22" s="1">
        <v>350.0</v>
      </c>
      <c r="AH22" s="1">
        <v>350.0</v>
      </c>
      <c r="AI22" s="1">
        <v>350.0</v>
      </c>
      <c r="AJ22" s="1">
        <v>1.0</v>
      </c>
      <c r="AK22" s="1">
        <v>2.0</v>
      </c>
      <c r="AL22" s="1">
        <v>2.0</v>
      </c>
      <c r="AM22" s="1">
        <v>3.0</v>
      </c>
      <c r="AN22" s="1">
        <v>3.0</v>
      </c>
      <c r="AO22" s="1">
        <v>3.0</v>
      </c>
      <c r="AP22" s="1">
        <v>4.0</v>
      </c>
      <c r="AQ22" s="1">
        <v>5.0</v>
      </c>
      <c r="AR22" s="1">
        <v>5.0</v>
      </c>
      <c r="AS22" s="1">
        <v>6.0</v>
      </c>
      <c r="AT22" s="1">
        <v>7.0</v>
      </c>
      <c r="AU22" s="1">
        <v>8.0</v>
      </c>
      <c r="AV22" s="1">
        <v>9.0</v>
      </c>
      <c r="AW22" s="1">
        <v>11.0</v>
      </c>
      <c r="AX22" s="1">
        <v>12.0</v>
      </c>
      <c r="AY22" s="1">
        <v>14.0</v>
      </c>
      <c r="AZ22" s="1">
        <v>16.0</v>
      </c>
      <c r="BA22" s="1">
        <v>19.0</v>
      </c>
      <c r="BB22" s="1">
        <v>22.0</v>
      </c>
      <c r="BC22" s="1">
        <v>25.0</v>
      </c>
      <c r="BD22" s="1">
        <v>28.0</v>
      </c>
      <c r="BE22" s="1">
        <v>33.0</v>
      </c>
      <c r="BF22" s="1">
        <v>38.0</v>
      </c>
      <c r="BG22" s="1">
        <v>43.0</v>
      </c>
      <c r="BH22" s="1">
        <v>50.0</v>
      </c>
      <c r="BI22" s="1" t="s">
        <v>123</v>
      </c>
      <c r="BJ22" s="1" t="s">
        <v>247</v>
      </c>
      <c r="BK22" s="1">
        <v>0.0</v>
      </c>
      <c r="BL22" s="9">
        <v>2.0</v>
      </c>
      <c r="BM22" s="9">
        <v>3.0</v>
      </c>
      <c r="BN22" s="9">
        <v>4.5</v>
      </c>
      <c r="BO22" s="9">
        <v>7.52</v>
      </c>
      <c r="BP22" s="9">
        <v>12.6</v>
      </c>
      <c r="BQ22" s="9">
        <v>21.0</v>
      </c>
      <c r="BR22" s="9">
        <v>38.9</v>
      </c>
      <c r="BS22" s="9">
        <v>80.0</v>
      </c>
      <c r="BT22" s="9">
        <v>164.0</v>
      </c>
      <c r="BU22" s="9">
        <v>374.0</v>
      </c>
      <c r="BV22" s="9">
        <v>937.0</v>
      </c>
      <c r="BW22" s="9">
        <v>2590.0</v>
      </c>
      <c r="BX22" s="9">
        <v>7860.0</v>
      </c>
      <c r="BY22" s="9">
        <v>28800.0</v>
      </c>
      <c r="BZ22" s="9">
        <v>115000.0</v>
      </c>
      <c r="CA22" s="9">
        <v>553000.0</v>
      </c>
      <c r="CB22" s="9">
        <v>3160000.0</v>
      </c>
      <c r="CC22" s="9">
        <v>2.34E7</v>
      </c>
      <c r="CD22" s="9">
        <v>2.22E8</v>
      </c>
      <c r="CE22" s="9">
        <v>2.7E9</v>
      </c>
      <c r="CF22" s="9">
        <v>4.18E10</v>
      </c>
      <c r="CG22" s="9">
        <v>9.65E11</v>
      </c>
      <c r="CH22" s="9">
        <v>3.3E13</v>
      </c>
      <c r="CI22" s="9">
        <v>1.66E15</v>
      </c>
      <c r="CJ22" s="9">
        <v>1.43E17</v>
      </c>
      <c r="CK22" s="1" t="s">
        <v>248</v>
      </c>
      <c r="CL22" s="1">
        <v>0.0</v>
      </c>
      <c r="CM22" s="1">
        <v>0.0</v>
      </c>
      <c r="CN22" s="1">
        <v>1.0</v>
      </c>
      <c r="CO22" s="1">
        <v>1.0</v>
      </c>
      <c r="CP22" s="1">
        <v>2.0</v>
      </c>
      <c r="CQ22" s="1">
        <v>3.0</v>
      </c>
      <c r="CR22" s="1">
        <v>4.0</v>
      </c>
      <c r="CS22" s="1">
        <v>5.0</v>
      </c>
      <c r="CT22" s="1">
        <v>6.0</v>
      </c>
      <c r="CU22" s="1">
        <v>7.0</v>
      </c>
      <c r="CV22" s="1">
        <v>8.0</v>
      </c>
      <c r="CW22" s="1">
        <v>10.0</v>
      </c>
      <c r="CX22" s="1">
        <v>12.0</v>
      </c>
      <c r="CY22" s="1">
        <v>14.0</v>
      </c>
      <c r="CZ22" s="1">
        <v>16.0</v>
      </c>
      <c r="DA22" s="1">
        <v>18.0</v>
      </c>
      <c r="DB22" s="1">
        <v>20.0</v>
      </c>
      <c r="DC22" s="1">
        <v>24.0</v>
      </c>
      <c r="DD22" s="1">
        <v>29.0</v>
      </c>
      <c r="DE22" s="1">
        <v>34.0</v>
      </c>
      <c r="DF22" s="1">
        <v>40.0</v>
      </c>
      <c r="DG22" s="1">
        <v>46.0</v>
      </c>
      <c r="DH22" s="1">
        <v>52.0</v>
      </c>
      <c r="DI22" s="1">
        <v>58.0</v>
      </c>
      <c r="DJ22" s="1">
        <v>64.0</v>
      </c>
      <c r="DK22" s="1">
        <v>70.0</v>
      </c>
      <c r="DL22" s="1" t="s">
        <v>119</v>
      </c>
      <c r="DM22" s="1">
        <v>0.0</v>
      </c>
    </row>
    <row r="23">
      <c r="A23" s="1" t="s">
        <v>260</v>
      </c>
      <c r="B23" s="1" t="s">
        <v>232</v>
      </c>
      <c r="C23" s="1">
        <v>3.0</v>
      </c>
      <c r="D23" s="1">
        <v>3.0</v>
      </c>
      <c r="E23" s="1" t="s">
        <v>231</v>
      </c>
      <c r="F23" s="1" t="s">
        <v>127</v>
      </c>
      <c r="G23" s="1" t="s">
        <v>268</v>
      </c>
      <c r="H23" s="1" t="s">
        <v>269</v>
      </c>
      <c r="I23" s="1">
        <v>25.0</v>
      </c>
      <c r="J23" s="1">
        <v>350.0</v>
      </c>
      <c r="K23" s="1">
        <v>350.0</v>
      </c>
      <c r="L23" s="1">
        <v>350.0</v>
      </c>
      <c r="M23" s="1">
        <v>350.0</v>
      </c>
      <c r="N23" s="1">
        <v>350.0</v>
      </c>
      <c r="O23" s="1">
        <v>350.0</v>
      </c>
      <c r="P23" s="1">
        <v>350.0</v>
      </c>
      <c r="Q23" s="1">
        <v>350.0</v>
      </c>
      <c r="R23" s="1">
        <v>350.0</v>
      </c>
      <c r="S23" s="1">
        <v>350.0</v>
      </c>
      <c r="T23" s="1">
        <v>350.0</v>
      </c>
      <c r="U23" s="1">
        <v>350.0</v>
      </c>
      <c r="V23" s="1">
        <v>350.0</v>
      </c>
      <c r="W23" s="1">
        <v>350.0</v>
      </c>
      <c r="X23" s="1">
        <v>350.0</v>
      </c>
      <c r="Y23" s="1">
        <v>350.0</v>
      </c>
      <c r="Z23" s="1">
        <v>350.0</v>
      </c>
      <c r="AA23" s="1">
        <v>350.0</v>
      </c>
      <c r="AB23" s="1">
        <v>350.0</v>
      </c>
      <c r="AC23" s="1">
        <v>350.0</v>
      </c>
      <c r="AD23" s="1">
        <v>350.0</v>
      </c>
      <c r="AE23" s="1">
        <v>350.0</v>
      </c>
      <c r="AF23" s="1">
        <v>350.0</v>
      </c>
      <c r="AG23" s="1">
        <v>350.0</v>
      </c>
      <c r="AH23" s="1">
        <v>350.0</v>
      </c>
      <c r="AI23" s="1">
        <v>350.0</v>
      </c>
      <c r="AJ23" s="1">
        <v>1.0</v>
      </c>
      <c r="AK23" s="1">
        <v>2.0</v>
      </c>
      <c r="AL23" s="1">
        <v>2.0</v>
      </c>
      <c r="AM23" s="1">
        <v>3.0</v>
      </c>
      <c r="AN23" s="1">
        <v>3.0</v>
      </c>
      <c r="AO23" s="1">
        <v>3.0</v>
      </c>
      <c r="AP23" s="1">
        <v>4.0</v>
      </c>
      <c r="AQ23" s="1">
        <v>5.0</v>
      </c>
      <c r="AR23" s="1">
        <v>5.0</v>
      </c>
      <c r="AS23" s="1">
        <v>6.0</v>
      </c>
      <c r="AT23" s="1">
        <v>7.0</v>
      </c>
      <c r="AU23" s="1">
        <v>8.0</v>
      </c>
      <c r="AV23" s="1">
        <v>9.0</v>
      </c>
      <c r="AW23" s="1">
        <v>11.0</v>
      </c>
      <c r="AX23" s="1">
        <v>12.0</v>
      </c>
      <c r="AY23" s="1">
        <v>14.0</v>
      </c>
      <c r="AZ23" s="1">
        <v>16.0</v>
      </c>
      <c r="BA23" s="1">
        <v>19.0</v>
      </c>
      <c r="BB23" s="1">
        <v>22.0</v>
      </c>
      <c r="BC23" s="1">
        <v>25.0</v>
      </c>
      <c r="BD23" s="1">
        <v>28.0</v>
      </c>
      <c r="BE23" s="1">
        <v>33.0</v>
      </c>
      <c r="BF23" s="1">
        <v>38.0</v>
      </c>
      <c r="BG23" s="1">
        <v>43.0</v>
      </c>
      <c r="BH23" s="1">
        <v>50.0</v>
      </c>
      <c r="BI23" s="1" t="s">
        <v>123</v>
      </c>
      <c r="BJ23" s="1" t="s">
        <v>273</v>
      </c>
      <c r="BK23" s="1">
        <v>0.0</v>
      </c>
      <c r="BL23" s="9">
        <v>1.5</v>
      </c>
      <c r="BM23" s="9">
        <v>2.06</v>
      </c>
      <c r="BN23" s="9">
        <v>2.84</v>
      </c>
      <c r="BO23" s="9">
        <v>4.34</v>
      </c>
      <c r="BP23" s="9">
        <v>6.64</v>
      </c>
      <c r="BQ23" s="9">
        <v>10.2</v>
      </c>
      <c r="BR23" s="9">
        <v>17.2</v>
      </c>
      <c r="BS23" s="9">
        <v>32.4</v>
      </c>
      <c r="BT23" s="9">
        <v>60.9</v>
      </c>
      <c r="BU23" s="9">
        <v>126.0</v>
      </c>
      <c r="BV23" s="9">
        <v>289.0</v>
      </c>
      <c r="BW23" s="9">
        <v>727.0</v>
      </c>
      <c r="BX23" s="9">
        <v>2010.0</v>
      </c>
      <c r="BY23" s="9">
        <v>6670.0</v>
      </c>
      <c r="BZ23" s="9">
        <v>24200.0</v>
      </c>
      <c r="CA23" s="9">
        <v>105000.0</v>
      </c>
      <c r="CB23" s="9">
        <v>537000.0</v>
      </c>
      <c r="CC23" s="9">
        <v>3540000.0</v>
      </c>
      <c r="CD23" s="9">
        <v>2.97E7</v>
      </c>
      <c r="CE23" s="9">
        <v>3.17E8</v>
      </c>
      <c r="CF23" s="9">
        <v>4.26E9</v>
      </c>
      <c r="CG23" s="9">
        <v>8.39E10</v>
      </c>
      <c r="CH23" s="9">
        <v>2.4E12</v>
      </c>
      <c r="CI23" s="9">
        <v>9.91E13</v>
      </c>
      <c r="CJ23" s="9">
        <v>6.81E15</v>
      </c>
      <c r="CK23" s="1" t="s">
        <v>276</v>
      </c>
      <c r="CL23" s="1">
        <v>0.0</v>
      </c>
      <c r="CM23" s="1">
        <v>0.1</v>
      </c>
      <c r="CN23" s="1">
        <v>0.21</v>
      </c>
      <c r="CO23" s="1">
        <v>0.33</v>
      </c>
      <c r="CP23" s="1">
        <v>0.46</v>
      </c>
      <c r="CQ23" s="1">
        <v>0.59</v>
      </c>
      <c r="CR23" s="1">
        <v>0.74</v>
      </c>
      <c r="CS23" s="1">
        <v>0.89</v>
      </c>
      <c r="CT23" s="1">
        <v>1.05</v>
      </c>
      <c r="CU23" s="1">
        <v>1.22</v>
      </c>
      <c r="CV23" s="1">
        <v>1.41</v>
      </c>
      <c r="CW23" s="1">
        <v>1.6</v>
      </c>
      <c r="CX23" s="1">
        <v>1.81</v>
      </c>
      <c r="CY23" s="1">
        <v>2.03</v>
      </c>
      <c r="CZ23" s="1">
        <v>2.26</v>
      </c>
      <c r="DA23" s="1">
        <v>2.51</v>
      </c>
      <c r="DB23" s="1">
        <v>2.77</v>
      </c>
      <c r="DC23" s="1">
        <v>3.05</v>
      </c>
      <c r="DD23" s="1">
        <v>3.35</v>
      </c>
      <c r="DE23" s="1">
        <v>3.66</v>
      </c>
      <c r="DF23" s="1">
        <v>4.0</v>
      </c>
      <c r="DG23" s="1">
        <v>4.36</v>
      </c>
      <c r="DH23" s="1">
        <v>4.74</v>
      </c>
      <c r="DI23" s="1">
        <v>5.14</v>
      </c>
      <c r="DJ23" s="1">
        <v>5.57</v>
      </c>
      <c r="DK23" s="1">
        <v>6.02</v>
      </c>
      <c r="DL23" s="1" t="s">
        <v>119</v>
      </c>
      <c r="DM23" s="1">
        <v>0.0</v>
      </c>
    </row>
    <row r="24">
      <c r="A24" s="1" t="s">
        <v>278</v>
      </c>
      <c r="B24" s="1" t="s">
        <v>232</v>
      </c>
      <c r="C24" s="1">
        <v>4.0</v>
      </c>
      <c r="D24" s="1">
        <v>20.0</v>
      </c>
      <c r="E24" s="1" t="s">
        <v>239</v>
      </c>
      <c r="F24" s="1" t="s">
        <v>144</v>
      </c>
      <c r="G24" s="1" t="s">
        <v>279</v>
      </c>
      <c r="H24" s="1" t="s">
        <v>280</v>
      </c>
      <c r="I24" s="1">
        <v>10.0</v>
      </c>
      <c r="J24" s="1">
        <v>700.0</v>
      </c>
      <c r="K24" s="1">
        <v>700.0</v>
      </c>
      <c r="L24" s="1">
        <v>700.0</v>
      </c>
      <c r="M24" s="1">
        <v>700.0</v>
      </c>
      <c r="N24" s="1">
        <v>700.0</v>
      </c>
      <c r="O24" s="1">
        <v>700.0</v>
      </c>
      <c r="P24" s="1">
        <v>700.0</v>
      </c>
      <c r="Q24" s="1">
        <v>700.0</v>
      </c>
      <c r="R24" s="1">
        <v>700.0</v>
      </c>
      <c r="S24" s="1">
        <v>700.0</v>
      </c>
      <c r="T24" s="1">
        <v>700.0</v>
      </c>
      <c r="U24" s="1" t="s">
        <v>123</v>
      </c>
      <c r="V24" s="1" t="s">
        <v>123</v>
      </c>
      <c r="W24" s="1" t="s">
        <v>123</v>
      </c>
      <c r="X24" s="1" t="s">
        <v>123</v>
      </c>
      <c r="Y24" s="1" t="s">
        <v>123</v>
      </c>
      <c r="Z24" s="1" t="s">
        <v>123</v>
      </c>
      <c r="AA24" s="1" t="s">
        <v>123</v>
      </c>
      <c r="AB24" s="1" t="s">
        <v>123</v>
      </c>
      <c r="AC24" s="1" t="s">
        <v>123</v>
      </c>
      <c r="AD24" s="1" t="s">
        <v>123</v>
      </c>
      <c r="AE24" s="1" t="s">
        <v>123</v>
      </c>
      <c r="AF24" s="1" t="s">
        <v>123</v>
      </c>
      <c r="AG24" s="1" t="s">
        <v>123</v>
      </c>
      <c r="AH24" s="1" t="s">
        <v>123</v>
      </c>
      <c r="AI24" s="1" t="s">
        <v>123</v>
      </c>
      <c r="AJ24" s="1">
        <v>2.0</v>
      </c>
      <c r="AK24" s="1">
        <v>2.0</v>
      </c>
      <c r="AL24" s="1">
        <v>3.0</v>
      </c>
      <c r="AM24" s="1">
        <v>3.0</v>
      </c>
      <c r="AN24" s="1">
        <v>3.0</v>
      </c>
      <c r="AO24" s="1">
        <v>4.0</v>
      </c>
      <c r="AP24" s="1">
        <v>5.0</v>
      </c>
      <c r="AQ24" s="1">
        <v>5.0</v>
      </c>
      <c r="AR24" s="1">
        <v>6.0</v>
      </c>
      <c r="AS24" s="1">
        <v>7.0</v>
      </c>
      <c r="AT24" s="1" t="s">
        <v>123</v>
      </c>
      <c r="AU24" s="1" t="s">
        <v>123</v>
      </c>
      <c r="AV24" s="1" t="s">
        <v>123</v>
      </c>
      <c r="AW24" s="1" t="s">
        <v>123</v>
      </c>
      <c r="AX24" s="1" t="s">
        <v>123</v>
      </c>
      <c r="AY24" s="1" t="s">
        <v>123</v>
      </c>
      <c r="AZ24" s="1" t="s">
        <v>123</v>
      </c>
      <c r="BA24" s="1" t="s">
        <v>123</v>
      </c>
      <c r="BB24" s="1" t="s">
        <v>123</v>
      </c>
      <c r="BC24" s="1" t="s">
        <v>123</v>
      </c>
      <c r="BD24" s="1" t="s">
        <v>123</v>
      </c>
      <c r="BE24" s="1" t="s">
        <v>123</v>
      </c>
      <c r="BF24" s="1" t="s">
        <v>123</v>
      </c>
      <c r="BG24" s="1" t="s">
        <v>123</v>
      </c>
      <c r="BH24" s="1" t="s">
        <v>123</v>
      </c>
      <c r="BI24" s="1" t="s">
        <v>123</v>
      </c>
      <c r="BJ24" s="1" t="s">
        <v>282</v>
      </c>
      <c r="BK24" s="1">
        <v>0.0</v>
      </c>
      <c r="BL24" s="1">
        <v>0.04</v>
      </c>
      <c r="BM24" s="1">
        <v>0.16</v>
      </c>
      <c r="BN24" s="1">
        <v>0.35</v>
      </c>
      <c r="BO24" s="1">
        <v>0.54</v>
      </c>
      <c r="BP24" s="1">
        <v>0.75</v>
      </c>
      <c r="BQ24" s="1">
        <v>1.03</v>
      </c>
      <c r="BR24" s="1">
        <v>1.38</v>
      </c>
      <c r="BS24" s="1">
        <v>1.76</v>
      </c>
      <c r="BT24" s="1">
        <v>2.21</v>
      </c>
      <c r="BU24" s="1">
        <v>2.75</v>
      </c>
      <c r="BV24" s="1" t="s">
        <v>123</v>
      </c>
      <c r="BW24" s="1" t="s">
        <v>123</v>
      </c>
      <c r="BX24" s="1" t="s">
        <v>123</v>
      </c>
      <c r="BY24" s="1" t="s">
        <v>123</v>
      </c>
      <c r="BZ24" s="1" t="s">
        <v>123</v>
      </c>
      <c r="CA24" s="1" t="s">
        <v>123</v>
      </c>
      <c r="CB24" s="1" t="s">
        <v>123</v>
      </c>
      <c r="CC24" s="1" t="s">
        <v>123</v>
      </c>
      <c r="CD24" s="1" t="s">
        <v>123</v>
      </c>
      <c r="CE24" s="1" t="s">
        <v>123</v>
      </c>
      <c r="CF24" s="1" t="s">
        <v>123</v>
      </c>
      <c r="CG24" s="1" t="s">
        <v>123</v>
      </c>
      <c r="CH24" s="1" t="s">
        <v>123</v>
      </c>
      <c r="CI24" s="1" t="s">
        <v>123</v>
      </c>
      <c r="CJ24" s="1" t="s">
        <v>123</v>
      </c>
      <c r="CK24" s="1" t="s">
        <v>283</v>
      </c>
      <c r="CL24" s="1">
        <v>0.0</v>
      </c>
      <c r="CM24" s="1">
        <v>4.0</v>
      </c>
      <c r="CN24" s="1">
        <v>8.6</v>
      </c>
      <c r="CO24" s="1">
        <v>13.5</v>
      </c>
      <c r="CP24" s="1">
        <v>18.8</v>
      </c>
      <c r="CQ24" s="1">
        <v>24.5</v>
      </c>
      <c r="CR24" s="1">
        <v>30.6</v>
      </c>
      <c r="CS24" s="1">
        <v>37.2</v>
      </c>
      <c r="CT24" s="1">
        <v>44.2</v>
      </c>
      <c r="CU24" s="1">
        <v>51.8</v>
      </c>
      <c r="CV24" s="1">
        <v>60.0</v>
      </c>
      <c r="CW24" s="1" t="s">
        <v>123</v>
      </c>
      <c r="CX24" s="1" t="s">
        <v>123</v>
      </c>
      <c r="CY24" s="1" t="s">
        <v>123</v>
      </c>
      <c r="CZ24" s="1" t="s">
        <v>123</v>
      </c>
      <c r="DA24" s="1" t="s">
        <v>123</v>
      </c>
      <c r="DB24" s="1" t="s">
        <v>123</v>
      </c>
      <c r="DC24" s="1" t="s">
        <v>123</v>
      </c>
      <c r="DD24" s="1" t="s">
        <v>123</v>
      </c>
      <c r="DE24" s="1" t="s">
        <v>123</v>
      </c>
      <c r="DF24" s="1" t="s">
        <v>123</v>
      </c>
      <c r="DG24" s="1" t="s">
        <v>123</v>
      </c>
      <c r="DH24" s="1" t="s">
        <v>123</v>
      </c>
      <c r="DI24" s="1" t="s">
        <v>123</v>
      </c>
      <c r="DJ24" s="1" t="s">
        <v>123</v>
      </c>
      <c r="DK24" s="1" t="s">
        <v>123</v>
      </c>
      <c r="DL24" s="1" t="s">
        <v>119</v>
      </c>
      <c r="DM24" s="1">
        <v>0.0</v>
      </c>
    </row>
    <row r="25">
      <c r="A25" s="1" t="s">
        <v>284</v>
      </c>
      <c r="B25" s="1" t="s">
        <v>232</v>
      </c>
      <c r="C25" s="1">
        <v>5.0</v>
      </c>
      <c r="D25" s="1">
        <v>20.0</v>
      </c>
      <c r="E25" s="1" t="s">
        <v>244</v>
      </c>
      <c r="F25" s="1" t="s">
        <v>144</v>
      </c>
      <c r="G25" s="1" t="s">
        <v>285</v>
      </c>
      <c r="H25" s="1" t="s">
        <v>286</v>
      </c>
      <c r="I25" s="1">
        <v>25.0</v>
      </c>
      <c r="J25" s="1">
        <v>700.0</v>
      </c>
      <c r="K25" s="1">
        <v>700.0</v>
      </c>
      <c r="L25" s="1">
        <v>700.0</v>
      </c>
      <c r="M25" s="1">
        <v>700.0</v>
      </c>
      <c r="N25" s="1">
        <v>700.0</v>
      </c>
      <c r="O25" s="1">
        <v>700.0</v>
      </c>
      <c r="P25" s="1">
        <v>700.0</v>
      </c>
      <c r="Q25" s="1">
        <v>700.0</v>
      </c>
      <c r="R25" s="1">
        <v>700.0</v>
      </c>
      <c r="S25" s="1">
        <v>700.0</v>
      </c>
      <c r="T25" s="1">
        <v>700.0</v>
      </c>
      <c r="U25" s="1">
        <v>700.0</v>
      </c>
      <c r="V25" s="1">
        <v>700.0</v>
      </c>
      <c r="W25" s="1">
        <v>700.0</v>
      </c>
      <c r="X25" s="1">
        <v>700.0</v>
      </c>
      <c r="Y25" s="1">
        <v>700.0</v>
      </c>
      <c r="Z25" s="1">
        <v>700.0</v>
      </c>
      <c r="AA25" s="1">
        <v>700.0</v>
      </c>
      <c r="AB25" s="1">
        <v>700.0</v>
      </c>
      <c r="AC25" s="1">
        <v>700.0</v>
      </c>
      <c r="AD25" s="1">
        <v>700.0</v>
      </c>
      <c r="AE25" s="1">
        <v>700.0</v>
      </c>
      <c r="AF25" s="1">
        <v>700.0</v>
      </c>
      <c r="AG25" s="1">
        <v>700.0</v>
      </c>
      <c r="AH25" s="1">
        <v>700.0</v>
      </c>
      <c r="AI25" s="1">
        <v>700.0</v>
      </c>
      <c r="AJ25" s="1">
        <v>2.0</v>
      </c>
      <c r="AK25" s="1">
        <v>2.0</v>
      </c>
      <c r="AL25" s="1">
        <v>3.0</v>
      </c>
      <c r="AM25" s="1">
        <v>3.0</v>
      </c>
      <c r="AN25" s="1">
        <v>3.0</v>
      </c>
      <c r="AO25" s="1">
        <v>4.0</v>
      </c>
      <c r="AP25" s="1">
        <v>5.0</v>
      </c>
      <c r="AQ25" s="1">
        <v>5.0</v>
      </c>
      <c r="AR25" s="1">
        <v>6.0</v>
      </c>
      <c r="AS25" s="1">
        <v>7.0</v>
      </c>
      <c r="AT25" s="1">
        <v>8.0</v>
      </c>
      <c r="AU25" s="1">
        <v>9.0</v>
      </c>
      <c r="AV25" s="1">
        <v>11.0</v>
      </c>
      <c r="AW25" s="1">
        <v>12.0</v>
      </c>
      <c r="AX25" s="1">
        <v>14.0</v>
      </c>
      <c r="AY25" s="1">
        <v>16.0</v>
      </c>
      <c r="AZ25" s="1">
        <v>19.0</v>
      </c>
      <c r="BA25" s="1">
        <v>22.0</v>
      </c>
      <c r="BB25" s="1">
        <v>25.0</v>
      </c>
      <c r="BC25" s="1">
        <v>28.0</v>
      </c>
      <c r="BD25" s="1">
        <v>33.0</v>
      </c>
      <c r="BE25" s="1">
        <v>38.0</v>
      </c>
      <c r="BF25" s="1">
        <v>43.0</v>
      </c>
      <c r="BG25" s="1">
        <v>50.0</v>
      </c>
      <c r="BH25" s="1">
        <v>57.0</v>
      </c>
      <c r="BI25" s="1" t="s">
        <v>123</v>
      </c>
      <c r="BJ25" s="1" t="s">
        <v>287</v>
      </c>
      <c r="BK25" s="1">
        <v>0.0</v>
      </c>
      <c r="BL25" s="1">
        <v>5.0E-4</v>
      </c>
      <c r="BM25" s="1">
        <v>7.0E-4</v>
      </c>
      <c r="BN25" s="1">
        <v>0.001</v>
      </c>
      <c r="BO25" s="1">
        <v>0.0013</v>
      </c>
      <c r="BP25" s="1">
        <v>0.0016</v>
      </c>
      <c r="BQ25" s="1">
        <v>0.002</v>
      </c>
      <c r="BR25" s="1">
        <v>0.0025</v>
      </c>
      <c r="BS25" s="1">
        <v>0.0031</v>
      </c>
      <c r="BT25" s="1">
        <v>0.0038</v>
      </c>
      <c r="BU25" s="1">
        <v>0.0047</v>
      </c>
      <c r="BV25" s="1">
        <v>0.0056</v>
      </c>
      <c r="BW25" s="1">
        <v>0.0068</v>
      </c>
      <c r="BX25" s="1">
        <v>0.0081</v>
      </c>
      <c r="BY25" s="1">
        <v>0.0097</v>
      </c>
      <c r="BZ25" s="1">
        <v>0.0115</v>
      </c>
      <c r="CA25" s="1">
        <v>0.0137</v>
      </c>
      <c r="CB25" s="1">
        <v>0.0162</v>
      </c>
      <c r="CC25" s="1">
        <v>0.0192</v>
      </c>
      <c r="CD25" s="1">
        <v>0.0226</v>
      </c>
      <c r="CE25" s="1">
        <v>0.0265</v>
      </c>
      <c r="CF25" s="1">
        <v>0.0312</v>
      </c>
      <c r="CG25" s="1">
        <v>0.0366</v>
      </c>
      <c r="CH25" s="1">
        <v>0.0428</v>
      </c>
      <c r="CI25" s="1">
        <v>0.0501</v>
      </c>
      <c r="CJ25" s="1">
        <v>0.0584</v>
      </c>
      <c r="CK25" s="1" t="s">
        <v>119</v>
      </c>
      <c r="CL25" s="1">
        <v>0.0</v>
      </c>
      <c r="CM25" s="1">
        <v>0.0</v>
      </c>
      <c r="CN25" s="1">
        <v>0.0</v>
      </c>
      <c r="CO25" s="1">
        <v>0.0</v>
      </c>
      <c r="CP25" s="1">
        <v>0.0</v>
      </c>
      <c r="CQ25" s="1">
        <v>0.0</v>
      </c>
      <c r="CR25" s="1">
        <v>0.0</v>
      </c>
      <c r="CS25" s="1">
        <v>0.0</v>
      </c>
      <c r="CT25" s="1">
        <v>0.0</v>
      </c>
      <c r="CU25" s="1">
        <v>0.0</v>
      </c>
      <c r="CV25" s="1">
        <v>0.0</v>
      </c>
      <c r="CW25" s="1">
        <v>0.0</v>
      </c>
      <c r="CX25" s="1">
        <v>0.0</v>
      </c>
      <c r="CY25" s="1">
        <v>0.0</v>
      </c>
      <c r="CZ25" s="1">
        <v>0.0</v>
      </c>
      <c r="DA25" s="1">
        <v>0.0</v>
      </c>
      <c r="DB25" s="1">
        <v>0.0</v>
      </c>
      <c r="DC25" s="1">
        <v>0.0</v>
      </c>
      <c r="DD25" s="1">
        <v>0.0</v>
      </c>
      <c r="DE25" s="1">
        <v>0.0</v>
      </c>
      <c r="DF25" s="1">
        <v>0.0</v>
      </c>
      <c r="DG25" s="1">
        <v>0.0</v>
      </c>
      <c r="DH25" s="1">
        <v>0.0</v>
      </c>
      <c r="DI25" s="1">
        <v>0.0</v>
      </c>
      <c r="DJ25" s="1">
        <v>0.0</v>
      </c>
      <c r="DK25" s="1">
        <v>0.0</v>
      </c>
      <c r="DL25" s="1" t="s">
        <v>288</v>
      </c>
      <c r="DM25" s="1">
        <v>0.005</v>
      </c>
    </row>
    <row r="26">
      <c r="A26" s="1" t="s">
        <v>289</v>
      </c>
      <c r="B26" s="1" t="s">
        <v>232</v>
      </c>
      <c r="C26" s="1">
        <v>6.0</v>
      </c>
      <c r="D26" s="1">
        <v>20.0</v>
      </c>
      <c r="E26" s="1" t="s">
        <v>260</v>
      </c>
      <c r="F26" s="1" t="s">
        <v>144</v>
      </c>
      <c r="G26" s="1" t="s">
        <v>290</v>
      </c>
      <c r="H26" s="1" t="s">
        <v>291</v>
      </c>
      <c r="I26" s="1">
        <v>25.0</v>
      </c>
      <c r="J26" s="1">
        <v>700.0</v>
      </c>
      <c r="K26" s="1">
        <v>700.0</v>
      </c>
      <c r="L26" s="1">
        <v>700.0</v>
      </c>
      <c r="M26" s="1">
        <v>700.0</v>
      </c>
      <c r="N26" s="1">
        <v>700.0</v>
      </c>
      <c r="O26" s="1">
        <v>700.0</v>
      </c>
      <c r="P26" s="1">
        <v>700.0</v>
      </c>
      <c r="Q26" s="1">
        <v>700.0</v>
      </c>
      <c r="R26" s="1">
        <v>700.0</v>
      </c>
      <c r="S26" s="1">
        <v>700.0</v>
      </c>
      <c r="T26" s="1">
        <v>700.0</v>
      </c>
      <c r="U26" s="1">
        <v>700.0</v>
      </c>
      <c r="V26" s="1">
        <v>700.0</v>
      </c>
      <c r="W26" s="1">
        <v>700.0</v>
      </c>
      <c r="X26" s="1">
        <v>700.0</v>
      </c>
      <c r="Y26" s="1">
        <v>700.0</v>
      </c>
      <c r="Z26" s="1">
        <v>700.0</v>
      </c>
      <c r="AA26" s="1">
        <v>700.0</v>
      </c>
      <c r="AB26" s="1">
        <v>700.0</v>
      </c>
      <c r="AC26" s="1">
        <v>700.0</v>
      </c>
      <c r="AD26" s="1">
        <v>700.0</v>
      </c>
      <c r="AE26" s="1">
        <v>700.0</v>
      </c>
      <c r="AF26" s="1">
        <v>700.0</v>
      </c>
      <c r="AG26" s="1">
        <v>700.0</v>
      </c>
      <c r="AH26" s="1">
        <v>700.0</v>
      </c>
      <c r="AI26" s="1">
        <v>700.0</v>
      </c>
      <c r="AJ26" s="1">
        <v>2.0</v>
      </c>
      <c r="AK26" s="1">
        <v>2.0</v>
      </c>
      <c r="AL26" s="1">
        <v>3.0</v>
      </c>
      <c r="AM26" s="1">
        <v>3.0</v>
      </c>
      <c r="AN26" s="1">
        <v>3.0</v>
      </c>
      <c r="AO26" s="1">
        <v>4.0</v>
      </c>
      <c r="AP26" s="1">
        <v>5.0</v>
      </c>
      <c r="AQ26" s="1">
        <v>5.0</v>
      </c>
      <c r="AR26" s="1">
        <v>6.0</v>
      </c>
      <c r="AS26" s="1">
        <v>7.0</v>
      </c>
      <c r="AT26" s="1">
        <v>8.0</v>
      </c>
      <c r="AU26" s="1">
        <v>9.0</v>
      </c>
      <c r="AV26" s="1">
        <v>11.0</v>
      </c>
      <c r="AW26" s="1">
        <v>12.0</v>
      </c>
      <c r="AX26" s="1">
        <v>14.0</v>
      </c>
      <c r="AY26" s="1">
        <v>16.0</v>
      </c>
      <c r="AZ26" s="1">
        <v>19.0</v>
      </c>
      <c r="BA26" s="1">
        <v>22.0</v>
      </c>
      <c r="BB26" s="1">
        <v>25.0</v>
      </c>
      <c r="BC26" s="1">
        <v>28.0</v>
      </c>
      <c r="BD26" s="1">
        <v>33.0</v>
      </c>
      <c r="BE26" s="1">
        <v>38.0</v>
      </c>
      <c r="BF26" s="1">
        <v>43.0</v>
      </c>
      <c r="BG26" s="1">
        <v>50.0</v>
      </c>
      <c r="BH26" s="1">
        <v>57.0</v>
      </c>
      <c r="BI26" s="1" t="s">
        <v>123</v>
      </c>
      <c r="BJ26" s="1" t="s">
        <v>295</v>
      </c>
      <c r="BK26" s="1">
        <v>0.0</v>
      </c>
      <c r="BL26" s="1">
        <v>2.0</v>
      </c>
      <c r="BM26" s="1">
        <v>5.0</v>
      </c>
      <c r="BN26" s="1">
        <v>9.0</v>
      </c>
      <c r="BO26" s="1">
        <v>13.0</v>
      </c>
      <c r="BP26" s="1">
        <v>18.0</v>
      </c>
      <c r="BQ26" s="1">
        <v>24.0</v>
      </c>
      <c r="BR26" s="1">
        <v>33.0</v>
      </c>
      <c r="BS26" s="1">
        <v>41.0</v>
      </c>
      <c r="BT26" s="1">
        <v>53.0</v>
      </c>
      <c r="BU26" s="1">
        <v>66.0</v>
      </c>
      <c r="BV26" s="1">
        <v>83.0</v>
      </c>
      <c r="BW26" s="1">
        <v>102.0</v>
      </c>
      <c r="BX26" s="1">
        <v>127.0</v>
      </c>
      <c r="BY26" s="1">
        <v>155.0</v>
      </c>
      <c r="BZ26" s="1">
        <v>190.0</v>
      </c>
      <c r="CA26" s="1">
        <v>231.0</v>
      </c>
      <c r="CB26" s="1">
        <v>283.0</v>
      </c>
      <c r="CC26" s="1">
        <v>347.0</v>
      </c>
      <c r="CD26" s="1">
        <v>422.0</v>
      </c>
      <c r="CE26" s="1">
        <v>510.0</v>
      </c>
      <c r="CF26" s="1">
        <v>620.0</v>
      </c>
      <c r="CG26" s="1">
        <v>752.0</v>
      </c>
      <c r="CH26" s="1">
        <v>908.0</v>
      </c>
      <c r="CI26" s="1">
        <v>1100.0</v>
      </c>
      <c r="CJ26" s="1">
        <v>1328.0</v>
      </c>
      <c r="CK26" s="1" t="s">
        <v>296</v>
      </c>
      <c r="CL26" s="1">
        <v>0.0</v>
      </c>
      <c r="CM26" s="1">
        <v>0.0</v>
      </c>
      <c r="CN26" s="1">
        <v>1.0</v>
      </c>
      <c r="CO26" s="1">
        <v>2.0</v>
      </c>
      <c r="CP26" s="1">
        <v>3.0</v>
      </c>
      <c r="CQ26" s="1">
        <v>4.0</v>
      </c>
      <c r="CR26" s="1">
        <v>6.0</v>
      </c>
      <c r="CS26" s="1">
        <v>8.0</v>
      </c>
      <c r="CT26" s="1">
        <v>10.0</v>
      </c>
      <c r="CU26" s="1">
        <v>12.0</v>
      </c>
      <c r="CV26" s="1">
        <v>14.0</v>
      </c>
      <c r="CW26" s="1">
        <v>16.0</v>
      </c>
      <c r="CX26" s="1">
        <v>18.0</v>
      </c>
      <c r="CY26" s="1">
        <v>20.0</v>
      </c>
      <c r="CZ26" s="1">
        <v>23.0</v>
      </c>
      <c r="DA26" s="1">
        <v>26.0</v>
      </c>
      <c r="DB26" s="1">
        <v>29.0</v>
      </c>
      <c r="DC26" s="1">
        <v>33.0</v>
      </c>
      <c r="DD26" s="1">
        <v>38.0</v>
      </c>
      <c r="DE26" s="1">
        <v>44.0</v>
      </c>
      <c r="DF26" s="1">
        <v>51.0</v>
      </c>
      <c r="DG26" s="1">
        <v>59.0</v>
      </c>
      <c r="DH26" s="1">
        <v>68.0</v>
      </c>
      <c r="DI26" s="1">
        <v>78.0</v>
      </c>
      <c r="DJ26" s="1">
        <v>89.0</v>
      </c>
      <c r="DK26" s="1">
        <v>101.0</v>
      </c>
      <c r="DL26" s="1" t="s">
        <v>119</v>
      </c>
      <c r="DM26" s="1">
        <v>0.0</v>
      </c>
    </row>
    <row r="27">
      <c r="A27" s="1" t="s">
        <v>298</v>
      </c>
      <c r="B27" s="1" t="s">
        <v>232</v>
      </c>
      <c r="C27" s="1">
        <v>7.0</v>
      </c>
      <c r="D27" s="1">
        <v>50.0</v>
      </c>
      <c r="E27" s="1" t="s">
        <v>278</v>
      </c>
      <c r="F27" s="1" t="s">
        <v>165</v>
      </c>
      <c r="G27" s="1" t="s">
        <v>299</v>
      </c>
      <c r="H27" s="1" t="s">
        <v>300</v>
      </c>
      <c r="I27" s="1">
        <v>15.0</v>
      </c>
      <c r="J27" s="1">
        <v>1400.0</v>
      </c>
      <c r="K27" s="1">
        <v>1400.0</v>
      </c>
      <c r="L27" s="1">
        <v>1400.0</v>
      </c>
      <c r="M27" s="1">
        <v>1400.0</v>
      </c>
      <c r="N27" s="1">
        <v>1400.0</v>
      </c>
      <c r="O27" s="1">
        <v>1400.0</v>
      </c>
      <c r="P27" s="1">
        <v>1400.0</v>
      </c>
      <c r="Q27" s="1">
        <v>1400.0</v>
      </c>
      <c r="R27" s="1">
        <v>1400.0</v>
      </c>
      <c r="S27" s="1">
        <v>1400.0</v>
      </c>
      <c r="T27" s="1">
        <v>1400.0</v>
      </c>
      <c r="U27" s="1">
        <v>1400.0</v>
      </c>
      <c r="V27" s="1">
        <v>1400.0</v>
      </c>
      <c r="W27" s="1">
        <v>1400.0</v>
      </c>
      <c r="X27" s="1">
        <v>1400.0</v>
      </c>
      <c r="Y27" s="1">
        <v>1400.0</v>
      </c>
      <c r="Z27" s="1" t="s">
        <v>123</v>
      </c>
      <c r="AA27" s="1" t="s">
        <v>123</v>
      </c>
      <c r="AB27" s="1" t="s">
        <v>123</v>
      </c>
      <c r="AC27" s="1" t="s">
        <v>123</v>
      </c>
      <c r="AD27" s="1" t="s">
        <v>123</v>
      </c>
      <c r="AE27" s="1" t="s">
        <v>123</v>
      </c>
      <c r="AF27" s="1" t="s">
        <v>123</v>
      </c>
      <c r="AG27" s="1" t="s">
        <v>123</v>
      </c>
      <c r="AH27" s="1" t="s">
        <v>123</v>
      </c>
      <c r="AI27" s="1" t="s">
        <v>123</v>
      </c>
      <c r="AJ27" s="1">
        <v>3.0</v>
      </c>
      <c r="AK27" s="1">
        <v>4.0</v>
      </c>
      <c r="AL27" s="1">
        <v>5.0</v>
      </c>
      <c r="AM27" s="1">
        <v>7.0</v>
      </c>
      <c r="AN27" s="1">
        <v>9.0</v>
      </c>
      <c r="AO27" s="1">
        <v>12.0</v>
      </c>
      <c r="AP27" s="1">
        <v>16.0</v>
      </c>
      <c r="AQ27" s="1">
        <v>21.0</v>
      </c>
      <c r="AR27" s="1">
        <v>27.0</v>
      </c>
      <c r="AS27" s="1">
        <v>35.0</v>
      </c>
      <c r="AT27" s="1">
        <v>46.0</v>
      </c>
      <c r="AU27" s="1">
        <v>60.0</v>
      </c>
      <c r="AV27" s="1">
        <v>78.0</v>
      </c>
      <c r="AW27" s="1">
        <v>101.0</v>
      </c>
      <c r="AX27" s="1">
        <v>131.0</v>
      </c>
      <c r="AY27" s="1" t="s">
        <v>123</v>
      </c>
      <c r="AZ27" s="1" t="s">
        <v>123</v>
      </c>
      <c r="BA27" s="1" t="s">
        <v>123</v>
      </c>
      <c r="BB27" s="1" t="s">
        <v>123</v>
      </c>
      <c r="BC27" s="1" t="s">
        <v>123</v>
      </c>
      <c r="BD27" s="1" t="s">
        <v>123</v>
      </c>
      <c r="BE27" s="1" t="s">
        <v>123</v>
      </c>
      <c r="BF27" s="1" t="s">
        <v>123</v>
      </c>
      <c r="BG27" s="1" t="s">
        <v>123</v>
      </c>
      <c r="BH27" s="1" t="s">
        <v>123</v>
      </c>
      <c r="BI27" s="1" t="s">
        <v>123</v>
      </c>
      <c r="BJ27" s="1" t="s">
        <v>303</v>
      </c>
      <c r="BK27" s="1">
        <v>0.0</v>
      </c>
      <c r="BL27" s="1">
        <v>2.0</v>
      </c>
      <c r="BM27" s="1">
        <v>4.0</v>
      </c>
      <c r="BN27" s="1">
        <v>6.5</v>
      </c>
      <c r="BO27" s="1">
        <v>10.0</v>
      </c>
      <c r="BP27" s="1">
        <v>14.5</v>
      </c>
      <c r="BQ27" s="1">
        <v>20.5</v>
      </c>
      <c r="BR27" s="1">
        <v>28.5</v>
      </c>
      <c r="BS27" s="1">
        <v>39.0</v>
      </c>
      <c r="BT27" s="1">
        <v>52.5</v>
      </c>
      <c r="BU27" s="1">
        <v>70.0</v>
      </c>
      <c r="BV27" s="1">
        <v>93.0</v>
      </c>
      <c r="BW27" s="1">
        <v>123.0</v>
      </c>
      <c r="BX27" s="1">
        <v>162.0</v>
      </c>
      <c r="BY27" s="1">
        <v>212.5</v>
      </c>
      <c r="BZ27" s="1">
        <v>278.0</v>
      </c>
      <c r="CA27" s="1" t="s">
        <v>123</v>
      </c>
      <c r="CB27" s="1" t="s">
        <v>123</v>
      </c>
      <c r="CC27" s="1" t="s">
        <v>123</v>
      </c>
      <c r="CD27" s="1" t="s">
        <v>123</v>
      </c>
      <c r="CE27" s="1" t="s">
        <v>123</v>
      </c>
      <c r="CF27" s="1" t="s">
        <v>123</v>
      </c>
      <c r="CG27" s="1" t="s">
        <v>123</v>
      </c>
      <c r="CH27" s="1" t="s">
        <v>123</v>
      </c>
      <c r="CI27" s="1" t="s">
        <v>123</v>
      </c>
      <c r="CJ27" s="1" t="s">
        <v>123</v>
      </c>
      <c r="CK27" s="1" t="s">
        <v>304</v>
      </c>
      <c r="CL27" s="1">
        <v>0.0</v>
      </c>
      <c r="CM27" s="1">
        <v>0.0</v>
      </c>
      <c r="CN27" s="1">
        <v>0.0</v>
      </c>
      <c r="CO27" s="1">
        <v>0.0</v>
      </c>
      <c r="CP27" s="1">
        <v>0.0</v>
      </c>
      <c r="CQ27" s="1">
        <v>0.0</v>
      </c>
      <c r="CR27" s="1">
        <v>0.0</v>
      </c>
      <c r="CS27" s="1">
        <v>0.0</v>
      </c>
      <c r="CT27" s="1">
        <v>0.0</v>
      </c>
      <c r="CU27" s="1">
        <v>0.0</v>
      </c>
      <c r="CV27" s="1">
        <v>0.0</v>
      </c>
      <c r="CW27" s="1">
        <v>0.0</v>
      </c>
      <c r="CX27" s="1">
        <v>0.0</v>
      </c>
      <c r="CY27" s="1">
        <v>0.0</v>
      </c>
      <c r="CZ27" s="1">
        <v>0.0</v>
      </c>
      <c r="DA27" s="1">
        <v>0.0</v>
      </c>
      <c r="DB27" s="1" t="s">
        <v>123</v>
      </c>
      <c r="DC27" s="1" t="s">
        <v>123</v>
      </c>
      <c r="DD27" s="1" t="s">
        <v>123</v>
      </c>
      <c r="DE27" s="1" t="s">
        <v>123</v>
      </c>
      <c r="DF27" s="1" t="s">
        <v>123</v>
      </c>
      <c r="DG27" s="1" t="s">
        <v>123</v>
      </c>
      <c r="DH27" s="1" t="s">
        <v>123</v>
      </c>
      <c r="DI27" s="1" t="s">
        <v>123</v>
      </c>
      <c r="DJ27" s="1" t="s">
        <v>123</v>
      </c>
      <c r="DK27" s="1" t="s">
        <v>123</v>
      </c>
      <c r="DL27" s="1" t="s">
        <v>119</v>
      </c>
      <c r="DM27" s="1">
        <v>0.0</v>
      </c>
    </row>
    <row r="28">
      <c r="A28" s="1" t="s">
        <v>307</v>
      </c>
      <c r="B28" s="1" t="s">
        <v>232</v>
      </c>
      <c r="C28" s="1">
        <v>8.0</v>
      </c>
      <c r="D28" s="1">
        <v>50.0</v>
      </c>
      <c r="E28" s="1" t="s">
        <v>284</v>
      </c>
      <c r="F28" s="1" t="s">
        <v>165</v>
      </c>
      <c r="G28" s="1" t="s">
        <v>308</v>
      </c>
      <c r="H28" s="1" t="s">
        <v>309</v>
      </c>
      <c r="I28" s="1">
        <v>15.0</v>
      </c>
      <c r="J28" s="1">
        <v>1400.0</v>
      </c>
      <c r="K28" s="1">
        <v>1400.0</v>
      </c>
      <c r="L28" s="1">
        <v>1400.0</v>
      </c>
      <c r="M28" s="1">
        <v>1400.0</v>
      </c>
      <c r="N28" s="1">
        <v>1400.0</v>
      </c>
      <c r="O28" s="1">
        <v>1400.0</v>
      </c>
      <c r="P28" s="1">
        <v>1400.0</v>
      </c>
      <c r="Q28" s="1">
        <v>1400.0</v>
      </c>
      <c r="R28" s="1">
        <v>1400.0</v>
      </c>
      <c r="S28" s="1">
        <v>1400.0</v>
      </c>
      <c r="T28" s="1">
        <v>1400.0</v>
      </c>
      <c r="U28" s="1">
        <v>1400.0</v>
      </c>
      <c r="V28" s="1">
        <v>1400.0</v>
      </c>
      <c r="W28" s="1">
        <v>1400.0</v>
      </c>
      <c r="X28" s="1">
        <v>1400.0</v>
      </c>
      <c r="Y28" s="1">
        <v>1400.0</v>
      </c>
      <c r="Z28" s="1" t="s">
        <v>123</v>
      </c>
      <c r="AA28" s="1" t="s">
        <v>123</v>
      </c>
      <c r="AB28" s="1" t="s">
        <v>123</v>
      </c>
      <c r="AC28" s="1" t="s">
        <v>123</v>
      </c>
      <c r="AD28" s="1" t="s">
        <v>123</v>
      </c>
      <c r="AE28" s="1" t="s">
        <v>123</v>
      </c>
      <c r="AF28" s="1" t="s">
        <v>123</v>
      </c>
      <c r="AG28" s="1" t="s">
        <v>123</v>
      </c>
      <c r="AH28" s="1" t="s">
        <v>123</v>
      </c>
      <c r="AI28" s="1" t="s">
        <v>123</v>
      </c>
      <c r="AJ28" s="1">
        <v>3.0</v>
      </c>
      <c r="AK28" s="1">
        <v>4.0</v>
      </c>
      <c r="AL28" s="1">
        <v>5.0</v>
      </c>
      <c r="AM28" s="1">
        <v>7.0</v>
      </c>
      <c r="AN28" s="1">
        <v>9.0</v>
      </c>
      <c r="AO28" s="1">
        <v>12.0</v>
      </c>
      <c r="AP28" s="1">
        <v>16.0</v>
      </c>
      <c r="AQ28" s="1">
        <v>21.0</v>
      </c>
      <c r="AR28" s="1">
        <v>27.0</v>
      </c>
      <c r="AS28" s="1">
        <v>35.0</v>
      </c>
      <c r="AT28" s="1">
        <v>46.0</v>
      </c>
      <c r="AU28" s="1">
        <v>60.0</v>
      </c>
      <c r="AV28" s="1">
        <v>78.0</v>
      </c>
      <c r="AW28" s="1">
        <v>101.0</v>
      </c>
      <c r="AX28" s="1">
        <v>131.0</v>
      </c>
      <c r="AY28" s="1" t="s">
        <v>123</v>
      </c>
      <c r="AZ28" s="1" t="s">
        <v>123</v>
      </c>
      <c r="BA28" s="1" t="s">
        <v>123</v>
      </c>
      <c r="BB28" s="1" t="s">
        <v>123</v>
      </c>
      <c r="BC28" s="1" t="s">
        <v>123</v>
      </c>
      <c r="BD28" s="1" t="s">
        <v>123</v>
      </c>
      <c r="BE28" s="1" t="s">
        <v>123</v>
      </c>
      <c r="BF28" s="1" t="s">
        <v>123</v>
      </c>
      <c r="BG28" s="1" t="s">
        <v>123</v>
      </c>
      <c r="BH28" s="1" t="s">
        <v>123</v>
      </c>
      <c r="BI28" s="1" t="s">
        <v>123</v>
      </c>
      <c r="BJ28" s="1" t="s">
        <v>312</v>
      </c>
      <c r="BK28" s="1">
        <v>0.0</v>
      </c>
      <c r="BL28" s="1">
        <v>0.1</v>
      </c>
      <c r="BM28" s="1">
        <v>0.1532</v>
      </c>
      <c r="BN28" s="1">
        <v>0.2072</v>
      </c>
      <c r="BO28" s="1">
        <v>0.2671</v>
      </c>
      <c r="BP28" s="1">
        <v>0.3288</v>
      </c>
      <c r="BQ28" s="1">
        <v>0.3942</v>
      </c>
      <c r="BR28" s="1">
        <v>0.4627</v>
      </c>
      <c r="BS28" s="1">
        <v>0.5323</v>
      </c>
      <c r="BT28" s="1">
        <v>0.6003</v>
      </c>
      <c r="BU28" s="1">
        <v>0.6659</v>
      </c>
      <c r="BV28" s="1">
        <v>0.7288</v>
      </c>
      <c r="BW28" s="1">
        <v>0.7867</v>
      </c>
      <c r="BX28" s="1">
        <v>0.8379</v>
      </c>
      <c r="BY28" s="1">
        <v>0.8809</v>
      </c>
      <c r="BZ28" s="1">
        <v>0.9147</v>
      </c>
      <c r="CA28" s="1" t="s">
        <v>123</v>
      </c>
      <c r="CB28" s="1" t="s">
        <v>123</v>
      </c>
      <c r="CC28" s="1" t="s">
        <v>123</v>
      </c>
      <c r="CD28" s="1" t="s">
        <v>123</v>
      </c>
      <c r="CE28" s="1" t="s">
        <v>123</v>
      </c>
      <c r="CF28" s="1" t="s">
        <v>123</v>
      </c>
      <c r="CG28" s="1" t="s">
        <v>123</v>
      </c>
      <c r="CH28" s="1" t="s">
        <v>123</v>
      </c>
      <c r="CI28" s="1" t="s">
        <v>123</v>
      </c>
      <c r="CJ28" s="1" t="s">
        <v>123</v>
      </c>
      <c r="CK28" s="1" t="s">
        <v>313</v>
      </c>
      <c r="CL28" s="1">
        <v>0.0</v>
      </c>
      <c r="CM28" s="1">
        <v>0.938</v>
      </c>
      <c r="CN28" s="1">
        <v>0.941</v>
      </c>
      <c r="CO28" s="1">
        <v>0.944</v>
      </c>
      <c r="CP28" s="1">
        <v>0.947</v>
      </c>
      <c r="CQ28" s="1">
        <v>0.95</v>
      </c>
      <c r="CR28" s="1">
        <v>0.953</v>
      </c>
      <c r="CS28" s="1">
        <v>0.956</v>
      </c>
      <c r="CT28" s="1">
        <v>0.959</v>
      </c>
      <c r="CU28" s="1">
        <v>0.962</v>
      </c>
      <c r="CV28" s="1">
        <v>0.965</v>
      </c>
      <c r="CW28" s="1">
        <v>0.968</v>
      </c>
      <c r="CX28" s="1">
        <v>0.971</v>
      </c>
      <c r="CY28" s="1">
        <v>0.974</v>
      </c>
      <c r="CZ28" s="1">
        <v>0.977</v>
      </c>
      <c r="DA28" s="1">
        <v>0.98</v>
      </c>
      <c r="DB28" s="1" t="s">
        <v>123</v>
      </c>
      <c r="DC28" s="1" t="s">
        <v>123</v>
      </c>
      <c r="DD28" s="1" t="s">
        <v>123</v>
      </c>
      <c r="DE28" s="1" t="s">
        <v>123</v>
      </c>
      <c r="DF28" s="1" t="s">
        <v>123</v>
      </c>
      <c r="DG28" s="1" t="s">
        <v>123</v>
      </c>
      <c r="DH28" s="1" t="s">
        <v>123</v>
      </c>
      <c r="DI28" s="1" t="s">
        <v>123</v>
      </c>
      <c r="DJ28" s="1" t="s">
        <v>123</v>
      </c>
      <c r="DK28" s="1" t="s">
        <v>123</v>
      </c>
      <c r="DL28" s="1" t="s">
        <v>314</v>
      </c>
      <c r="DM28" s="1">
        <v>0.02</v>
      </c>
    </row>
    <row r="29">
      <c r="A29" s="1" t="s">
        <v>315</v>
      </c>
      <c r="B29" s="1" t="s">
        <v>232</v>
      </c>
      <c r="C29" s="1">
        <v>9.0</v>
      </c>
      <c r="D29" s="1">
        <v>50.0</v>
      </c>
      <c r="E29" s="1" t="s">
        <v>289</v>
      </c>
      <c r="F29" s="1" t="s">
        <v>165</v>
      </c>
      <c r="G29" s="1" t="s">
        <v>316</v>
      </c>
      <c r="H29" s="1" t="s">
        <v>317</v>
      </c>
      <c r="I29" s="1">
        <v>15.0</v>
      </c>
      <c r="J29" s="1">
        <v>1400.0</v>
      </c>
      <c r="K29" s="1">
        <v>1400.0</v>
      </c>
      <c r="L29" s="1">
        <v>1400.0</v>
      </c>
      <c r="M29" s="1">
        <v>1400.0</v>
      </c>
      <c r="N29" s="1">
        <v>1400.0</v>
      </c>
      <c r="O29" s="1">
        <v>1400.0</v>
      </c>
      <c r="P29" s="1">
        <v>1400.0</v>
      </c>
      <c r="Q29" s="1">
        <v>1400.0</v>
      </c>
      <c r="R29" s="1">
        <v>1400.0</v>
      </c>
      <c r="S29" s="1">
        <v>1400.0</v>
      </c>
      <c r="T29" s="1">
        <v>1400.0</v>
      </c>
      <c r="U29" s="1">
        <v>1400.0</v>
      </c>
      <c r="V29" s="1">
        <v>1400.0</v>
      </c>
      <c r="W29" s="1">
        <v>1400.0</v>
      </c>
      <c r="X29" s="1">
        <v>1400.0</v>
      </c>
      <c r="Y29" s="1">
        <v>1400.0</v>
      </c>
      <c r="Z29" s="1" t="s">
        <v>123</v>
      </c>
      <c r="AA29" s="1" t="s">
        <v>123</v>
      </c>
      <c r="AB29" s="1" t="s">
        <v>123</v>
      </c>
      <c r="AC29" s="1" t="s">
        <v>123</v>
      </c>
      <c r="AD29" s="1" t="s">
        <v>123</v>
      </c>
      <c r="AE29" s="1" t="s">
        <v>123</v>
      </c>
      <c r="AF29" s="1" t="s">
        <v>123</v>
      </c>
      <c r="AG29" s="1" t="s">
        <v>123</v>
      </c>
      <c r="AH29" s="1" t="s">
        <v>123</v>
      </c>
      <c r="AI29" s="1" t="s">
        <v>123</v>
      </c>
      <c r="AJ29" s="1">
        <v>3.0</v>
      </c>
      <c r="AK29" s="1">
        <v>4.0</v>
      </c>
      <c r="AL29" s="1">
        <v>5.0</v>
      </c>
      <c r="AM29" s="1">
        <v>7.0</v>
      </c>
      <c r="AN29" s="1">
        <v>9.0</v>
      </c>
      <c r="AO29" s="1">
        <v>12.0</v>
      </c>
      <c r="AP29" s="1">
        <v>16.0</v>
      </c>
      <c r="AQ29" s="1">
        <v>21.0</v>
      </c>
      <c r="AR29" s="1">
        <v>27.0</v>
      </c>
      <c r="AS29" s="1">
        <v>35.0</v>
      </c>
      <c r="AT29" s="1">
        <v>46.0</v>
      </c>
      <c r="AU29" s="1">
        <v>60.0</v>
      </c>
      <c r="AV29" s="1">
        <v>78.0</v>
      </c>
      <c r="AW29" s="1">
        <v>101.0</v>
      </c>
      <c r="AX29" s="1">
        <v>131.0</v>
      </c>
      <c r="AY29" s="1" t="s">
        <v>123</v>
      </c>
      <c r="AZ29" s="1" t="s">
        <v>123</v>
      </c>
      <c r="BA29" s="1" t="s">
        <v>123</v>
      </c>
      <c r="BB29" s="1" t="s">
        <v>123</v>
      </c>
      <c r="BC29" s="1" t="s">
        <v>123</v>
      </c>
      <c r="BD29" s="1" t="s">
        <v>123</v>
      </c>
      <c r="BE29" s="1" t="s">
        <v>123</v>
      </c>
      <c r="BF29" s="1" t="s">
        <v>123</v>
      </c>
      <c r="BG29" s="1" t="s">
        <v>123</v>
      </c>
      <c r="BH29" s="1" t="s">
        <v>123</v>
      </c>
      <c r="BI29" s="1" t="s">
        <v>123</v>
      </c>
      <c r="BJ29" s="1" t="s">
        <v>319</v>
      </c>
      <c r="BK29" s="1">
        <v>0.0</v>
      </c>
      <c r="BL29" s="9">
        <v>1.31</v>
      </c>
      <c r="BM29" s="9">
        <v>1.7</v>
      </c>
      <c r="BN29" s="9">
        <v>2.31</v>
      </c>
      <c r="BO29" s="9">
        <v>3.4</v>
      </c>
      <c r="BP29" s="9">
        <v>5.4</v>
      </c>
      <c r="BQ29" s="9">
        <v>9.54</v>
      </c>
      <c r="BR29" s="9">
        <v>19.2</v>
      </c>
      <c r="BS29" s="9">
        <v>44.9</v>
      </c>
      <c r="BT29" s="9">
        <v>125.0</v>
      </c>
      <c r="BU29" s="9">
        <v>426.0</v>
      </c>
      <c r="BV29" s="9">
        <v>1920.0</v>
      </c>
      <c r="BW29" s="9">
        <v>12000.0</v>
      </c>
      <c r="BX29" s="9">
        <v>113000.0</v>
      </c>
      <c r="BY29" s="9">
        <v>1770000.0</v>
      </c>
      <c r="BZ29" s="9">
        <v>5.39E7</v>
      </c>
      <c r="CA29" s="1" t="s">
        <v>123</v>
      </c>
      <c r="CB29" s="1" t="s">
        <v>123</v>
      </c>
      <c r="CC29" s="1" t="s">
        <v>123</v>
      </c>
      <c r="CD29" s="1" t="s">
        <v>123</v>
      </c>
      <c r="CE29" s="1" t="s">
        <v>123</v>
      </c>
      <c r="CF29" s="1" t="s">
        <v>123</v>
      </c>
      <c r="CG29" s="1" t="s">
        <v>123</v>
      </c>
      <c r="CH29" s="1" t="s">
        <v>123</v>
      </c>
      <c r="CI29" s="1" t="s">
        <v>123</v>
      </c>
      <c r="CJ29" s="1" t="s">
        <v>123</v>
      </c>
      <c r="CK29" s="1" t="s">
        <v>320</v>
      </c>
      <c r="CL29" s="1">
        <v>0.0</v>
      </c>
      <c r="CM29" s="1">
        <v>0.96</v>
      </c>
      <c r="CN29" s="1">
        <v>0.92</v>
      </c>
      <c r="CO29" s="1">
        <v>0.88</v>
      </c>
      <c r="CP29" s="1">
        <v>0.84</v>
      </c>
      <c r="CQ29" s="1">
        <v>0.8</v>
      </c>
      <c r="CR29" s="1">
        <v>0.76</v>
      </c>
      <c r="CS29" s="1">
        <v>0.72</v>
      </c>
      <c r="CT29" s="1">
        <v>0.68</v>
      </c>
      <c r="CU29" s="1">
        <v>0.64</v>
      </c>
      <c r="CV29" s="1">
        <v>0.6</v>
      </c>
      <c r="CW29" s="1">
        <v>0.55</v>
      </c>
      <c r="CX29" s="1">
        <v>0.5</v>
      </c>
      <c r="CY29" s="1">
        <v>0.45</v>
      </c>
      <c r="CZ29" s="1">
        <v>0.4</v>
      </c>
      <c r="DA29" s="1">
        <v>0.35</v>
      </c>
      <c r="DB29" s="1" t="s">
        <v>123</v>
      </c>
      <c r="DC29" s="1" t="s">
        <v>123</v>
      </c>
      <c r="DD29" s="1" t="s">
        <v>123</v>
      </c>
      <c r="DE29" s="1" t="s">
        <v>123</v>
      </c>
      <c r="DF29" s="1" t="s">
        <v>123</v>
      </c>
      <c r="DG29" s="1" t="s">
        <v>123</v>
      </c>
      <c r="DH29" s="1" t="s">
        <v>123</v>
      </c>
      <c r="DI29" s="1" t="s">
        <v>123</v>
      </c>
      <c r="DJ29" s="1" t="s">
        <v>123</v>
      </c>
      <c r="DK29" s="1" t="s">
        <v>123</v>
      </c>
      <c r="DL29" s="1" t="s">
        <v>119</v>
      </c>
      <c r="DM29" s="1">
        <v>0.0</v>
      </c>
    </row>
    <row r="30">
      <c r="A30" s="1" t="s">
        <v>322</v>
      </c>
      <c r="B30" s="1" t="s">
        <v>323</v>
      </c>
      <c r="C30" s="1">
        <v>0.0</v>
      </c>
      <c r="D30" s="1">
        <v>0.0</v>
      </c>
      <c r="E30" s="1" t="s">
        <v>119</v>
      </c>
      <c r="F30" s="1" t="s">
        <v>120</v>
      </c>
      <c r="G30" s="1" t="s">
        <v>324</v>
      </c>
      <c r="H30" s="1" t="s">
        <v>325</v>
      </c>
      <c r="I30" s="1">
        <v>25.0</v>
      </c>
      <c r="J30" s="1">
        <v>200.0</v>
      </c>
      <c r="K30" s="1">
        <v>200.0</v>
      </c>
      <c r="L30" s="1">
        <v>200.0</v>
      </c>
      <c r="M30" s="1">
        <v>200.0</v>
      </c>
      <c r="N30" s="1">
        <v>200.0</v>
      </c>
      <c r="O30" s="1">
        <v>200.0</v>
      </c>
      <c r="P30" s="1">
        <v>200.0</v>
      </c>
      <c r="Q30" s="1">
        <v>200.0</v>
      </c>
      <c r="R30" s="1">
        <v>200.0</v>
      </c>
      <c r="S30" s="1">
        <v>200.0</v>
      </c>
      <c r="T30" s="1">
        <v>200.0</v>
      </c>
      <c r="U30" s="1">
        <v>200.0</v>
      </c>
      <c r="V30" s="1">
        <v>200.0</v>
      </c>
      <c r="W30" s="1">
        <v>200.0</v>
      </c>
      <c r="X30" s="1">
        <v>200.0</v>
      </c>
      <c r="Y30" s="1">
        <v>200.0</v>
      </c>
      <c r="Z30" s="1">
        <v>200.0</v>
      </c>
      <c r="AA30" s="1">
        <v>200.0</v>
      </c>
      <c r="AB30" s="1">
        <v>200.0</v>
      </c>
      <c r="AC30" s="1">
        <v>200.0</v>
      </c>
      <c r="AD30" s="1">
        <v>200.0</v>
      </c>
      <c r="AE30" s="1">
        <v>200.0</v>
      </c>
      <c r="AF30" s="1">
        <v>200.0</v>
      </c>
      <c r="AG30" s="1">
        <v>200.0</v>
      </c>
      <c r="AH30" s="1">
        <v>200.0</v>
      </c>
      <c r="AI30" s="1">
        <v>200.0</v>
      </c>
      <c r="AJ30" s="1">
        <v>1.0</v>
      </c>
      <c r="AK30" s="1">
        <v>2.0</v>
      </c>
      <c r="AL30" s="1">
        <v>2.0</v>
      </c>
      <c r="AM30" s="1">
        <v>3.0</v>
      </c>
      <c r="AN30" s="1">
        <v>3.0</v>
      </c>
      <c r="AO30" s="1">
        <v>3.0</v>
      </c>
      <c r="AP30" s="1">
        <v>4.0</v>
      </c>
      <c r="AQ30" s="1">
        <v>5.0</v>
      </c>
      <c r="AR30" s="1">
        <v>5.0</v>
      </c>
      <c r="AS30" s="1">
        <v>6.0</v>
      </c>
      <c r="AT30" s="1">
        <v>7.0</v>
      </c>
      <c r="AU30" s="1">
        <v>8.0</v>
      </c>
      <c r="AV30" s="1">
        <v>9.0</v>
      </c>
      <c r="AW30" s="1">
        <v>11.0</v>
      </c>
      <c r="AX30" s="1">
        <v>12.0</v>
      </c>
      <c r="AY30" s="1">
        <v>14.0</v>
      </c>
      <c r="AZ30" s="1">
        <v>16.0</v>
      </c>
      <c r="BA30" s="1">
        <v>19.0</v>
      </c>
      <c r="BB30" s="1">
        <v>22.0</v>
      </c>
      <c r="BC30" s="1">
        <v>25.0</v>
      </c>
      <c r="BD30" s="1">
        <v>28.0</v>
      </c>
      <c r="BE30" s="1">
        <v>33.0</v>
      </c>
      <c r="BF30" s="1">
        <v>38.0</v>
      </c>
      <c r="BG30" s="1">
        <v>43.0</v>
      </c>
      <c r="BH30" s="1">
        <v>50.0</v>
      </c>
      <c r="BI30" s="1" t="s">
        <v>123</v>
      </c>
      <c r="BJ30" s="1" t="s">
        <v>326</v>
      </c>
      <c r="BK30" s="1">
        <v>0.0</v>
      </c>
      <c r="BL30" s="9">
        <v>1.6</v>
      </c>
      <c r="BM30" s="9">
        <v>2.55</v>
      </c>
      <c r="BN30" s="9">
        <v>4.06</v>
      </c>
      <c r="BO30" s="9">
        <v>7.13</v>
      </c>
      <c r="BP30" s="9">
        <v>12.5</v>
      </c>
      <c r="BQ30" s="9">
        <v>22.0</v>
      </c>
      <c r="BR30" s="9">
        <v>42.5</v>
      </c>
      <c r="BS30" s="9">
        <v>90.2</v>
      </c>
      <c r="BT30" s="9">
        <v>191.0</v>
      </c>
      <c r="BU30" s="9">
        <v>445.0</v>
      </c>
      <c r="BV30" s="9">
        <v>1130.0</v>
      </c>
      <c r="BW30" s="9">
        <v>3140.0</v>
      </c>
      <c r="BX30" s="9">
        <v>9490.0</v>
      </c>
      <c r="BY30" s="9">
        <v>34000.0</v>
      </c>
      <c r="BZ30" s="9">
        <v>132000.0</v>
      </c>
      <c r="CA30" s="9">
        <v>605000.0</v>
      </c>
      <c r="CB30" s="9">
        <v>3240000.0</v>
      </c>
      <c r="CC30" s="9">
        <v>2.19E7</v>
      </c>
      <c r="CD30" s="9">
        <v>1.85E8</v>
      </c>
      <c r="CE30" s="9">
        <v>1.94E9</v>
      </c>
      <c r="CF30" s="9">
        <v>2.54E10</v>
      </c>
      <c r="CG30" s="9">
        <v>4.7E11</v>
      </c>
      <c r="CH30" s="9">
        <v>1.23E13</v>
      </c>
      <c r="CI30" s="9">
        <v>4.5E14</v>
      </c>
      <c r="CJ30" s="9">
        <v>2.63E16</v>
      </c>
      <c r="CK30" s="1" t="s">
        <v>328</v>
      </c>
      <c r="CL30" s="1">
        <v>0.0</v>
      </c>
      <c r="CM30" s="9">
        <v>1.2</v>
      </c>
      <c r="CN30" s="9">
        <v>1.38</v>
      </c>
      <c r="CO30" s="9">
        <v>1.58</v>
      </c>
      <c r="CP30" s="9">
        <v>1.94</v>
      </c>
      <c r="CQ30" s="9">
        <v>2.38</v>
      </c>
      <c r="CR30" s="9">
        <v>2.92</v>
      </c>
      <c r="CS30" s="9">
        <v>3.81</v>
      </c>
      <c r="CT30" s="9">
        <v>5.29</v>
      </c>
      <c r="CU30" s="9">
        <v>7.35</v>
      </c>
      <c r="CV30" s="9">
        <v>10.8</v>
      </c>
      <c r="CW30" s="9">
        <v>16.9</v>
      </c>
      <c r="CX30" s="9">
        <v>27.8</v>
      </c>
      <c r="CY30" s="9">
        <v>48.4</v>
      </c>
      <c r="CZ30" s="9">
        <v>93.3</v>
      </c>
      <c r="DA30" s="9">
        <v>189.0</v>
      </c>
      <c r="DB30" s="9">
        <v>421.0</v>
      </c>
      <c r="DC30" s="9">
        <v>1030.0</v>
      </c>
      <c r="DD30" s="9">
        <v>2840.0</v>
      </c>
      <c r="DE30" s="9">
        <v>8830.0</v>
      </c>
      <c r="DF30" s="9">
        <v>30800.0</v>
      </c>
      <c r="DG30" s="9">
        <v>119000.0</v>
      </c>
      <c r="DH30" s="9">
        <v>541000.0</v>
      </c>
      <c r="DI30" s="9">
        <v>2860000.0</v>
      </c>
      <c r="DJ30" s="9">
        <v>1.73E7</v>
      </c>
      <c r="DK30" s="9">
        <v>1.25E8</v>
      </c>
      <c r="DL30" s="1" t="s">
        <v>119</v>
      </c>
      <c r="DM30" s="1">
        <v>0.0</v>
      </c>
    </row>
    <row r="31">
      <c r="A31" s="1" t="s">
        <v>329</v>
      </c>
      <c r="B31" s="1" t="s">
        <v>323</v>
      </c>
      <c r="C31" s="1">
        <v>1.0</v>
      </c>
      <c r="D31" s="1">
        <v>3.0</v>
      </c>
      <c r="E31" s="1" t="s">
        <v>322</v>
      </c>
      <c r="F31" s="1" t="s">
        <v>127</v>
      </c>
      <c r="G31" s="1" t="s">
        <v>330</v>
      </c>
      <c r="H31" s="1" t="s">
        <v>331</v>
      </c>
      <c r="I31" s="1">
        <v>25.0</v>
      </c>
      <c r="J31" s="1">
        <v>400.0</v>
      </c>
      <c r="K31" s="1">
        <v>400.0</v>
      </c>
      <c r="L31" s="1">
        <v>400.0</v>
      </c>
      <c r="M31" s="1">
        <v>400.0</v>
      </c>
      <c r="N31" s="1">
        <v>400.0</v>
      </c>
      <c r="O31" s="1">
        <v>400.0</v>
      </c>
      <c r="P31" s="1">
        <v>400.0</v>
      </c>
      <c r="Q31" s="1">
        <v>400.0</v>
      </c>
      <c r="R31" s="1">
        <v>400.0</v>
      </c>
      <c r="S31" s="1">
        <v>400.0</v>
      </c>
      <c r="T31" s="1">
        <v>400.0</v>
      </c>
      <c r="U31" s="1">
        <v>400.0</v>
      </c>
      <c r="V31" s="1">
        <v>400.0</v>
      </c>
      <c r="W31" s="1">
        <v>400.0</v>
      </c>
      <c r="X31" s="1">
        <v>400.0</v>
      </c>
      <c r="Y31" s="1">
        <v>400.0</v>
      </c>
      <c r="Z31" s="1">
        <v>400.0</v>
      </c>
      <c r="AA31" s="1">
        <v>400.0</v>
      </c>
      <c r="AB31" s="1">
        <v>400.0</v>
      </c>
      <c r="AC31" s="1">
        <v>400.0</v>
      </c>
      <c r="AD31" s="1">
        <v>400.0</v>
      </c>
      <c r="AE31" s="1">
        <v>400.0</v>
      </c>
      <c r="AF31" s="1">
        <v>400.0</v>
      </c>
      <c r="AG31" s="1">
        <v>400.0</v>
      </c>
      <c r="AH31" s="1">
        <v>400.0</v>
      </c>
      <c r="AI31" s="1">
        <v>400.0</v>
      </c>
      <c r="AJ31" s="1">
        <v>1.0</v>
      </c>
      <c r="AK31" s="1">
        <v>2.0</v>
      </c>
      <c r="AL31" s="1">
        <v>2.0</v>
      </c>
      <c r="AM31" s="1">
        <v>3.0</v>
      </c>
      <c r="AN31" s="1">
        <v>3.0</v>
      </c>
      <c r="AO31" s="1">
        <v>3.0</v>
      </c>
      <c r="AP31" s="1">
        <v>4.0</v>
      </c>
      <c r="AQ31" s="1">
        <v>5.0</v>
      </c>
      <c r="AR31" s="1">
        <v>5.0</v>
      </c>
      <c r="AS31" s="1">
        <v>6.0</v>
      </c>
      <c r="AT31" s="1">
        <v>7.0</v>
      </c>
      <c r="AU31" s="1">
        <v>8.0</v>
      </c>
      <c r="AV31" s="1">
        <v>9.0</v>
      </c>
      <c r="AW31" s="1">
        <v>11.0</v>
      </c>
      <c r="AX31" s="1">
        <v>12.0</v>
      </c>
      <c r="AY31" s="1">
        <v>14.0</v>
      </c>
      <c r="AZ31" s="1">
        <v>16.0</v>
      </c>
      <c r="BA31" s="1">
        <v>19.0</v>
      </c>
      <c r="BB31" s="1">
        <v>22.0</v>
      </c>
      <c r="BC31" s="1">
        <v>25.0</v>
      </c>
      <c r="BD31" s="1">
        <v>28.0</v>
      </c>
      <c r="BE31" s="1">
        <v>33.0</v>
      </c>
      <c r="BF31" s="1">
        <v>38.0</v>
      </c>
      <c r="BG31" s="1">
        <v>43.0</v>
      </c>
      <c r="BH31" s="1">
        <v>50.0</v>
      </c>
      <c r="BI31" s="1" t="s">
        <v>123</v>
      </c>
      <c r="BJ31" s="1" t="s">
        <v>333</v>
      </c>
      <c r="BK31" s="1">
        <v>0.0</v>
      </c>
      <c r="BL31" s="9">
        <v>1.6</v>
      </c>
      <c r="BM31" s="9">
        <v>2.52</v>
      </c>
      <c r="BN31" s="9">
        <v>3.97</v>
      </c>
      <c r="BO31" s="9">
        <v>7.11</v>
      </c>
      <c r="BP31" s="9">
        <v>12.8</v>
      </c>
      <c r="BQ31" s="9">
        <v>22.9</v>
      </c>
      <c r="BR31" s="9">
        <v>46.6</v>
      </c>
      <c r="BS31" s="9">
        <v>107.0</v>
      </c>
      <c r="BT31" s="9">
        <v>248.0</v>
      </c>
      <c r="BU31" s="9">
        <v>644.0</v>
      </c>
      <c r="BV31" s="9">
        <v>1890.0</v>
      </c>
      <c r="BW31" s="9">
        <v>6210.0</v>
      </c>
      <c r="BX31" s="9">
        <v>22900.0</v>
      </c>
      <c r="BY31" s="9">
        <v>106000.0</v>
      </c>
      <c r="BZ31" s="9">
        <v>546000.0</v>
      </c>
      <c r="CA31" s="9">
        <v>3480000.0</v>
      </c>
      <c r="CB31" s="9">
        <v>2.74E7</v>
      </c>
      <c r="CC31" s="9">
        <v>2.93E8</v>
      </c>
      <c r="CD31" s="9">
        <v>4.23E9</v>
      </c>
      <c r="CE31" s="9">
        <v>8.15E10</v>
      </c>
      <c r="CF31" s="9">
        <v>2.1E12</v>
      </c>
      <c r="CG31" s="9">
        <v>8.6E13</v>
      </c>
      <c r="CH31" s="9">
        <v>5.6E15</v>
      </c>
      <c r="CI31" s="9">
        <v>5.73E17</v>
      </c>
      <c r="CJ31" s="9">
        <v>1.1E20</v>
      </c>
      <c r="CK31" s="1" t="s">
        <v>335</v>
      </c>
      <c r="CL31" s="1">
        <v>0.0</v>
      </c>
      <c r="CM31" s="1">
        <v>2.0</v>
      </c>
      <c r="CN31" s="1">
        <v>5.0</v>
      </c>
      <c r="CO31" s="1">
        <v>9.0</v>
      </c>
      <c r="CP31" s="1">
        <v>13.0</v>
      </c>
      <c r="CQ31" s="1">
        <v>18.0</v>
      </c>
      <c r="CR31" s="1">
        <v>24.0</v>
      </c>
      <c r="CS31" s="1">
        <v>33.0</v>
      </c>
      <c r="CT31" s="1">
        <v>41.0</v>
      </c>
      <c r="CU31" s="1">
        <v>53.0</v>
      </c>
      <c r="CV31" s="1">
        <v>66.0</v>
      </c>
      <c r="CW31" s="1">
        <v>83.0</v>
      </c>
      <c r="CX31" s="1">
        <v>102.0</v>
      </c>
      <c r="CY31" s="1">
        <v>127.0</v>
      </c>
      <c r="CZ31" s="1">
        <v>155.0</v>
      </c>
      <c r="DA31" s="1">
        <v>190.0</v>
      </c>
      <c r="DB31" s="1">
        <v>231.0</v>
      </c>
      <c r="DC31" s="1">
        <v>283.0</v>
      </c>
      <c r="DD31" s="1">
        <v>347.0</v>
      </c>
      <c r="DE31" s="1">
        <v>422.0</v>
      </c>
      <c r="DF31" s="1">
        <v>510.0</v>
      </c>
      <c r="DG31" s="1">
        <v>620.0</v>
      </c>
      <c r="DH31" s="1">
        <v>752.0</v>
      </c>
      <c r="DI31" s="1">
        <v>908.0</v>
      </c>
      <c r="DJ31" s="1">
        <v>1100.0</v>
      </c>
      <c r="DK31" s="1">
        <v>1328.0</v>
      </c>
      <c r="DL31" s="1" t="s">
        <v>119</v>
      </c>
      <c r="DM31" s="1">
        <v>0.0</v>
      </c>
    </row>
    <row r="32">
      <c r="A32" s="1" t="s">
        <v>336</v>
      </c>
      <c r="B32" s="1" t="s">
        <v>323</v>
      </c>
      <c r="C32" s="1">
        <v>2.0</v>
      </c>
      <c r="D32" s="1">
        <v>3.0</v>
      </c>
      <c r="E32" s="1" t="s">
        <v>322</v>
      </c>
      <c r="F32" s="1" t="s">
        <v>127</v>
      </c>
      <c r="G32" s="1" t="s">
        <v>337</v>
      </c>
      <c r="H32" s="1" t="s">
        <v>338</v>
      </c>
      <c r="I32" s="1">
        <v>10.0</v>
      </c>
      <c r="J32" s="1">
        <v>400.0</v>
      </c>
      <c r="K32" s="1">
        <v>400.0</v>
      </c>
      <c r="L32" s="1">
        <v>400.0</v>
      </c>
      <c r="M32" s="1">
        <v>400.0</v>
      </c>
      <c r="N32" s="1">
        <v>400.0</v>
      </c>
      <c r="O32" s="1">
        <v>400.0</v>
      </c>
      <c r="P32" s="1">
        <v>400.0</v>
      </c>
      <c r="Q32" s="1">
        <v>400.0</v>
      </c>
      <c r="R32" s="1">
        <v>400.0</v>
      </c>
      <c r="S32" s="1">
        <v>400.0</v>
      </c>
      <c r="T32" s="1">
        <v>400.0</v>
      </c>
      <c r="U32" s="1" t="s">
        <v>123</v>
      </c>
      <c r="V32" s="1" t="s">
        <v>123</v>
      </c>
      <c r="W32" s="1" t="s">
        <v>123</v>
      </c>
      <c r="X32" s="1" t="s">
        <v>123</v>
      </c>
      <c r="Y32" s="1" t="s">
        <v>123</v>
      </c>
      <c r="Z32" s="1" t="s">
        <v>123</v>
      </c>
      <c r="AA32" s="1" t="s">
        <v>123</v>
      </c>
      <c r="AB32" s="1" t="s">
        <v>123</v>
      </c>
      <c r="AC32" s="1" t="s">
        <v>123</v>
      </c>
      <c r="AD32" s="1" t="s">
        <v>123</v>
      </c>
      <c r="AE32" s="1" t="s">
        <v>123</v>
      </c>
      <c r="AF32" s="1" t="s">
        <v>123</v>
      </c>
      <c r="AG32" s="1" t="s">
        <v>123</v>
      </c>
      <c r="AH32" s="1" t="s">
        <v>123</v>
      </c>
      <c r="AI32" s="1" t="s">
        <v>123</v>
      </c>
      <c r="AJ32" s="1">
        <v>1.0</v>
      </c>
      <c r="AK32" s="1">
        <v>2.0</v>
      </c>
      <c r="AL32" s="1">
        <v>2.0</v>
      </c>
      <c r="AM32" s="1">
        <v>3.0</v>
      </c>
      <c r="AN32" s="1">
        <v>3.0</v>
      </c>
      <c r="AO32" s="1">
        <v>3.0</v>
      </c>
      <c r="AP32" s="1">
        <v>4.0</v>
      </c>
      <c r="AQ32" s="1">
        <v>5.0</v>
      </c>
      <c r="AR32" s="1">
        <v>5.0</v>
      </c>
      <c r="AS32" s="1">
        <v>6.0</v>
      </c>
      <c r="AT32" s="1" t="s">
        <v>123</v>
      </c>
      <c r="AU32" s="1" t="s">
        <v>123</v>
      </c>
      <c r="AV32" s="1" t="s">
        <v>123</v>
      </c>
      <c r="AW32" s="1" t="s">
        <v>123</v>
      </c>
      <c r="AX32" s="1" t="s">
        <v>123</v>
      </c>
      <c r="AY32" s="1" t="s">
        <v>123</v>
      </c>
      <c r="AZ32" s="1" t="s">
        <v>123</v>
      </c>
      <c r="BA32" s="1" t="s">
        <v>123</v>
      </c>
      <c r="BB32" s="1" t="s">
        <v>123</v>
      </c>
      <c r="BC32" s="1" t="s">
        <v>123</v>
      </c>
      <c r="BD32" s="1" t="s">
        <v>123</v>
      </c>
      <c r="BE32" s="1" t="s">
        <v>123</v>
      </c>
      <c r="BF32" s="1" t="s">
        <v>123</v>
      </c>
      <c r="BG32" s="1" t="s">
        <v>123</v>
      </c>
      <c r="BH32" s="1" t="s">
        <v>123</v>
      </c>
      <c r="BI32" s="1" t="s">
        <v>123</v>
      </c>
      <c r="BJ32" s="1" t="s">
        <v>339</v>
      </c>
      <c r="BK32" s="1">
        <v>0.0</v>
      </c>
      <c r="BL32" s="9">
        <v>1.0</v>
      </c>
      <c r="BM32" s="9">
        <v>2.25</v>
      </c>
      <c r="BN32" s="9">
        <v>4.43</v>
      </c>
      <c r="BO32" s="9">
        <v>9.98</v>
      </c>
      <c r="BP32" s="9">
        <v>21.9</v>
      </c>
      <c r="BQ32" s="9">
        <v>47.3</v>
      </c>
      <c r="BR32" s="9">
        <v>123.0</v>
      </c>
      <c r="BS32" s="9">
        <v>381.0</v>
      </c>
      <c r="BT32" s="9">
        <v>1180.0</v>
      </c>
      <c r="BU32" s="9">
        <v>4360.0</v>
      </c>
      <c r="BV32" s="1" t="s">
        <v>123</v>
      </c>
      <c r="BW32" s="1" t="s">
        <v>123</v>
      </c>
      <c r="BX32" s="1" t="s">
        <v>123</v>
      </c>
      <c r="BY32" s="1" t="s">
        <v>123</v>
      </c>
      <c r="BZ32" s="1" t="s">
        <v>123</v>
      </c>
      <c r="CA32" s="1" t="s">
        <v>123</v>
      </c>
      <c r="CB32" s="1" t="s">
        <v>123</v>
      </c>
      <c r="CC32" s="1" t="s">
        <v>123</v>
      </c>
      <c r="CD32" s="1" t="s">
        <v>123</v>
      </c>
      <c r="CE32" s="1" t="s">
        <v>123</v>
      </c>
      <c r="CF32" s="1" t="s">
        <v>123</v>
      </c>
      <c r="CG32" s="1" t="s">
        <v>123</v>
      </c>
      <c r="CH32" s="1" t="s">
        <v>123</v>
      </c>
      <c r="CI32" s="1" t="s">
        <v>123</v>
      </c>
      <c r="CJ32" s="1" t="s">
        <v>123</v>
      </c>
      <c r="CK32" s="1" t="s">
        <v>340</v>
      </c>
      <c r="CL32" s="1">
        <v>0.0</v>
      </c>
      <c r="CM32" s="1">
        <v>0.0</v>
      </c>
      <c r="CN32" s="1">
        <v>0.05</v>
      </c>
      <c r="CO32" s="1">
        <v>0.1</v>
      </c>
      <c r="CP32" s="1">
        <v>0.2</v>
      </c>
      <c r="CQ32" s="1">
        <v>0.3</v>
      </c>
      <c r="CR32" s="1">
        <v>0.42</v>
      </c>
      <c r="CS32" s="1">
        <v>0.54</v>
      </c>
      <c r="CT32" s="1">
        <v>0.66</v>
      </c>
      <c r="CU32" s="1">
        <v>0.78</v>
      </c>
      <c r="CV32" s="1">
        <v>0.9</v>
      </c>
      <c r="CW32" s="1" t="s">
        <v>123</v>
      </c>
      <c r="CX32" s="1" t="s">
        <v>123</v>
      </c>
      <c r="CY32" s="1" t="s">
        <v>123</v>
      </c>
      <c r="CZ32" s="1" t="s">
        <v>123</v>
      </c>
      <c r="DA32" s="1" t="s">
        <v>123</v>
      </c>
      <c r="DB32" s="1" t="s">
        <v>123</v>
      </c>
      <c r="DC32" s="1" t="s">
        <v>123</v>
      </c>
      <c r="DD32" s="1" t="s">
        <v>123</v>
      </c>
      <c r="DE32" s="1" t="s">
        <v>123</v>
      </c>
      <c r="DF32" s="1" t="s">
        <v>123</v>
      </c>
      <c r="DG32" s="1" t="s">
        <v>123</v>
      </c>
      <c r="DH32" s="1" t="s">
        <v>123</v>
      </c>
      <c r="DI32" s="1" t="s">
        <v>123</v>
      </c>
      <c r="DJ32" s="1" t="s">
        <v>123</v>
      </c>
      <c r="DK32" s="1" t="s">
        <v>123</v>
      </c>
      <c r="DL32" s="1" t="s">
        <v>341</v>
      </c>
      <c r="DM32" s="1">
        <v>0.99</v>
      </c>
    </row>
    <row r="33">
      <c r="A33" s="1" t="s">
        <v>342</v>
      </c>
      <c r="B33" s="1" t="s">
        <v>323</v>
      </c>
      <c r="C33" s="1">
        <v>3.0</v>
      </c>
      <c r="D33" s="1">
        <v>3.0</v>
      </c>
      <c r="E33" s="1" t="s">
        <v>322</v>
      </c>
      <c r="F33" s="1" t="s">
        <v>127</v>
      </c>
      <c r="G33" s="1" t="s">
        <v>343</v>
      </c>
      <c r="H33" s="1" t="s">
        <v>344</v>
      </c>
      <c r="I33" s="1">
        <v>10.0</v>
      </c>
      <c r="J33" s="1">
        <v>400.0</v>
      </c>
      <c r="K33" s="1">
        <v>400.0</v>
      </c>
      <c r="L33" s="1">
        <v>400.0</v>
      </c>
      <c r="M33" s="1">
        <v>400.0</v>
      </c>
      <c r="N33" s="1">
        <v>400.0</v>
      </c>
      <c r="O33" s="1">
        <v>400.0</v>
      </c>
      <c r="P33" s="1">
        <v>400.0</v>
      </c>
      <c r="Q33" s="1">
        <v>400.0</v>
      </c>
      <c r="R33" s="1">
        <v>400.0</v>
      </c>
      <c r="S33" s="1">
        <v>400.0</v>
      </c>
      <c r="T33" s="1">
        <v>400.0</v>
      </c>
      <c r="U33" s="1" t="s">
        <v>123</v>
      </c>
      <c r="V33" s="1" t="s">
        <v>123</v>
      </c>
      <c r="W33" s="1" t="s">
        <v>123</v>
      </c>
      <c r="X33" s="1" t="s">
        <v>123</v>
      </c>
      <c r="Y33" s="1" t="s">
        <v>123</v>
      </c>
      <c r="Z33" s="1" t="s">
        <v>123</v>
      </c>
      <c r="AA33" s="1" t="s">
        <v>123</v>
      </c>
      <c r="AB33" s="1" t="s">
        <v>123</v>
      </c>
      <c r="AC33" s="1" t="s">
        <v>123</v>
      </c>
      <c r="AD33" s="1" t="s">
        <v>123</v>
      </c>
      <c r="AE33" s="1" t="s">
        <v>123</v>
      </c>
      <c r="AF33" s="1" t="s">
        <v>123</v>
      </c>
      <c r="AG33" s="1" t="s">
        <v>123</v>
      </c>
      <c r="AH33" s="1" t="s">
        <v>123</v>
      </c>
      <c r="AI33" s="1" t="s">
        <v>123</v>
      </c>
      <c r="AJ33" s="1">
        <v>1.0</v>
      </c>
      <c r="AK33" s="1">
        <v>2.0</v>
      </c>
      <c r="AL33" s="1">
        <v>2.0</v>
      </c>
      <c r="AM33" s="1">
        <v>3.0</v>
      </c>
      <c r="AN33" s="1">
        <v>3.0</v>
      </c>
      <c r="AO33" s="1">
        <v>3.0</v>
      </c>
      <c r="AP33" s="1">
        <v>4.0</v>
      </c>
      <c r="AQ33" s="1">
        <v>5.0</v>
      </c>
      <c r="AR33" s="1">
        <v>5.0</v>
      </c>
      <c r="AS33" s="1">
        <v>6.0</v>
      </c>
      <c r="AT33" s="1" t="s">
        <v>123</v>
      </c>
      <c r="AU33" s="1" t="s">
        <v>123</v>
      </c>
      <c r="AV33" s="1" t="s">
        <v>123</v>
      </c>
      <c r="AW33" s="1" t="s">
        <v>123</v>
      </c>
      <c r="AX33" s="1" t="s">
        <v>123</v>
      </c>
      <c r="AY33" s="1" t="s">
        <v>123</v>
      </c>
      <c r="AZ33" s="1" t="s">
        <v>123</v>
      </c>
      <c r="BA33" s="1" t="s">
        <v>123</v>
      </c>
      <c r="BB33" s="1" t="s">
        <v>123</v>
      </c>
      <c r="BC33" s="1" t="s">
        <v>123</v>
      </c>
      <c r="BD33" s="1" t="s">
        <v>123</v>
      </c>
      <c r="BE33" s="1" t="s">
        <v>123</v>
      </c>
      <c r="BF33" s="1" t="s">
        <v>123</v>
      </c>
      <c r="BG33" s="1" t="s">
        <v>123</v>
      </c>
      <c r="BH33" s="1" t="s">
        <v>123</v>
      </c>
      <c r="BI33" s="1" t="s">
        <v>123</v>
      </c>
      <c r="BJ33" s="1" t="s">
        <v>346</v>
      </c>
      <c r="BK33" s="1">
        <v>0.0</v>
      </c>
      <c r="BL33" s="1">
        <v>1.0</v>
      </c>
      <c r="BM33" s="1">
        <v>2.0</v>
      </c>
      <c r="BN33" s="1">
        <v>4.0</v>
      </c>
      <c r="BO33" s="1">
        <v>6.0</v>
      </c>
      <c r="BP33" s="1">
        <v>8.0</v>
      </c>
      <c r="BQ33" s="1">
        <v>10.0</v>
      </c>
      <c r="BR33" s="1">
        <v>12.0</v>
      </c>
      <c r="BS33" s="1">
        <v>14.0</v>
      </c>
      <c r="BT33" s="1">
        <v>16.0</v>
      </c>
      <c r="BU33" s="1">
        <v>20.0</v>
      </c>
      <c r="BV33" s="1" t="s">
        <v>123</v>
      </c>
      <c r="BW33" s="1" t="s">
        <v>123</v>
      </c>
      <c r="BX33" s="1" t="s">
        <v>123</v>
      </c>
      <c r="BY33" s="1" t="s">
        <v>123</v>
      </c>
      <c r="BZ33" s="1" t="s">
        <v>123</v>
      </c>
      <c r="CA33" s="1" t="s">
        <v>123</v>
      </c>
      <c r="CB33" s="1" t="s">
        <v>123</v>
      </c>
      <c r="CC33" s="1" t="s">
        <v>123</v>
      </c>
      <c r="CD33" s="1" t="s">
        <v>123</v>
      </c>
      <c r="CE33" s="1" t="s">
        <v>123</v>
      </c>
      <c r="CF33" s="1" t="s">
        <v>123</v>
      </c>
      <c r="CG33" s="1" t="s">
        <v>123</v>
      </c>
      <c r="CH33" s="1" t="s">
        <v>123</v>
      </c>
      <c r="CI33" s="1" t="s">
        <v>123</v>
      </c>
      <c r="CJ33" s="1" t="s">
        <v>123</v>
      </c>
      <c r="CK33" s="1" t="s">
        <v>342</v>
      </c>
      <c r="CL33" s="1">
        <v>0.0</v>
      </c>
      <c r="CM33" s="1">
        <v>0.01</v>
      </c>
      <c r="CN33" s="1">
        <v>0.016</v>
      </c>
      <c r="CO33" s="1">
        <v>0.024</v>
      </c>
      <c r="CP33" s="1">
        <v>0.036</v>
      </c>
      <c r="CQ33" s="1">
        <v>0.052</v>
      </c>
      <c r="CR33" s="1">
        <v>0.075</v>
      </c>
      <c r="CS33" s="1">
        <v>0.107</v>
      </c>
      <c r="CT33" s="1">
        <v>0.151</v>
      </c>
      <c r="CU33" s="1">
        <v>0.213</v>
      </c>
      <c r="CV33" s="1">
        <v>0.3</v>
      </c>
      <c r="CW33" s="1" t="s">
        <v>123</v>
      </c>
      <c r="CX33" s="1" t="s">
        <v>123</v>
      </c>
      <c r="CY33" s="1" t="s">
        <v>123</v>
      </c>
      <c r="CZ33" s="1" t="s">
        <v>123</v>
      </c>
      <c r="DA33" s="1" t="s">
        <v>123</v>
      </c>
      <c r="DB33" s="1" t="s">
        <v>123</v>
      </c>
      <c r="DC33" s="1" t="s">
        <v>123</v>
      </c>
      <c r="DD33" s="1" t="s">
        <v>123</v>
      </c>
      <c r="DE33" s="1" t="s">
        <v>123</v>
      </c>
      <c r="DF33" s="1" t="s">
        <v>123</v>
      </c>
      <c r="DG33" s="1" t="s">
        <v>123</v>
      </c>
      <c r="DH33" s="1" t="s">
        <v>123</v>
      </c>
      <c r="DI33" s="1" t="s">
        <v>123</v>
      </c>
      <c r="DJ33" s="1" t="s">
        <v>123</v>
      </c>
      <c r="DK33" s="1" t="s">
        <v>123</v>
      </c>
      <c r="DL33" s="1" t="s">
        <v>119</v>
      </c>
      <c r="DM33" s="1">
        <v>0.0</v>
      </c>
    </row>
    <row r="34">
      <c r="A34" s="1" t="s">
        <v>347</v>
      </c>
      <c r="B34" s="1" t="s">
        <v>323</v>
      </c>
      <c r="C34" s="1">
        <v>4.0</v>
      </c>
      <c r="D34" s="1">
        <v>20.0</v>
      </c>
      <c r="E34" s="1" t="s">
        <v>329</v>
      </c>
      <c r="F34" s="1" t="s">
        <v>144</v>
      </c>
      <c r="G34" s="1" t="s">
        <v>348</v>
      </c>
      <c r="H34" s="1" t="s">
        <v>349</v>
      </c>
      <c r="I34" s="1">
        <v>10.0</v>
      </c>
      <c r="J34" s="1">
        <v>800.0</v>
      </c>
      <c r="K34" s="1">
        <v>800.0</v>
      </c>
      <c r="L34" s="1">
        <v>800.0</v>
      </c>
      <c r="M34" s="1">
        <v>800.0</v>
      </c>
      <c r="N34" s="1">
        <v>800.0</v>
      </c>
      <c r="O34" s="1">
        <v>800.0</v>
      </c>
      <c r="P34" s="1">
        <v>800.0</v>
      </c>
      <c r="Q34" s="1">
        <v>800.0</v>
      </c>
      <c r="R34" s="1">
        <v>800.0</v>
      </c>
      <c r="S34" s="1">
        <v>800.0</v>
      </c>
      <c r="T34" s="1">
        <v>800.0</v>
      </c>
      <c r="U34" s="1" t="s">
        <v>123</v>
      </c>
      <c r="V34" s="1" t="s">
        <v>123</v>
      </c>
      <c r="W34" s="1" t="s">
        <v>123</v>
      </c>
      <c r="X34" s="1" t="s">
        <v>123</v>
      </c>
      <c r="Y34" s="1" t="s">
        <v>123</v>
      </c>
      <c r="Z34" s="1" t="s">
        <v>123</v>
      </c>
      <c r="AA34" s="1" t="s">
        <v>123</v>
      </c>
      <c r="AB34" s="1" t="s">
        <v>123</v>
      </c>
      <c r="AC34" s="1" t="s">
        <v>123</v>
      </c>
      <c r="AD34" s="1" t="s">
        <v>123</v>
      </c>
      <c r="AE34" s="1" t="s">
        <v>123</v>
      </c>
      <c r="AF34" s="1" t="s">
        <v>123</v>
      </c>
      <c r="AG34" s="1" t="s">
        <v>123</v>
      </c>
      <c r="AH34" s="1" t="s">
        <v>123</v>
      </c>
      <c r="AI34" s="1" t="s">
        <v>123</v>
      </c>
      <c r="AJ34" s="1">
        <v>2.0</v>
      </c>
      <c r="AK34" s="1">
        <v>2.0</v>
      </c>
      <c r="AL34" s="1">
        <v>3.0</v>
      </c>
      <c r="AM34" s="1">
        <v>3.0</v>
      </c>
      <c r="AN34" s="1">
        <v>3.0</v>
      </c>
      <c r="AO34" s="1">
        <v>4.0</v>
      </c>
      <c r="AP34" s="1">
        <v>5.0</v>
      </c>
      <c r="AQ34" s="1">
        <v>5.0</v>
      </c>
      <c r="AR34" s="1">
        <v>6.0</v>
      </c>
      <c r="AS34" s="1">
        <v>7.0</v>
      </c>
      <c r="AT34" s="1" t="s">
        <v>123</v>
      </c>
      <c r="AU34" s="1" t="s">
        <v>123</v>
      </c>
      <c r="AV34" s="1" t="s">
        <v>123</v>
      </c>
      <c r="AW34" s="1" t="s">
        <v>123</v>
      </c>
      <c r="AX34" s="1" t="s">
        <v>123</v>
      </c>
      <c r="AY34" s="1" t="s">
        <v>123</v>
      </c>
      <c r="AZ34" s="1" t="s">
        <v>123</v>
      </c>
      <c r="BA34" s="1" t="s">
        <v>123</v>
      </c>
      <c r="BB34" s="1" t="s">
        <v>123</v>
      </c>
      <c r="BC34" s="1" t="s">
        <v>123</v>
      </c>
      <c r="BD34" s="1" t="s">
        <v>123</v>
      </c>
      <c r="BE34" s="1" t="s">
        <v>123</v>
      </c>
      <c r="BF34" s="1" t="s">
        <v>123</v>
      </c>
      <c r="BG34" s="1" t="s">
        <v>123</v>
      </c>
      <c r="BH34" s="1" t="s">
        <v>123</v>
      </c>
      <c r="BI34" s="1" t="s">
        <v>123</v>
      </c>
      <c r="BJ34" s="1" t="s">
        <v>350</v>
      </c>
      <c r="BK34" s="1">
        <v>0.0</v>
      </c>
      <c r="BL34" s="1">
        <v>0.01</v>
      </c>
      <c r="BM34" s="1">
        <v>0.03</v>
      </c>
      <c r="BN34" s="1">
        <v>0.128</v>
      </c>
      <c r="BO34" s="1">
        <v>0.541</v>
      </c>
      <c r="BP34" s="1">
        <v>2.29</v>
      </c>
      <c r="BQ34" s="1">
        <v>13.0</v>
      </c>
      <c r="BR34" s="1">
        <v>96.0</v>
      </c>
      <c r="BS34" s="1">
        <v>706.0</v>
      </c>
      <c r="BT34" s="1">
        <v>6551.0</v>
      </c>
      <c r="BU34" s="1">
        <v>75000.0</v>
      </c>
      <c r="BV34" s="1" t="s">
        <v>123</v>
      </c>
      <c r="BW34" s="1" t="s">
        <v>123</v>
      </c>
      <c r="BX34" s="1" t="s">
        <v>123</v>
      </c>
      <c r="BY34" s="1" t="s">
        <v>123</v>
      </c>
      <c r="BZ34" s="1" t="s">
        <v>123</v>
      </c>
      <c r="CA34" s="1" t="s">
        <v>123</v>
      </c>
      <c r="CB34" s="1" t="s">
        <v>123</v>
      </c>
      <c r="CC34" s="1" t="s">
        <v>123</v>
      </c>
      <c r="CD34" s="1" t="s">
        <v>123</v>
      </c>
      <c r="CE34" s="1" t="s">
        <v>123</v>
      </c>
      <c r="CF34" s="1" t="s">
        <v>123</v>
      </c>
      <c r="CG34" s="1" t="s">
        <v>123</v>
      </c>
      <c r="CH34" s="1" t="s">
        <v>123</v>
      </c>
      <c r="CI34" s="1" t="s">
        <v>123</v>
      </c>
      <c r="CJ34" s="1" t="s">
        <v>123</v>
      </c>
      <c r="CK34" s="1" t="s">
        <v>351</v>
      </c>
      <c r="CL34" s="1">
        <v>0.0</v>
      </c>
      <c r="CM34" s="1">
        <v>1.0</v>
      </c>
      <c r="CN34" s="1">
        <v>1.3</v>
      </c>
      <c r="CO34" s="1">
        <v>1.9</v>
      </c>
      <c r="CP34" s="1">
        <v>2.7</v>
      </c>
      <c r="CQ34" s="1">
        <v>3.8</v>
      </c>
      <c r="CR34" s="1">
        <v>5.8</v>
      </c>
      <c r="CS34" s="1">
        <v>9.5</v>
      </c>
      <c r="CT34" s="1">
        <v>15.5</v>
      </c>
      <c r="CU34" s="1">
        <v>26.9</v>
      </c>
      <c r="CV34" s="1">
        <v>50.0</v>
      </c>
      <c r="CW34" s="1" t="s">
        <v>123</v>
      </c>
      <c r="CX34" s="1" t="s">
        <v>123</v>
      </c>
      <c r="CY34" s="1" t="s">
        <v>123</v>
      </c>
      <c r="CZ34" s="1" t="s">
        <v>123</v>
      </c>
      <c r="DA34" s="1" t="s">
        <v>123</v>
      </c>
      <c r="DB34" s="1" t="s">
        <v>123</v>
      </c>
      <c r="DC34" s="1" t="s">
        <v>123</v>
      </c>
      <c r="DD34" s="1" t="s">
        <v>123</v>
      </c>
      <c r="DE34" s="1" t="s">
        <v>123</v>
      </c>
      <c r="DF34" s="1" t="s">
        <v>123</v>
      </c>
      <c r="DG34" s="1" t="s">
        <v>123</v>
      </c>
      <c r="DH34" s="1" t="s">
        <v>123</v>
      </c>
      <c r="DI34" s="1" t="s">
        <v>123</v>
      </c>
      <c r="DJ34" s="1" t="s">
        <v>123</v>
      </c>
      <c r="DK34" s="1" t="s">
        <v>123</v>
      </c>
      <c r="DL34" s="1" t="s">
        <v>119</v>
      </c>
      <c r="DM34" s="1">
        <v>0.0</v>
      </c>
    </row>
    <row r="35">
      <c r="A35" s="1" t="s">
        <v>353</v>
      </c>
      <c r="B35" s="1" t="s">
        <v>323</v>
      </c>
      <c r="C35" s="1">
        <v>5.0</v>
      </c>
      <c r="D35" s="1">
        <v>20.0</v>
      </c>
      <c r="E35" s="1" t="s">
        <v>336</v>
      </c>
      <c r="F35" s="1" t="s">
        <v>144</v>
      </c>
      <c r="G35" s="1" t="s">
        <v>354</v>
      </c>
      <c r="H35" s="1" t="s">
        <v>355</v>
      </c>
      <c r="I35" s="1">
        <v>10.0</v>
      </c>
      <c r="J35" s="1">
        <v>800.0</v>
      </c>
      <c r="K35" s="1">
        <v>800.0</v>
      </c>
      <c r="L35" s="1">
        <v>800.0</v>
      </c>
      <c r="M35" s="1">
        <v>800.0</v>
      </c>
      <c r="N35" s="1">
        <v>800.0</v>
      </c>
      <c r="O35" s="1">
        <v>800.0</v>
      </c>
      <c r="P35" s="1">
        <v>800.0</v>
      </c>
      <c r="Q35" s="1">
        <v>800.0</v>
      </c>
      <c r="R35" s="1">
        <v>800.0</v>
      </c>
      <c r="S35" s="1">
        <v>800.0</v>
      </c>
      <c r="T35" s="1">
        <v>800.0</v>
      </c>
      <c r="U35" s="1" t="s">
        <v>123</v>
      </c>
      <c r="V35" s="1" t="s">
        <v>123</v>
      </c>
      <c r="W35" s="1" t="s">
        <v>123</v>
      </c>
      <c r="X35" s="1" t="s">
        <v>123</v>
      </c>
      <c r="Y35" s="1" t="s">
        <v>123</v>
      </c>
      <c r="Z35" s="1" t="s">
        <v>123</v>
      </c>
      <c r="AA35" s="1" t="s">
        <v>123</v>
      </c>
      <c r="AB35" s="1" t="s">
        <v>123</v>
      </c>
      <c r="AC35" s="1" t="s">
        <v>123</v>
      </c>
      <c r="AD35" s="1" t="s">
        <v>123</v>
      </c>
      <c r="AE35" s="1" t="s">
        <v>123</v>
      </c>
      <c r="AF35" s="1" t="s">
        <v>123</v>
      </c>
      <c r="AG35" s="1" t="s">
        <v>123</v>
      </c>
      <c r="AH35" s="1" t="s">
        <v>123</v>
      </c>
      <c r="AI35" s="1" t="s">
        <v>123</v>
      </c>
      <c r="AJ35" s="1">
        <v>2.0</v>
      </c>
      <c r="AK35" s="1">
        <v>2.0</v>
      </c>
      <c r="AL35" s="1">
        <v>3.0</v>
      </c>
      <c r="AM35" s="1">
        <v>3.0</v>
      </c>
      <c r="AN35" s="1">
        <v>3.0</v>
      </c>
      <c r="AO35" s="1">
        <v>4.0</v>
      </c>
      <c r="AP35" s="1">
        <v>5.0</v>
      </c>
      <c r="AQ35" s="1">
        <v>5.0</v>
      </c>
      <c r="AR35" s="1">
        <v>6.0</v>
      </c>
      <c r="AS35" s="1">
        <v>7.0</v>
      </c>
      <c r="AT35" s="1" t="s">
        <v>123</v>
      </c>
      <c r="AU35" s="1" t="s">
        <v>123</v>
      </c>
      <c r="AV35" s="1" t="s">
        <v>123</v>
      </c>
      <c r="AW35" s="1" t="s">
        <v>123</v>
      </c>
      <c r="AX35" s="1" t="s">
        <v>123</v>
      </c>
      <c r="AY35" s="1" t="s">
        <v>123</v>
      </c>
      <c r="AZ35" s="1" t="s">
        <v>123</v>
      </c>
      <c r="BA35" s="1" t="s">
        <v>123</v>
      </c>
      <c r="BB35" s="1" t="s">
        <v>123</v>
      </c>
      <c r="BC35" s="1" t="s">
        <v>123</v>
      </c>
      <c r="BD35" s="1" t="s">
        <v>123</v>
      </c>
      <c r="BE35" s="1" t="s">
        <v>123</v>
      </c>
      <c r="BF35" s="1" t="s">
        <v>123</v>
      </c>
      <c r="BG35" s="1" t="s">
        <v>123</v>
      </c>
      <c r="BH35" s="1" t="s">
        <v>123</v>
      </c>
      <c r="BI35" s="1" t="s">
        <v>123</v>
      </c>
      <c r="BJ35" s="1" t="s">
        <v>356</v>
      </c>
      <c r="BK35" s="1">
        <v>0.0</v>
      </c>
      <c r="BL35" s="1">
        <v>0.01</v>
      </c>
      <c r="BM35" s="1">
        <v>0.03</v>
      </c>
      <c r="BN35" s="1">
        <v>0.128</v>
      </c>
      <c r="BO35" s="1">
        <v>0.541</v>
      </c>
      <c r="BP35" s="1">
        <v>2.29</v>
      </c>
      <c r="BQ35" s="1">
        <v>13.0</v>
      </c>
      <c r="BR35" s="1">
        <v>96.0</v>
      </c>
      <c r="BS35" s="1">
        <v>706.0</v>
      </c>
      <c r="BT35" s="1">
        <v>6551.0</v>
      </c>
      <c r="BU35" s="1">
        <v>75000.0</v>
      </c>
      <c r="BV35" s="1" t="s">
        <v>123</v>
      </c>
      <c r="BW35" s="1" t="s">
        <v>123</v>
      </c>
      <c r="BX35" s="1" t="s">
        <v>123</v>
      </c>
      <c r="BY35" s="1" t="s">
        <v>123</v>
      </c>
      <c r="BZ35" s="1" t="s">
        <v>123</v>
      </c>
      <c r="CA35" s="1" t="s">
        <v>123</v>
      </c>
      <c r="CB35" s="1" t="s">
        <v>123</v>
      </c>
      <c r="CC35" s="1" t="s">
        <v>123</v>
      </c>
      <c r="CD35" s="1" t="s">
        <v>123</v>
      </c>
      <c r="CE35" s="1" t="s">
        <v>123</v>
      </c>
      <c r="CF35" s="1" t="s">
        <v>123</v>
      </c>
      <c r="CG35" s="1" t="s">
        <v>123</v>
      </c>
      <c r="CH35" s="1" t="s">
        <v>123</v>
      </c>
      <c r="CI35" s="1" t="s">
        <v>123</v>
      </c>
      <c r="CJ35" s="1" t="s">
        <v>123</v>
      </c>
      <c r="CK35" s="1" t="s">
        <v>357</v>
      </c>
      <c r="CL35" s="1">
        <v>0.0</v>
      </c>
      <c r="CM35" s="1">
        <v>1.0</v>
      </c>
      <c r="CN35" s="1">
        <v>1.3</v>
      </c>
      <c r="CO35" s="1">
        <v>1.9</v>
      </c>
      <c r="CP35" s="1">
        <v>2.7</v>
      </c>
      <c r="CQ35" s="1">
        <v>3.8</v>
      </c>
      <c r="CR35" s="1">
        <v>5.8</v>
      </c>
      <c r="CS35" s="1">
        <v>9.5</v>
      </c>
      <c r="CT35" s="1">
        <v>15.5</v>
      </c>
      <c r="CU35" s="1">
        <v>26.9</v>
      </c>
      <c r="CV35" s="1">
        <v>50.0</v>
      </c>
      <c r="CW35" s="1" t="s">
        <v>123</v>
      </c>
      <c r="CX35" s="1" t="s">
        <v>123</v>
      </c>
      <c r="CY35" s="1" t="s">
        <v>123</v>
      </c>
      <c r="CZ35" s="1" t="s">
        <v>123</v>
      </c>
      <c r="DA35" s="1" t="s">
        <v>123</v>
      </c>
      <c r="DB35" s="1" t="s">
        <v>123</v>
      </c>
      <c r="DC35" s="1" t="s">
        <v>123</v>
      </c>
      <c r="DD35" s="1" t="s">
        <v>123</v>
      </c>
      <c r="DE35" s="1" t="s">
        <v>123</v>
      </c>
      <c r="DF35" s="1" t="s">
        <v>123</v>
      </c>
      <c r="DG35" s="1" t="s">
        <v>123</v>
      </c>
      <c r="DH35" s="1" t="s">
        <v>123</v>
      </c>
      <c r="DI35" s="1" t="s">
        <v>123</v>
      </c>
      <c r="DJ35" s="1" t="s">
        <v>123</v>
      </c>
      <c r="DK35" s="1" t="s">
        <v>123</v>
      </c>
      <c r="DL35" s="1" t="s">
        <v>119</v>
      </c>
      <c r="DM35" s="1">
        <v>0.0</v>
      </c>
    </row>
    <row r="36">
      <c r="A36" s="1" t="s">
        <v>358</v>
      </c>
      <c r="B36" s="1" t="s">
        <v>323</v>
      </c>
      <c r="C36" s="1">
        <v>6.0</v>
      </c>
      <c r="D36" s="1">
        <v>20.0</v>
      </c>
      <c r="E36" s="1" t="s">
        <v>342</v>
      </c>
      <c r="F36" s="1" t="s">
        <v>144</v>
      </c>
      <c r="G36" s="1" t="s">
        <v>359</v>
      </c>
      <c r="H36" s="1" t="s">
        <v>360</v>
      </c>
      <c r="I36" s="1">
        <v>10.0</v>
      </c>
      <c r="J36" s="1">
        <v>800.0</v>
      </c>
      <c r="K36" s="1">
        <v>800.0</v>
      </c>
      <c r="L36" s="1">
        <v>800.0</v>
      </c>
      <c r="M36" s="1">
        <v>800.0</v>
      </c>
      <c r="N36" s="1">
        <v>800.0</v>
      </c>
      <c r="O36" s="1">
        <v>800.0</v>
      </c>
      <c r="P36" s="1">
        <v>800.0</v>
      </c>
      <c r="Q36" s="1">
        <v>800.0</v>
      </c>
      <c r="R36" s="1">
        <v>800.0</v>
      </c>
      <c r="S36" s="1">
        <v>800.0</v>
      </c>
      <c r="T36" s="1">
        <v>800.0</v>
      </c>
      <c r="U36" s="1" t="s">
        <v>123</v>
      </c>
      <c r="V36" s="1" t="s">
        <v>123</v>
      </c>
      <c r="W36" s="1" t="s">
        <v>123</v>
      </c>
      <c r="X36" s="1" t="s">
        <v>123</v>
      </c>
      <c r="Y36" s="1" t="s">
        <v>123</v>
      </c>
      <c r="Z36" s="1" t="s">
        <v>123</v>
      </c>
      <c r="AA36" s="1" t="s">
        <v>123</v>
      </c>
      <c r="AB36" s="1" t="s">
        <v>123</v>
      </c>
      <c r="AC36" s="1" t="s">
        <v>123</v>
      </c>
      <c r="AD36" s="1" t="s">
        <v>123</v>
      </c>
      <c r="AE36" s="1" t="s">
        <v>123</v>
      </c>
      <c r="AF36" s="1" t="s">
        <v>123</v>
      </c>
      <c r="AG36" s="1" t="s">
        <v>123</v>
      </c>
      <c r="AH36" s="1" t="s">
        <v>123</v>
      </c>
      <c r="AI36" s="1" t="s">
        <v>123</v>
      </c>
      <c r="AJ36" s="1">
        <v>2.0</v>
      </c>
      <c r="AK36" s="1">
        <v>2.0</v>
      </c>
      <c r="AL36" s="1">
        <v>3.0</v>
      </c>
      <c r="AM36" s="1">
        <v>3.0</v>
      </c>
      <c r="AN36" s="1">
        <v>3.0</v>
      </c>
      <c r="AO36" s="1">
        <v>4.0</v>
      </c>
      <c r="AP36" s="1">
        <v>5.0</v>
      </c>
      <c r="AQ36" s="1">
        <v>5.0</v>
      </c>
      <c r="AR36" s="1">
        <v>6.0</v>
      </c>
      <c r="AS36" s="1">
        <v>7.0</v>
      </c>
      <c r="AT36" s="1" t="s">
        <v>123</v>
      </c>
      <c r="AU36" s="1" t="s">
        <v>123</v>
      </c>
      <c r="AV36" s="1" t="s">
        <v>123</v>
      </c>
      <c r="AW36" s="1" t="s">
        <v>123</v>
      </c>
      <c r="AX36" s="1" t="s">
        <v>123</v>
      </c>
      <c r="AY36" s="1" t="s">
        <v>123</v>
      </c>
      <c r="AZ36" s="1" t="s">
        <v>123</v>
      </c>
      <c r="BA36" s="1" t="s">
        <v>123</v>
      </c>
      <c r="BB36" s="1" t="s">
        <v>123</v>
      </c>
      <c r="BC36" s="1" t="s">
        <v>123</v>
      </c>
      <c r="BD36" s="1" t="s">
        <v>123</v>
      </c>
      <c r="BE36" s="1" t="s">
        <v>123</v>
      </c>
      <c r="BF36" s="1" t="s">
        <v>123</v>
      </c>
      <c r="BG36" s="1" t="s">
        <v>123</v>
      </c>
      <c r="BH36" s="1" t="s">
        <v>123</v>
      </c>
      <c r="BI36" s="1" t="s">
        <v>123</v>
      </c>
      <c r="BJ36" s="1" t="s">
        <v>362</v>
      </c>
      <c r="BK36" s="1">
        <v>0.0</v>
      </c>
      <c r="BL36" s="1">
        <v>0.01</v>
      </c>
      <c r="BM36" s="1">
        <v>0.03</v>
      </c>
      <c r="BN36" s="1">
        <v>0.128</v>
      </c>
      <c r="BO36" s="1">
        <v>0.541</v>
      </c>
      <c r="BP36" s="1">
        <v>2.29</v>
      </c>
      <c r="BQ36" s="1">
        <v>13.0</v>
      </c>
      <c r="BR36" s="1">
        <v>96.0</v>
      </c>
      <c r="BS36" s="1">
        <v>706.0</v>
      </c>
      <c r="BT36" s="1">
        <v>6551.0</v>
      </c>
      <c r="BU36" s="1">
        <v>75000.0</v>
      </c>
      <c r="BV36" s="1" t="s">
        <v>123</v>
      </c>
      <c r="BW36" s="1" t="s">
        <v>123</v>
      </c>
      <c r="BX36" s="1" t="s">
        <v>123</v>
      </c>
      <c r="BY36" s="1" t="s">
        <v>123</v>
      </c>
      <c r="BZ36" s="1" t="s">
        <v>123</v>
      </c>
      <c r="CA36" s="1" t="s">
        <v>123</v>
      </c>
      <c r="CB36" s="1" t="s">
        <v>123</v>
      </c>
      <c r="CC36" s="1" t="s">
        <v>123</v>
      </c>
      <c r="CD36" s="1" t="s">
        <v>123</v>
      </c>
      <c r="CE36" s="1" t="s">
        <v>123</v>
      </c>
      <c r="CF36" s="1" t="s">
        <v>123</v>
      </c>
      <c r="CG36" s="1" t="s">
        <v>123</v>
      </c>
      <c r="CH36" s="1" t="s">
        <v>123</v>
      </c>
      <c r="CI36" s="1" t="s">
        <v>123</v>
      </c>
      <c r="CJ36" s="1" t="s">
        <v>123</v>
      </c>
      <c r="CK36" s="1" t="s">
        <v>363</v>
      </c>
      <c r="CL36" s="1">
        <v>0.0</v>
      </c>
      <c r="CM36" s="1">
        <v>1.0</v>
      </c>
      <c r="CN36" s="1">
        <v>1.3</v>
      </c>
      <c r="CO36" s="1">
        <v>1.9</v>
      </c>
      <c r="CP36" s="1">
        <v>2.7</v>
      </c>
      <c r="CQ36" s="1">
        <v>3.8</v>
      </c>
      <c r="CR36" s="1">
        <v>5.8</v>
      </c>
      <c r="CS36" s="1">
        <v>9.5</v>
      </c>
      <c r="CT36" s="1">
        <v>15.5</v>
      </c>
      <c r="CU36" s="1">
        <v>26.9</v>
      </c>
      <c r="CV36" s="1">
        <v>50.0</v>
      </c>
      <c r="CW36" s="1" t="s">
        <v>123</v>
      </c>
      <c r="CX36" s="1" t="s">
        <v>123</v>
      </c>
      <c r="CY36" s="1" t="s">
        <v>123</v>
      </c>
      <c r="CZ36" s="1" t="s">
        <v>123</v>
      </c>
      <c r="DA36" s="1" t="s">
        <v>123</v>
      </c>
      <c r="DB36" s="1" t="s">
        <v>123</v>
      </c>
      <c r="DC36" s="1" t="s">
        <v>123</v>
      </c>
      <c r="DD36" s="1" t="s">
        <v>123</v>
      </c>
      <c r="DE36" s="1" t="s">
        <v>123</v>
      </c>
      <c r="DF36" s="1" t="s">
        <v>123</v>
      </c>
      <c r="DG36" s="1" t="s">
        <v>123</v>
      </c>
      <c r="DH36" s="1" t="s">
        <v>123</v>
      </c>
      <c r="DI36" s="1" t="s">
        <v>123</v>
      </c>
      <c r="DJ36" s="1" t="s">
        <v>123</v>
      </c>
      <c r="DK36" s="1" t="s">
        <v>123</v>
      </c>
      <c r="DL36" s="1" t="s">
        <v>119</v>
      </c>
      <c r="DM36" s="1">
        <v>0.0</v>
      </c>
    </row>
    <row r="37">
      <c r="A37" s="84"/>
      <c r="B37" s="84"/>
      <c r="D37" s="84"/>
      <c r="E37" s="84"/>
      <c r="G37" s="84"/>
      <c r="H37" s="84"/>
      <c r="I37" s="84"/>
      <c r="AL37" s="84"/>
      <c r="AZ37" s="84"/>
      <c r="BV37" s="84"/>
    </row>
    <row r="38">
      <c r="A38" s="84"/>
      <c r="B38" s="84"/>
      <c r="D38" s="84"/>
      <c r="E38" s="84"/>
      <c r="G38" s="84"/>
      <c r="H38" s="84"/>
      <c r="I38" s="84"/>
      <c r="AZ38" s="84"/>
      <c r="BV38" s="84"/>
    </row>
    <row r="39">
      <c r="A39" s="84"/>
      <c r="B39" s="84"/>
      <c r="D39" s="84"/>
      <c r="E39" s="84"/>
      <c r="G39" s="84"/>
      <c r="H39" s="84"/>
      <c r="I39" s="84"/>
      <c r="AZ39" s="84"/>
      <c r="BV39" s="84"/>
    </row>
    <row r="40">
      <c r="A40" s="84"/>
      <c r="B40" s="84"/>
      <c r="D40" s="84"/>
      <c r="E40" s="84"/>
      <c r="G40" s="84"/>
      <c r="H40" s="84"/>
      <c r="I40" s="84"/>
      <c r="AZ40" s="84"/>
      <c r="BV40" s="84"/>
    </row>
    <row r="41">
      <c r="A41" s="84"/>
      <c r="B41" s="84"/>
      <c r="D41" s="84"/>
      <c r="E41" s="84"/>
      <c r="G41" s="84"/>
      <c r="H41" s="84"/>
      <c r="I41" s="84"/>
      <c r="AZ41" s="84"/>
      <c r="BV41" s="84"/>
    </row>
    <row r="42">
      <c r="A42" s="84"/>
      <c r="B42" s="84"/>
      <c r="D42" s="84"/>
      <c r="E42" s="84"/>
      <c r="G42" s="84"/>
      <c r="H42" s="84"/>
      <c r="I42" s="84"/>
      <c r="AZ42" s="84"/>
      <c r="BV42" s="84"/>
    </row>
    <row r="43">
      <c r="A43" s="84"/>
      <c r="B43" s="84"/>
      <c r="D43" s="84"/>
      <c r="E43" s="84"/>
      <c r="G43" s="84"/>
      <c r="H43" s="84"/>
      <c r="I43" s="84"/>
      <c r="AZ43" s="84"/>
      <c r="BV43" s="84"/>
    </row>
    <row r="44">
      <c r="A44" s="84"/>
      <c r="B44" s="84"/>
      <c r="D44" s="84"/>
      <c r="E44" s="84"/>
      <c r="G44" s="84"/>
      <c r="H44" s="84"/>
      <c r="I44" s="84"/>
      <c r="AZ44" s="84"/>
      <c r="BV44" s="84"/>
    </row>
    <row r="45">
      <c r="A45" s="84"/>
      <c r="B45" s="84"/>
      <c r="D45" s="84"/>
      <c r="E45" s="84"/>
      <c r="G45" s="84"/>
      <c r="H45" s="84"/>
      <c r="I45" s="84"/>
      <c r="AZ45" s="84"/>
      <c r="BV45" s="84"/>
    </row>
    <row r="46">
      <c r="A46" s="84"/>
      <c r="B46" s="84"/>
      <c r="D46" s="84"/>
      <c r="E46" s="84"/>
      <c r="G46" s="84"/>
      <c r="H46" s="84"/>
      <c r="I46" s="84"/>
      <c r="AZ46" s="84"/>
      <c r="BV46" s="84"/>
    </row>
    <row r="47">
      <c r="A47" s="84"/>
      <c r="B47" s="84"/>
      <c r="D47" s="84"/>
      <c r="E47" s="84"/>
      <c r="G47" s="84"/>
      <c r="H47" s="84"/>
      <c r="I47" s="84"/>
      <c r="AZ47" s="84"/>
      <c r="BV47" s="84"/>
    </row>
    <row r="48">
      <c r="A48" s="84"/>
      <c r="B48" s="84"/>
      <c r="D48" s="84"/>
      <c r="E48" s="84"/>
      <c r="G48" s="84"/>
      <c r="H48" s="84"/>
      <c r="I48" s="84"/>
      <c r="AZ48" s="84"/>
      <c r="BV48" s="84"/>
    </row>
    <row r="49">
      <c r="A49" s="84"/>
      <c r="B49" s="84"/>
      <c r="D49" s="84"/>
      <c r="E49" s="84"/>
      <c r="G49" s="84"/>
      <c r="H49" s="84"/>
      <c r="I49" s="84"/>
      <c r="AZ49" s="84"/>
      <c r="BV49" s="84"/>
    </row>
    <row r="50">
      <c r="A50" s="84"/>
      <c r="B50" s="84"/>
      <c r="D50" s="84"/>
      <c r="E50" s="84"/>
      <c r="G50" s="84"/>
      <c r="H50" s="84"/>
      <c r="I50" s="84"/>
      <c r="AZ50" s="84"/>
      <c r="BV50" s="84"/>
    </row>
    <row r="51">
      <c r="A51" s="84"/>
      <c r="B51" s="84"/>
      <c r="D51" s="84"/>
      <c r="E51" s="84"/>
      <c r="G51" s="84"/>
      <c r="H51" s="84"/>
      <c r="I51" s="84"/>
      <c r="AZ51" s="84"/>
      <c r="BV51" s="84"/>
    </row>
    <row r="52">
      <c r="A52" s="84"/>
      <c r="B52" s="84"/>
      <c r="D52" s="84"/>
      <c r="E52" s="84"/>
      <c r="G52" s="84"/>
      <c r="H52" s="84"/>
      <c r="I52" s="84"/>
      <c r="AZ52" s="84"/>
      <c r="BV52" s="84"/>
    </row>
    <row r="53">
      <c r="A53" s="84"/>
      <c r="B53" s="84"/>
      <c r="D53" s="84"/>
      <c r="E53" s="84"/>
      <c r="G53" s="84"/>
      <c r="H53" s="84"/>
      <c r="I53" s="84"/>
      <c r="AZ53" s="84"/>
      <c r="BV53" s="84"/>
    </row>
    <row r="54">
      <c r="A54" s="84"/>
      <c r="B54" s="84"/>
      <c r="D54" s="84"/>
      <c r="E54" s="84"/>
      <c r="G54" s="84"/>
      <c r="H54" s="84"/>
      <c r="I54" s="84"/>
      <c r="AZ54" s="84"/>
      <c r="BV54" s="84"/>
    </row>
    <row r="55">
      <c r="A55" s="84"/>
      <c r="B55" s="84"/>
      <c r="D55" s="84"/>
      <c r="E55" s="84"/>
      <c r="G55" s="84"/>
      <c r="H55" s="84"/>
      <c r="I55" s="84"/>
      <c r="AZ55" s="84"/>
      <c r="BV55" s="84"/>
    </row>
    <row r="56">
      <c r="A56" s="84"/>
      <c r="B56" s="84"/>
      <c r="D56" s="84"/>
      <c r="E56" s="84"/>
      <c r="G56" s="84"/>
      <c r="H56" s="84"/>
      <c r="I56" s="84"/>
      <c r="AZ56" s="84"/>
      <c r="BV56" s="84"/>
    </row>
    <row r="57">
      <c r="A57" s="84"/>
      <c r="B57" s="84"/>
      <c r="D57" s="84"/>
      <c r="E57" s="84"/>
      <c r="G57" s="84"/>
      <c r="H57" s="84"/>
      <c r="I57" s="84"/>
      <c r="AZ57" s="84"/>
      <c r="BV57" s="84"/>
    </row>
    <row r="58">
      <c r="A58" s="84"/>
      <c r="B58" s="84"/>
      <c r="D58" s="84"/>
      <c r="E58" s="84"/>
      <c r="G58" s="84"/>
      <c r="H58" s="84"/>
      <c r="I58" s="84"/>
      <c r="AZ58" s="84"/>
      <c r="BV58" s="84"/>
    </row>
    <row r="59">
      <c r="A59" s="84"/>
      <c r="B59" s="84"/>
      <c r="D59" s="84"/>
      <c r="E59" s="84"/>
      <c r="G59" s="84"/>
      <c r="H59" s="84"/>
      <c r="I59" s="84"/>
      <c r="AZ59" s="84"/>
      <c r="BV59" s="84"/>
    </row>
    <row r="60">
      <c r="A60" s="84"/>
      <c r="B60" s="84"/>
      <c r="D60" s="84"/>
      <c r="E60" s="84"/>
      <c r="G60" s="84"/>
      <c r="H60" s="84"/>
      <c r="I60" s="84"/>
      <c r="AZ60" s="84"/>
      <c r="BV60" s="84"/>
    </row>
    <row r="61">
      <c r="A61" s="84"/>
      <c r="B61" s="84"/>
      <c r="D61" s="84"/>
      <c r="E61" s="84"/>
      <c r="G61" s="84"/>
      <c r="H61" s="84"/>
      <c r="I61" s="84"/>
      <c r="AZ61" s="84"/>
      <c r="BV61" s="84"/>
    </row>
    <row r="62">
      <c r="A62" s="84"/>
      <c r="B62" s="84"/>
      <c r="D62" s="84"/>
      <c r="E62" s="84"/>
      <c r="G62" s="84"/>
      <c r="H62" s="84"/>
      <c r="I62" s="84"/>
      <c r="AZ62" s="84"/>
      <c r="BV62" s="84"/>
    </row>
    <row r="63">
      <c r="A63" s="84"/>
      <c r="B63" s="84"/>
      <c r="D63" s="84"/>
      <c r="E63" s="84"/>
      <c r="G63" s="84"/>
      <c r="H63" s="84"/>
      <c r="I63" s="84"/>
      <c r="AZ63" s="84"/>
      <c r="BV63" s="84"/>
    </row>
    <row r="64">
      <c r="A64" s="84"/>
      <c r="B64" s="84"/>
      <c r="D64" s="84"/>
      <c r="E64" s="84"/>
      <c r="G64" s="84"/>
      <c r="H64" s="84"/>
      <c r="I64" s="84"/>
      <c r="AZ64" s="84"/>
      <c r="BV64" s="84"/>
    </row>
    <row r="65">
      <c r="A65" s="84"/>
      <c r="B65" s="84"/>
      <c r="D65" s="84"/>
      <c r="E65" s="84"/>
      <c r="G65" s="84"/>
      <c r="H65" s="84"/>
      <c r="I65" s="84"/>
      <c r="AZ65" s="84"/>
      <c r="BV65" s="84"/>
    </row>
    <row r="66">
      <c r="A66" s="84"/>
      <c r="B66" s="84"/>
      <c r="D66" s="84"/>
      <c r="E66" s="84"/>
      <c r="G66" s="84"/>
      <c r="H66" s="84"/>
      <c r="I66" s="84"/>
      <c r="AZ66" s="84"/>
      <c r="BV66" s="84"/>
    </row>
    <row r="67">
      <c r="A67" s="84"/>
      <c r="B67" s="84"/>
      <c r="D67" s="84"/>
      <c r="E67" s="84"/>
      <c r="G67" s="84"/>
      <c r="H67" s="84"/>
      <c r="I67" s="84"/>
      <c r="AZ67" s="84"/>
      <c r="BV67" s="84"/>
    </row>
    <row r="68">
      <c r="A68" s="84"/>
      <c r="B68" s="84"/>
      <c r="D68" s="84"/>
      <c r="E68" s="84"/>
      <c r="G68" s="84"/>
      <c r="H68" s="84"/>
      <c r="I68" s="84"/>
      <c r="AZ68" s="84"/>
      <c r="BV68" s="84"/>
    </row>
    <row r="69">
      <c r="A69" s="84"/>
      <c r="B69" s="84"/>
      <c r="D69" s="84"/>
      <c r="E69" s="84"/>
      <c r="G69" s="84"/>
      <c r="H69" s="84"/>
      <c r="I69" s="84"/>
      <c r="AZ69" s="84"/>
      <c r="BV69" s="84"/>
    </row>
    <row r="70">
      <c r="A70" s="84"/>
      <c r="B70" s="84"/>
      <c r="D70" s="84"/>
      <c r="E70" s="84"/>
      <c r="G70" s="84"/>
      <c r="H70" s="84"/>
      <c r="I70" s="84"/>
      <c r="AZ70" s="84"/>
      <c r="BV70" s="84"/>
    </row>
    <row r="71">
      <c r="A71" s="84"/>
      <c r="B71" s="84"/>
      <c r="D71" s="84"/>
      <c r="E71" s="84"/>
      <c r="G71" s="84"/>
      <c r="H71" s="84"/>
      <c r="I71" s="84"/>
      <c r="AZ71" s="84"/>
      <c r="BV71" s="84"/>
    </row>
    <row r="72">
      <c r="A72" s="84"/>
      <c r="B72" s="84"/>
      <c r="D72" s="84"/>
      <c r="E72" s="84"/>
      <c r="G72" s="84"/>
      <c r="H72" s="84"/>
      <c r="I72" s="84"/>
      <c r="AZ72" s="84"/>
      <c r="BV72" s="84"/>
    </row>
    <row r="73">
      <c r="A73" s="84"/>
      <c r="B73" s="84"/>
      <c r="D73" s="84"/>
      <c r="E73" s="84"/>
      <c r="G73" s="84"/>
      <c r="H73" s="84"/>
      <c r="I73" s="84"/>
      <c r="AZ73" s="84"/>
      <c r="BV73" s="84"/>
    </row>
    <row r="74">
      <c r="A74" s="84"/>
      <c r="B74" s="84"/>
      <c r="D74" s="84"/>
      <c r="E74" s="84"/>
      <c r="G74" s="84"/>
      <c r="H74" s="84"/>
      <c r="I74" s="84"/>
      <c r="AZ74" s="84"/>
      <c r="BV74" s="84"/>
    </row>
    <row r="75">
      <c r="A75" s="84"/>
      <c r="B75" s="84"/>
      <c r="D75" s="84"/>
      <c r="E75" s="84"/>
      <c r="G75" s="84"/>
      <c r="H75" s="84"/>
      <c r="I75" s="84"/>
      <c r="AZ75" s="84"/>
      <c r="BV75" s="84"/>
    </row>
    <row r="76">
      <c r="A76" s="84"/>
      <c r="B76" s="84"/>
      <c r="D76" s="84"/>
      <c r="E76" s="84"/>
      <c r="G76" s="84"/>
      <c r="H76" s="84"/>
      <c r="I76" s="84"/>
      <c r="AZ76" s="84"/>
      <c r="BV76" s="84"/>
    </row>
    <row r="77">
      <c r="A77" s="84"/>
      <c r="B77" s="84"/>
      <c r="D77" s="84"/>
      <c r="E77" s="84"/>
      <c r="G77" s="84"/>
      <c r="H77" s="84"/>
      <c r="I77" s="84"/>
      <c r="AZ77" s="84"/>
      <c r="BV77" s="84"/>
    </row>
    <row r="78">
      <c r="A78" s="84"/>
      <c r="B78" s="84"/>
      <c r="D78" s="84"/>
      <c r="E78" s="84"/>
      <c r="G78" s="84"/>
      <c r="H78" s="84"/>
      <c r="I78" s="84"/>
      <c r="AZ78" s="84"/>
      <c r="BV78" s="84"/>
    </row>
    <row r="79">
      <c r="A79" s="84"/>
      <c r="B79" s="84"/>
      <c r="D79" s="84"/>
      <c r="E79" s="84"/>
      <c r="G79" s="84"/>
      <c r="H79" s="84"/>
      <c r="I79" s="84"/>
      <c r="AZ79" s="84"/>
      <c r="BV79" s="84"/>
    </row>
    <row r="80">
      <c r="A80" s="84"/>
      <c r="B80" s="84"/>
      <c r="D80" s="84"/>
      <c r="E80" s="84"/>
      <c r="G80" s="84"/>
      <c r="H80" s="84"/>
      <c r="I80" s="84"/>
      <c r="AZ80" s="84"/>
      <c r="BV80" s="84"/>
    </row>
    <row r="81">
      <c r="A81" s="84"/>
      <c r="B81" s="84"/>
      <c r="D81" s="84"/>
      <c r="E81" s="84"/>
      <c r="G81" s="84"/>
      <c r="H81" s="84"/>
      <c r="I81" s="84"/>
      <c r="AZ81" s="84"/>
      <c r="BV81" s="84"/>
    </row>
    <row r="82">
      <c r="A82" s="84"/>
      <c r="B82" s="84"/>
      <c r="D82" s="84"/>
      <c r="E82" s="84"/>
      <c r="G82" s="84"/>
      <c r="H82" s="84"/>
      <c r="I82" s="84"/>
      <c r="AZ82" s="84"/>
      <c r="BV82" s="84"/>
    </row>
    <row r="83">
      <c r="A83" s="84"/>
      <c r="B83" s="84"/>
      <c r="D83" s="84"/>
      <c r="E83" s="84"/>
      <c r="G83" s="84"/>
      <c r="H83" s="84"/>
      <c r="I83" s="84"/>
      <c r="AZ83" s="84"/>
      <c r="BV83" s="84"/>
    </row>
    <row r="84">
      <c r="A84" s="84"/>
      <c r="B84" s="84"/>
      <c r="D84" s="84"/>
      <c r="E84" s="84"/>
      <c r="G84" s="84"/>
      <c r="H84" s="84"/>
      <c r="I84" s="84"/>
      <c r="AZ84" s="84"/>
      <c r="BV84" s="84"/>
    </row>
    <row r="85">
      <c r="A85" s="84"/>
      <c r="B85" s="84"/>
      <c r="D85" s="84"/>
      <c r="E85" s="84"/>
      <c r="G85" s="84"/>
      <c r="H85" s="84"/>
      <c r="I85" s="84"/>
      <c r="AZ85" s="84"/>
      <c r="BV85" s="84"/>
    </row>
    <row r="86">
      <c r="A86" s="84"/>
      <c r="B86" s="84"/>
      <c r="D86" s="84"/>
      <c r="E86" s="84"/>
      <c r="G86" s="84"/>
      <c r="H86" s="84"/>
      <c r="I86" s="84"/>
      <c r="AZ86" s="84"/>
      <c r="BV86" s="84"/>
    </row>
    <row r="87">
      <c r="A87" s="84"/>
      <c r="B87" s="84"/>
      <c r="D87" s="84"/>
      <c r="E87" s="84"/>
      <c r="G87" s="84"/>
      <c r="H87" s="84"/>
      <c r="I87" s="84"/>
      <c r="AZ87" s="84"/>
      <c r="BV87" s="84"/>
    </row>
    <row r="88">
      <c r="A88" s="84"/>
      <c r="B88" s="84"/>
      <c r="D88" s="84"/>
      <c r="E88" s="84"/>
      <c r="G88" s="84"/>
      <c r="H88" s="84"/>
      <c r="I88" s="84"/>
      <c r="AZ88" s="84"/>
      <c r="BV88" s="84"/>
    </row>
    <row r="89">
      <c r="A89" s="84"/>
      <c r="B89" s="84"/>
      <c r="D89" s="84"/>
      <c r="E89" s="84"/>
      <c r="G89" s="84"/>
      <c r="H89" s="84"/>
      <c r="I89" s="84"/>
      <c r="AZ89" s="84"/>
      <c r="BV89" s="84"/>
    </row>
    <row r="90">
      <c r="A90" s="84"/>
      <c r="B90" s="84"/>
      <c r="D90" s="84"/>
      <c r="E90" s="84"/>
      <c r="G90" s="84"/>
      <c r="H90" s="84"/>
      <c r="I90" s="84"/>
      <c r="AZ90" s="84"/>
      <c r="BV90" s="84"/>
    </row>
    <row r="91">
      <c r="A91" s="84"/>
      <c r="B91" s="84"/>
      <c r="D91" s="84"/>
      <c r="E91" s="84"/>
      <c r="G91" s="84"/>
      <c r="H91" s="84"/>
      <c r="I91" s="84"/>
      <c r="AZ91" s="84"/>
      <c r="BV91" s="84"/>
    </row>
    <row r="92">
      <c r="A92" s="84"/>
      <c r="B92" s="84"/>
      <c r="D92" s="84"/>
      <c r="E92" s="84"/>
      <c r="G92" s="84"/>
      <c r="H92" s="84"/>
      <c r="I92" s="84"/>
      <c r="AZ92" s="84"/>
      <c r="BV92" s="84"/>
    </row>
    <row r="93">
      <c r="A93" s="84"/>
      <c r="B93" s="84"/>
      <c r="D93" s="84"/>
      <c r="E93" s="84"/>
      <c r="G93" s="84"/>
      <c r="H93" s="84"/>
      <c r="I93" s="84"/>
      <c r="AZ93" s="84"/>
      <c r="BV93" s="84"/>
    </row>
    <row r="94">
      <c r="A94" s="84"/>
      <c r="B94" s="84"/>
      <c r="D94" s="84"/>
      <c r="E94" s="84"/>
      <c r="G94" s="84"/>
      <c r="H94" s="84"/>
      <c r="I94" s="84"/>
      <c r="AZ94" s="84"/>
      <c r="BV94" s="84"/>
    </row>
    <row r="95">
      <c r="A95" s="84"/>
      <c r="B95" s="84"/>
      <c r="D95" s="84"/>
      <c r="E95" s="84"/>
      <c r="G95" s="84"/>
      <c r="H95" s="84"/>
      <c r="I95" s="84"/>
      <c r="AZ95" s="84"/>
      <c r="BV95" s="84"/>
    </row>
    <row r="96">
      <c r="A96" s="84"/>
      <c r="B96" s="84"/>
      <c r="D96" s="84"/>
      <c r="E96" s="84"/>
      <c r="G96" s="84"/>
      <c r="H96" s="84"/>
      <c r="I96" s="84"/>
      <c r="AZ96" s="84"/>
      <c r="BV96" s="84"/>
    </row>
    <row r="97">
      <c r="A97" s="84"/>
      <c r="B97" s="84"/>
      <c r="D97" s="84"/>
      <c r="E97" s="84"/>
      <c r="G97" s="84"/>
      <c r="H97" s="84"/>
      <c r="I97" s="84"/>
      <c r="AZ97" s="84"/>
      <c r="BV97" s="84"/>
    </row>
    <row r="98">
      <c r="A98" s="84"/>
      <c r="B98" s="84"/>
      <c r="D98" s="84"/>
      <c r="E98" s="84"/>
      <c r="G98" s="84"/>
      <c r="H98" s="84"/>
      <c r="I98" s="84"/>
      <c r="AZ98" s="84"/>
      <c r="BV98" s="84"/>
    </row>
    <row r="99">
      <c r="A99" s="84"/>
      <c r="B99" s="84"/>
      <c r="D99" s="84"/>
      <c r="E99" s="84"/>
      <c r="G99" s="84"/>
      <c r="H99" s="84"/>
      <c r="I99" s="84"/>
      <c r="AZ99" s="84"/>
      <c r="BV99" s="84"/>
    </row>
    <row r="100">
      <c r="A100" s="84"/>
      <c r="B100" s="84"/>
      <c r="D100" s="84"/>
      <c r="E100" s="84"/>
      <c r="G100" s="84"/>
      <c r="H100" s="84"/>
      <c r="I100" s="84"/>
      <c r="AZ100" s="84"/>
      <c r="BV100" s="84"/>
    </row>
    <row r="101">
      <c r="A101" s="84"/>
      <c r="B101" s="84"/>
      <c r="D101" s="84"/>
      <c r="E101" s="84"/>
      <c r="G101" s="84"/>
      <c r="H101" s="84"/>
      <c r="I101" s="84"/>
      <c r="AZ101" s="84"/>
      <c r="BV101" s="84"/>
    </row>
    <row r="102">
      <c r="A102" s="84"/>
      <c r="B102" s="84"/>
      <c r="D102" s="84"/>
      <c r="E102" s="84"/>
      <c r="G102" s="84"/>
      <c r="H102" s="84"/>
      <c r="I102" s="84"/>
      <c r="AZ102" s="84"/>
      <c r="BV102" s="84"/>
    </row>
    <row r="103">
      <c r="A103" s="84"/>
      <c r="B103" s="84"/>
      <c r="D103" s="84"/>
      <c r="E103" s="84"/>
      <c r="G103" s="84"/>
      <c r="H103" s="84"/>
      <c r="I103" s="84"/>
      <c r="AZ103" s="84"/>
      <c r="BV103" s="84"/>
    </row>
    <row r="104">
      <c r="A104" s="84"/>
      <c r="B104" s="84"/>
      <c r="D104" s="84"/>
      <c r="E104" s="84"/>
      <c r="G104" s="84"/>
      <c r="H104" s="84"/>
      <c r="I104" s="84"/>
      <c r="AZ104" s="84"/>
      <c r="BV104" s="84"/>
    </row>
    <row r="105">
      <c r="A105" s="84"/>
      <c r="B105" s="84"/>
      <c r="D105" s="84"/>
      <c r="E105" s="84"/>
      <c r="G105" s="84"/>
      <c r="H105" s="84"/>
      <c r="I105" s="84"/>
      <c r="AZ105" s="84"/>
      <c r="BV105" s="84"/>
    </row>
    <row r="106">
      <c r="A106" s="84"/>
      <c r="B106" s="84"/>
      <c r="D106" s="84"/>
      <c r="E106" s="84"/>
      <c r="G106" s="84"/>
      <c r="H106" s="84"/>
      <c r="I106" s="84"/>
      <c r="AZ106" s="84"/>
      <c r="BV106" s="84"/>
    </row>
    <row r="107">
      <c r="A107" s="84"/>
      <c r="B107" s="84"/>
      <c r="D107" s="84"/>
      <c r="E107" s="84"/>
      <c r="G107" s="84"/>
      <c r="H107" s="84"/>
      <c r="I107" s="84"/>
      <c r="AZ107" s="84"/>
      <c r="BV107" s="84"/>
    </row>
    <row r="108">
      <c r="A108" s="84"/>
      <c r="B108" s="84"/>
      <c r="D108" s="84"/>
      <c r="E108" s="84"/>
      <c r="G108" s="84"/>
      <c r="H108" s="84"/>
      <c r="I108" s="84"/>
      <c r="AZ108" s="84"/>
      <c r="BV108" s="84"/>
    </row>
    <row r="109">
      <c r="A109" s="84"/>
      <c r="B109" s="84"/>
      <c r="D109" s="84"/>
      <c r="E109" s="84"/>
      <c r="G109" s="84"/>
      <c r="H109" s="84"/>
      <c r="I109" s="84"/>
      <c r="AZ109" s="84"/>
      <c r="BV109" s="84"/>
    </row>
    <row r="110">
      <c r="A110" s="84"/>
      <c r="B110" s="84"/>
      <c r="D110" s="84"/>
      <c r="E110" s="84"/>
      <c r="G110" s="84"/>
      <c r="H110" s="84"/>
      <c r="I110" s="84"/>
      <c r="AZ110" s="84"/>
      <c r="BV110" s="84"/>
    </row>
    <row r="111">
      <c r="A111" s="84"/>
      <c r="B111" s="84"/>
      <c r="D111" s="84"/>
      <c r="E111" s="84"/>
      <c r="G111" s="84"/>
      <c r="H111" s="84"/>
      <c r="I111" s="84"/>
      <c r="AZ111" s="84"/>
      <c r="BV111" s="84"/>
    </row>
    <row r="112">
      <c r="A112" s="84"/>
      <c r="B112" s="84"/>
      <c r="D112" s="84"/>
      <c r="E112" s="84"/>
      <c r="G112" s="84"/>
      <c r="H112" s="84"/>
      <c r="I112" s="84"/>
      <c r="AZ112" s="84"/>
      <c r="BV112" s="84"/>
    </row>
    <row r="113">
      <c r="A113" s="84"/>
      <c r="B113" s="84"/>
      <c r="D113" s="84"/>
      <c r="E113" s="84"/>
      <c r="G113" s="84"/>
      <c r="H113" s="84"/>
      <c r="I113" s="84"/>
      <c r="AZ113" s="84"/>
      <c r="BV113" s="84"/>
    </row>
    <row r="114">
      <c r="A114" s="84"/>
      <c r="B114" s="84"/>
      <c r="D114" s="84"/>
      <c r="E114" s="84"/>
      <c r="G114" s="84"/>
      <c r="H114" s="84"/>
      <c r="I114" s="84"/>
      <c r="AZ114" s="84"/>
      <c r="BV114" s="84"/>
    </row>
    <row r="115">
      <c r="A115" s="84"/>
      <c r="B115" s="84"/>
      <c r="D115" s="84"/>
      <c r="E115" s="84"/>
      <c r="G115" s="84"/>
      <c r="H115" s="84"/>
      <c r="I115" s="84"/>
      <c r="AZ115" s="84"/>
      <c r="BV115" s="84"/>
    </row>
    <row r="116">
      <c r="A116" s="84"/>
      <c r="B116" s="84"/>
      <c r="D116" s="84"/>
      <c r="E116" s="84"/>
      <c r="G116" s="84"/>
      <c r="H116" s="84"/>
      <c r="I116" s="84"/>
      <c r="AZ116" s="84"/>
      <c r="BV116" s="84"/>
    </row>
    <row r="117">
      <c r="A117" s="84"/>
      <c r="B117" s="84"/>
      <c r="D117" s="84"/>
      <c r="E117" s="84"/>
      <c r="G117" s="84"/>
      <c r="H117" s="84"/>
      <c r="I117" s="84"/>
      <c r="AZ117" s="84"/>
      <c r="BV117" s="84"/>
    </row>
    <row r="118">
      <c r="A118" s="84"/>
      <c r="B118" s="84"/>
      <c r="D118" s="84"/>
      <c r="E118" s="84"/>
      <c r="G118" s="84"/>
      <c r="H118" s="84"/>
      <c r="I118" s="84"/>
      <c r="AZ118" s="84"/>
      <c r="BV118" s="84"/>
    </row>
    <row r="119">
      <c r="A119" s="84"/>
      <c r="B119" s="84"/>
      <c r="D119" s="84"/>
      <c r="E119" s="84"/>
      <c r="G119" s="84"/>
      <c r="H119" s="84"/>
      <c r="I119" s="84"/>
      <c r="AZ119" s="84"/>
      <c r="BV119" s="84"/>
    </row>
    <row r="120">
      <c r="A120" s="84"/>
      <c r="B120" s="84"/>
      <c r="D120" s="84"/>
      <c r="E120" s="84"/>
      <c r="G120" s="84"/>
      <c r="H120" s="84"/>
      <c r="I120" s="84"/>
      <c r="AZ120" s="84"/>
      <c r="BV120" s="84"/>
    </row>
    <row r="121">
      <c r="A121" s="84"/>
      <c r="B121" s="84"/>
      <c r="D121" s="84"/>
      <c r="E121" s="84"/>
      <c r="G121" s="84"/>
      <c r="H121" s="84"/>
      <c r="I121" s="84"/>
      <c r="AZ121" s="84"/>
      <c r="BV121" s="84"/>
    </row>
    <row r="122">
      <c r="A122" s="84"/>
      <c r="B122" s="84"/>
      <c r="D122" s="84"/>
      <c r="E122" s="84"/>
      <c r="G122" s="84"/>
      <c r="H122" s="84"/>
      <c r="I122" s="84"/>
      <c r="AZ122" s="84"/>
      <c r="BV122" s="84"/>
    </row>
    <row r="123">
      <c r="A123" s="84"/>
      <c r="B123" s="84"/>
      <c r="D123" s="84"/>
      <c r="E123" s="84"/>
      <c r="G123" s="84"/>
      <c r="H123" s="84"/>
      <c r="I123" s="84"/>
      <c r="AZ123" s="84"/>
      <c r="BV123" s="84"/>
    </row>
    <row r="124">
      <c r="A124" s="84"/>
      <c r="B124" s="84"/>
      <c r="D124" s="84"/>
      <c r="E124" s="84"/>
      <c r="G124" s="84"/>
      <c r="H124" s="84"/>
      <c r="I124" s="84"/>
      <c r="AZ124" s="84"/>
      <c r="BV124" s="84"/>
    </row>
    <row r="125">
      <c r="A125" s="84"/>
      <c r="B125" s="84"/>
      <c r="D125" s="84"/>
      <c r="E125" s="84"/>
      <c r="G125" s="84"/>
      <c r="H125" s="84"/>
      <c r="I125" s="84"/>
      <c r="AZ125" s="84"/>
      <c r="BV125" s="84"/>
    </row>
    <row r="126">
      <c r="A126" s="84"/>
      <c r="B126" s="84"/>
      <c r="D126" s="84"/>
      <c r="E126" s="84"/>
      <c r="G126" s="84"/>
      <c r="H126" s="84"/>
      <c r="I126" s="84"/>
      <c r="AZ126" s="84"/>
      <c r="BV126" s="84"/>
    </row>
    <row r="127">
      <c r="A127" s="84"/>
      <c r="B127" s="84"/>
      <c r="D127" s="84"/>
      <c r="E127" s="84"/>
      <c r="G127" s="84"/>
      <c r="H127" s="84"/>
      <c r="I127" s="84"/>
      <c r="AZ127" s="84"/>
      <c r="BV127" s="84"/>
    </row>
    <row r="128">
      <c r="A128" s="84"/>
      <c r="B128" s="84"/>
      <c r="D128" s="84"/>
      <c r="E128" s="84"/>
      <c r="G128" s="84"/>
      <c r="H128" s="84"/>
      <c r="I128" s="84"/>
      <c r="AZ128" s="84"/>
      <c r="BV128" s="84"/>
    </row>
    <row r="129">
      <c r="A129" s="84"/>
      <c r="B129" s="84"/>
      <c r="D129" s="84"/>
      <c r="E129" s="84"/>
      <c r="G129" s="84"/>
      <c r="H129" s="84"/>
      <c r="I129" s="84"/>
      <c r="AZ129" s="84"/>
      <c r="BV129" s="84"/>
    </row>
    <row r="130">
      <c r="A130" s="84"/>
      <c r="B130" s="84"/>
      <c r="D130" s="84"/>
      <c r="E130" s="84"/>
      <c r="G130" s="84"/>
      <c r="H130" s="84"/>
      <c r="I130" s="84"/>
      <c r="AZ130" s="84"/>
      <c r="BV130" s="84"/>
    </row>
    <row r="131">
      <c r="A131" s="84"/>
      <c r="B131" s="84"/>
      <c r="D131" s="84"/>
      <c r="E131" s="84"/>
      <c r="G131" s="84"/>
      <c r="H131" s="84"/>
      <c r="I131" s="84"/>
      <c r="AZ131" s="84"/>
      <c r="BV131" s="84"/>
    </row>
    <row r="132">
      <c r="A132" s="84"/>
      <c r="B132" s="84"/>
      <c r="D132" s="84"/>
      <c r="E132" s="84"/>
      <c r="G132" s="84"/>
      <c r="H132" s="84"/>
      <c r="I132" s="84"/>
      <c r="AZ132" s="84"/>
      <c r="BV132" s="84"/>
    </row>
    <row r="133">
      <c r="A133" s="84"/>
      <c r="B133" s="84"/>
      <c r="D133" s="84"/>
      <c r="E133" s="84"/>
      <c r="G133" s="84"/>
      <c r="H133" s="84"/>
      <c r="I133" s="84"/>
      <c r="AZ133" s="84"/>
      <c r="BV133" s="84"/>
    </row>
    <row r="134">
      <c r="A134" s="84"/>
      <c r="B134" s="84"/>
      <c r="D134" s="84"/>
      <c r="E134" s="84"/>
      <c r="G134" s="84"/>
      <c r="H134" s="84"/>
      <c r="I134" s="84"/>
      <c r="AZ134" s="84"/>
      <c r="BV134" s="84"/>
    </row>
    <row r="135">
      <c r="A135" s="84"/>
      <c r="B135" s="84"/>
      <c r="D135" s="84"/>
      <c r="E135" s="84"/>
      <c r="G135" s="84"/>
      <c r="H135" s="84"/>
      <c r="I135" s="84"/>
      <c r="AZ135" s="84"/>
      <c r="BV135" s="84"/>
    </row>
    <row r="136">
      <c r="A136" s="84"/>
      <c r="B136" s="84"/>
      <c r="D136" s="84"/>
      <c r="E136" s="84"/>
      <c r="G136" s="84"/>
      <c r="H136" s="84"/>
      <c r="I136" s="84"/>
      <c r="AZ136" s="84"/>
      <c r="BV136" s="84"/>
    </row>
    <row r="137">
      <c r="A137" s="84"/>
      <c r="B137" s="84"/>
      <c r="D137" s="84"/>
      <c r="E137" s="84"/>
      <c r="G137" s="84"/>
      <c r="H137" s="84"/>
      <c r="I137" s="84"/>
      <c r="AZ137" s="84"/>
      <c r="BV137" s="84"/>
    </row>
    <row r="138">
      <c r="A138" s="84"/>
      <c r="B138" s="84"/>
      <c r="D138" s="84"/>
      <c r="E138" s="84"/>
      <c r="G138" s="84"/>
      <c r="H138" s="84"/>
      <c r="I138" s="84"/>
      <c r="AZ138" s="84"/>
      <c r="BV138" s="84"/>
    </row>
    <row r="139">
      <c r="A139" s="84"/>
      <c r="B139" s="84"/>
      <c r="D139" s="84"/>
      <c r="E139" s="84"/>
      <c r="G139" s="84"/>
      <c r="H139" s="84"/>
      <c r="I139" s="84"/>
      <c r="AZ139" s="84"/>
      <c r="BV139" s="84"/>
    </row>
    <row r="140">
      <c r="A140" s="84"/>
      <c r="B140" s="84"/>
      <c r="D140" s="84"/>
      <c r="E140" s="84"/>
      <c r="G140" s="84"/>
      <c r="H140" s="84"/>
      <c r="I140" s="84"/>
      <c r="AZ140" s="84"/>
      <c r="BV140" s="84"/>
    </row>
    <row r="141">
      <c r="A141" s="84"/>
      <c r="B141" s="84"/>
      <c r="D141" s="84"/>
      <c r="E141" s="84"/>
      <c r="G141" s="84"/>
      <c r="H141" s="84"/>
      <c r="I141" s="84"/>
      <c r="AZ141" s="84"/>
      <c r="BV141" s="84"/>
    </row>
    <row r="142">
      <c r="A142" s="84"/>
      <c r="B142" s="84"/>
      <c r="D142" s="84"/>
      <c r="E142" s="84"/>
      <c r="G142" s="84"/>
      <c r="H142" s="84"/>
      <c r="I142" s="84"/>
      <c r="AZ142" s="84"/>
      <c r="BV142" s="84"/>
    </row>
    <row r="143">
      <c r="A143" s="84"/>
      <c r="B143" s="84"/>
      <c r="D143" s="84"/>
      <c r="E143" s="84"/>
      <c r="G143" s="84"/>
      <c r="H143" s="84"/>
      <c r="I143" s="84"/>
      <c r="AZ143" s="84"/>
      <c r="BV143" s="84"/>
    </row>
    <row r="144">
      <c r="A144" s="84"/>
      <c r="B144" s="84"/>
      <c r="D144" s="84"/>
      <c r="E144" s="84"/>
      <c r="G144" s="84"/>
      <c r="H144" s="84"/>
      <c r="I144" s="84"/>
      <c r="AZ144" s="84"/>
      <c r="BV144" s="84"/>
    </row>
    <row r="145">
      <c r="A145" s="84"/>
      <c r="B145" s="84"/>
      <c r="D145" s="84"/>
      <c r="E145" s="84"/>
      <c r="G145" s="84"/>
      <c r="H145" s="84"/>
      <c r="I145" s="84"/>
      <c r="AZ145" s="84"/>
      <c r="BV145" s="84"/>
    </row>
    <row r="146">
      <c r="A146" s="84"/>
      <c r="B146" s="84"/>
      <c r="D146" s="84"/>
      <c r="E146" s="84"/>
      <c r="G146" s="84"/>
      <c r="H146" s="84"/>
      <c r="I146" s="84"/>
      <c r="AZ146" s="84"/>
      <c r="BV146" s="84"/>
    </row>
    <row r="147">
      <c r="A147" s="84"/>
      <c r="B147" s="84"/>
      <c r="D147" s="84"/>
      <c r="E147" s="84"/>
      <c r="G147" s="84"/>
      <c r="H147" s="84"/>
      <c r="I147" s="84"/>
      <c r="AZ147" s="84"/>
      <c r="BV147" s="84"/>
    </row>
    <row r="148">
      <c r="A148" s="84"/>
      <c r="B148" s="84"/>
      <c r="D148" s="84"/>
      <c r="E148" s="84"/>
      <c r="G148" s="84"/>
      <c r="H148" s="84"/>
      <c r="I148" s="84"/>
      <c r="AZ148" s="84"/>
      <c r="BV148" s="84"/>
    </row>
    <row r="149">
      <c r="A149" s="84"/>
      <c r="B149" s="84"/>
      <c r="D149" s="84"/>
      <c r="E149" s="84"/>
      <c r="G149" s="84"/>
      <c r="H149" s="84"/>
      <c r="I149" s="84"/>
      <c r="AZ149" s="84"/>
      <c r="BV149" s="84"/>
    </row>
    <row r="150">
      <c r="A150" s="84"/>
      <c r="B150" s="84"/>
      <c r="D150" s="84"/>
      <c r="E150" s="84"/>
      <c r="G150" s="84"/>
      <c r="H150" s="84"/>
      <c r="I150" s="84"/>
      <c r="AZ150" s="84"/>
      <c r="BV150" s="84"/>
    </row>
    <row r="151">
      <c r="A151" s="84"/>
      <c r="B151" s="84"/>
      <c r="D151" s="84"/>
      <c r="E151" s="84"/>
      <c r="G151" s="84"/>
      <c r="H151" s="84"/>
      <c r="I151" s="84"/>
      <c r="AZ151" s="84"/>
      <c r="BV151" s="84"/>
    </row>
    <row r="152">
      <c r="A152" s="84"/>
      <c r="B152" s="84"/>
      <c r="D152" s="84"/>
      <c r="E152" s="84"/>
      <c r="G152" s="84"/>
      <c r="H152" s="84"/>
      <c r="I152" s="84"/>
      <c r="AZ152" s="84"/>
      <c r="BV152" s="84"/>
    </row>
    <row r="153">
      <c r="A153" s="84"/>
      <c r="B153" s="84"/>
      <c r="D153" s="84"/>
      <c r="E153" s="84"/>
      <c r="G153" s="84"/>
      <c r="H153" s="84"/>
      <c r="I153" s="84"/>
      <c r="AZ153" s="84"/>
      <c r="BV153" s="84"/>
    </row>
    <row r="154">
      <c r="A154" s="84"/>
      <c r="B154" s="84"/>
      <c r="D154" s="84"/>
      <c r="E154" s="84"/>
      <c r="G154" s="84"/>
      <c r="H154" s="84"/>
      <c r="I154" s="84"/>
      <c r="AZ154" s="84"/>
      <c r="BV154" s="84"/>
    </row>
    <row r="155">
      <c r="A155" s="84"/>
      <c r="B155" s="84"/>
      <c r="D155" s="84"/>
      <c r="E155" s="84"/>
      <c r="G155" s="84"/>
      <c r="H155" s="84"/>
      <c r="I155" s="84"/>
      <c r="AZ155" s="84"/>
      <c r="BV155" s="84"/>
    </row>
    <row r="156">
      <c r="A156" s="84"/>
      <c r="B156" s="84"/>
      <c r="D156" s="84"/>
      <c r="E156" s="84"/>
      <c r="G156" s="84"/>
      <c r="H156" s="84"/>
      <c r="I156" s="84"/>
      <c r="AZ156" s="84"/>
      <c r="BV156" s="84"/>
    </row>
    <row r="157">
      <c r="A157" s="84"/>
      <c r="B157" s="84"/>
      <c r="D157" s="84"/>
      <c r="E157" s="84"/>
      <c r="G157" s="84"/>
      <c r="H157" s="84"/>
      <c r="I157" s="84"/>
      <c r="AZ157" s="84"/>
      <c r="BV157" s="84"/>
    </row>
    <row r="158">
      <c r="A158" s="84"/>
      <c r="B158" s="84"/>
      <c r="D158" s="84"/>
      <c r="E158" s="84"/>
      <c r="G158" s="84"/>
      <c r="H158" s="84"/>
      <c r="I158" s="84"/>
      <c r="AZ158" s="84"/>
      <c r="BV158" s="84"/>
    </row>
    <row r="159">
      <c r="A159" s="84"/>
      <c r="B159" s="84"/>
      <c r="D159" s="84"/>
      <c r="E159" s="84"/>
      <c r="G159" s="84"/>
      <c r="H159" s="84"/>
      <c r="I159" s="84"/>
      <c r="AZ159" s="84"/>
      <c r="BV159" s="84"/>
    </row>
    <row r="160">
      <c r="A160" s="84"/>
      <c r="B160" s="84"/>
      <c r="D160" s="84"/>
      <c r="E160" s="84"/>
      <c r="G160" s="84"/>
      <c r="H160" s="84"/>
      <c r="I160" s="84"/>
      <c r="AZ160" s="84"/>
      <c r="BV160" s="84"/>
    </row>
    <row r="161">
      <c r="A161" s="84"/>
      <c r="B161" s="84"/>
      <c r="D161" s="84"/>
      <c r="E161" s="84"/>
      <c r="G161" s="84"/>
      <c r="H161" s="84"/>
      <c r="I161" s="84"/>
      <c r="AZ161" s="84"/>
      <c r="BV161" s="84"/>
    </row>
    <row r="162">
      <c r="A162" s="84"/>
      <c r="B162" s="84"/>
      <c r="D162" s="84"/>
      <c r="E162" s="84"/>
      <c r="G162" s="84"/>
      <c r="H162" s="84"/>
      <c r="I162" s="84"/>
      <c r="AZ162" s="84"/>
      <c r="BV162" s="84"/>
    </row>
    <row r="163">
      <c r="A163" s="84"/>
      <c r="B163" s="84"/>
      <c r="D163" s="84"/>
      <c r="E163" s="84"/>
      <c r="G163" s="84"/>
      <c r="H163" s="84"/>
      <c r="I163" s="84"/>
      <c r="AZ163" s="84"/>
      <c r="BV163" s="84"/>
    </row>
    <row r="164">
      <c r="A164" s="84"/>
      <c r="B164" s="84"/>
      <c r="D164" s="84"/>
      <c r="E164" s="84"/>
      <c r="G164" s="84"/>
      <c r="H164" s="84"/>
      <c r="I164" s="84"/>
      <c r="AZ164" s="84"/>
      <c r="BV164" s="84"/>
    </row>
    <row r="165">
      <c r="A165" s="84"/>
      <c r="B165" s="84"/>
      <c r="D165" s="84"/>
      <c r="E165" s="84"/>
      <c r="G165" s="84"/>
      <c r="H165" s="84"/>
      <c r="I165" s="84"/>
      <c r="AZ165" s="84"/>
      <c r="BV165" s="84"/>
    </row>
    <row r="166">
      <c r="A166" s="84"/>
      <c r="B166" s="84"/>
      <c r="D166" s="84"/>
      <c r="E166" s="84"/>
      <c r="G166" s="84"/>
      <c r="H166" s="84"/>
      <c r="I166" s="84"/>
      <c r="AZ166" s="84"/>
      <c r="BV166" s="84"/>
    </row>
    <row r="167">
      <c r="A167" s="84"/>
      <c r="B167" s="84"/>
      <c r="D167" s="84"/>
      <c r="E167" s="84"/>
      <c r="G167" s="84"/>
      <c r="H167" s="84"/>
      <c r="I167" s="84"/>
      <c r="AZ167" s="84"/>
      <c r="BV167" s="84"/>
    </row>
    <row r="168">
      <c r="A168" s="84"/>
      <c r="B168" s="84"/>
      <c r="D168" s="84"/>
      <c r="E168" s="84"/>
      <c r="G168" s="84"/>
      <c r="H168" s="84"/>
      <c r="I168" s="84"/>
      <c r="AZ168" s="84"/>
      <c r="BV168" s="84"/>
    </row>
    <row r="169">
      <c r="A169" s="84"/>
      <c r="B169" s="84"/>
      <c r="D169" s="84"/>
      <c r="E169" s="84"/>
      <c r="G169" s="84"/>
      <c r="H169" s="84"/>
      <c r="I169" s="84"/>
      <c r="AZ169" s="84"/>
      <c r="BV169" s="84"/>
    </row>
    <row r="170">
      <c r="A170" s="84"/>
      <c r="B170" s="84"/>
      <c r="D170" s="84"/>
      <c r="E170" s="84"/>
      <c r="G170" s="84"/>
      <c r="H170" s="84"/>
      <c r="I170" s="84"/>
      <c r="AZ170" s="84"/>
      <c r="BV170" s="84"/>
    </row>
    <row r="171">
      <c r="A171" s="84"/>
      <c r="B171" s="84"/>
      <c r="D171" s="84"/>
      <c r="E171" s="84"/>
      <c r="G171" s="84"/>
      <c r="H171" s="84"/>
      <c r="I171" s="84"/>
      <c r="AZ171" s="84"/>
      <c r="BV171" s="84"/>
    </row>
    <row r="172">
      <c r="A172" s="84"/>
      <c r="B172" s="84"/>
      <c r="D172" s="84"/>
      <c r="E172" s="84"/>
      <c r="G172" s="84"/>
      <c r="H172" s="84"/>
      <c r="I172" s="84"/>
      <c r="AZ172" s="84"/>
      <c r="BV172" s="84"/>
    </row>
    <row r="173">
      <c r="A173" s="84"/>
      <c r="B173" s="84"/>
      <c r="D173" s="84"/>
      <c r="E173" s="84"/>
      <c r="G173" s="84"/>
      <c r="H173" s="84"/>
      <c r="I173" s="84"/>
      <c r="AZ173" s="84"/>
      <c r="BV173" s="84"/>
    </row>
    <row r="174">
      <c r="A174" s="84"/>
      <c r="B174" s="84"/>
      <c r="D174" s="84"/>
      <c r="E174" s="84"/>
      <c r="G174" s="84"/>
      <c r="H174" s="84"/>
      <c r="I174" s="84"/>
      <c r="AZ174" s="84"/>
      <c r="BV174" s="84"/>
    </row>
    <row r="175">
      <c r="A175" s="84"/>
      <c r="B175" s="84"/>
      <c r="D175" s="84"/>
      <c r="E175" s="84"/>
      <c r="G175" s="84"/>
      <c r="H175" s="84"/>
      <c r="I175" s="84"/>
      <c r="AZ175" s="84"/>
      <c r="BV175" s="84"/>
    </row>
    <row r="176">
      <c r="A176" s="84"/>
      <c r="B176" s="84"/>
      <c r="D176" s="84"/>
      <c r="E176" s="84"/>
      <c r="G176" s="84"/>
      <c r="H176" s="84"/>
      <c r="I176" s="84"/>
      <c r="AZ176" s="84"/>
      <c r="BV176" s="84"/>
    </row>
    <row r="177">
      <c r="A177" s="84"/>
      <c r="B177" s="84"/>
      <c r="D177" s="84"/>
      <c r="E177" s="84"/>
      <c r="G177" s="84"/>
      <c r="H177" s="84"/>
      <c r="I177" s="84"/>
      <c r="AZ177" s="84"/>
      <c r="BV177" s="84"/>
    </row>
    <row r="178">
      <c r="A178" s="84"/>
      <c r="B178" s="84"/>
      <c r="D178" s="84"/>
      <c r="E178" s="84"/>
      <c r="G178" s="84"/>
      <c r="H178" s="84"/>
      <c r="I178" s="84"/>
      <c r="AZ178" s="84"/>
      <c r="BV178" s="84"/>
    </row>
    <row r="179">
      <c r="A179" s="84"/>
      <c r="B179" s="84"/>
      <c r="D179" s="84"/>
      <c r="E179" s="84"/>
      <c r="G179" s="84"/>
      <c r="H179" s="84"/>
      <c r="I179" s="84"/>
      <c r="AZ179" s="84"/>
      <c r="BV179" s="84"/>
    </row>
    <row r="180">
      <c r="A180" s="84"/>
      <c r="B180" s="84"/>
      <c r="D180" s="84"/>
      <c r="E180" s="84"/>
      <c r="G180" s="84"/>
      <c r="H180" s="84"/>
      <c r="I180" s="84"/>
      <c r="AZ180" s="84"/>
      <c r="BV180" s="84"/>
    </row>
    <row r="181">
      <c r="A181" s="84"/>
      <c r="B181" s="84"/>
      <c r="D181" s="84"/>
      <c r="E181" s="84"/>
      <c r="G181" s="84"/>
      <c r="H181" s="84"/>
      <c r="I181" s="84"/>
      <c r="AZ181" s="84"/>
      <c r="BV181" s="84"/>
    </row>
    <row r="182">
      <c r="A182" s="84"/>
      <c r="B182" s="84"/>
      <c r="D182" s="84"/>
      <c r="E182" s="84"/>
      <c r="G182" s="84"/>
      <c r="H182" s="84"/>
      <c r="I182" s="84"/>
      <c r="AZ182" s="84"/>
      <c r="BV182" s="84"/>
    </row>
    <row r="183">
      <c r="A183" s="84"/>
      <c r="B183" s="84"/>
      <c r="D183" s="84"/>
      <c r="E183" s="84"/>
      <c r="G183" s="84"/>
      <c r="H183" s="84"/>
      <c r="I183" s="84"/>
      <c r="AZ183" s="84"/>
      <c r="BV183" s="84"/>
    </row>
    <row r="184">
      <c r="A184" s="84"/>
      <c r="B184" s="84"/>
      <c r="D184" s="84"/>
      <c r="E184" s="84"/>
      <c r="G184" s="84"/>
      <c r="H184" s="84"/>
      <c r="I184" s="84"/>
      <c r="AZ184" s="84"/>
      <c r="BV184" s="84"/>
    </row>
    <row r="185">
      <c r="A185" s="84"/>
      <c r="B185" s="84"/>
      <c r="D185" s="84"/>
      <c r="E185" s="84"/>
      <c r="G185" s="84"/>
      <c r="H185" s="84"/>
      <c r="I185" s="84"/>
      <c r="AZ185" s="84"/>
      <c r="BV185" s="84"/>
    </row>
    <row r="186">
      <c r="A186" s="84"/>
      <c r="B186" s="84"/>
      <c r="D186" s="84"/>
      <c r="E186" s="84"/>
      <c r="G186" s="84"/>
      <c r="H186" s="84"/>
      <c r="I186" s="84"/>
      <c r="AZ186" s="84"/>
      <c r="BV186" s="84"/>
    </row>
    <row r="187">
      <c r="A187" s="84"/>
      <c r="B187" s="84"/>
      <c r="D187" s="84"/>
      <c r="E187" s="84"/>
      <c r="G187" s="84"/>
      <c r="H187" s="84"/>
      <c r="I187" s="84"/>
      <c r="AZ187" s="84"/>
      <c r="BV187" s="84"/>
    </row>
    <row r="188">
      <c r="A188" s="84"/>
      <c r="B188" s="84"/>
      <c r="D188" s="84"/>
      <c r="E188" s="84"/>
      <c r="G188" s="84"/>
      <c r="H188" s="84"/>
      <c r="I188" s="84"/>
      <c r="AZ188" s="84"/>
      <c r="BV188" s="84"/>
    </row>
    <row r="189">
      <c r="A189" s="84"/>
      <c r="B189" s="84"/>
      <c r="D189" s="84"/>
      <c r="E189" s="84"/>
      <c r="G189" s="84"/>
      <c r="H189" s="84"/>
      <c r="I189" s="84"/>
      <c r="AZ189" s="84"/>
      <c r="BV189" s="84"/>
    </row>
    <row r="190">
      <c r="A190" s="84"/>
      <c r="B190" s="84"/>
      <c r="D190" s="84"/>
      <c r="E190" s="84"/>
      <c r="G190" s="84"/>
      <c r="H190" s="84"/>
      <c r="I190" s="84"/>
      <c r="AZ190" s="84"/>
      <c r="BV190" s="84"/>
    </row>
    <row r="191">
      <c r="A191" s="84"/>
      <c r="B191" s="84"/>
      <c r="D191" s="84"/>
      <c r="E191" s="84"/>
      <c r="G191" s="84"/>
      <c r="H191" s="84"/>
      <c r="I191" s="84"/>
      <c r="AZ191" s="84"/>
      <c r="BV191" s="84"/>
    </row>
    <row r="192">
      <c r="A192" s="84"/>
      <c r="B192" s="84"/>
      <c r="D192" s="84"/>
      <c r="E192" s="84"/>
      <c r="G192" s="84"/>
      <c r="H192" s="84"/>
      <c r="I192" s="84"/>
      <c r="AZ192" s="84"/>
      <c r="BV192" s="84"/>
    </row>
    <row r="193">
      <c r="A193" s="84"/>
      <c r="B193" s="84"/>
      <c r="D193" s="84"/>
      <c r="E193" s="84"/>
      <c r="G193" s="84"/>
      <c r="H193" s="84"/>
      <c r="I193" s="84"/>
      <c r="AZ193" s="84"/>
      <c r="BV193" s="84"/>
    </row>
    <row r="194">
      <c r="A194" s="84"/>
      <c r="B194" s="84"/>
      <c r="D194" s="84"/>
      <c r="E194" s="84"/>
      <c r="G194" s="84"/>
      <c r="H194" s="84"/>
      <c r="I194" s="84"/>
      <c r="AZ194" s="84"/>
      <c r="BV194" s="84"/>
    </row>
    <row r="195">
      <c r="A195" s="84"/>
      <c r="B195" s="84"/>
      <c r="D195" s="84"/>
      <c r="E195" s="84"/>
      <c r="G195" s="84"/>
      <c r="H195" s="84"/>
      <c r="I195" s="84"/>
      <c r="AZ195" s="84"/>
      <c r="BV195" s="84"/>
    </row>
    <row r="196">
      <c r="A196" s="84"/>
      <c r="B196" s="84"/>
      <c r="D196" s="84"/>
      <c r="E196" s="84"/>
      <c r="G196" s="84"/>
      <c r="H196" s="84"/>
      <c r="I196" s="84"/>
      <c r="AZ196" s="84"/>
      <c r="BV196" s="84"/>
    </row>
    <row r="197">
      <c r="A197" s="84"/>
      <c r="B197" s="84"/>
      <c r="D197" s="84"/>
      <c r="E197" s="84"/>
      <c r="G197" s="84"/>
      <c r="H197" s="84"/>
      <c r="I197" s="84"/>
      <c r="AZ197" s="84"/>
      <c r="BV197" s="84"/>
    </row>
    <row r="198">
      <c r="A198" s="84"/>
      <c r="B198" s="84"/>
      <c r="D198" s="84"/>
      <c r="E198" s="84"/>
      <c r="G198" s="84"/>
      <c r="H198" s="84"/>
      <c r="I198" s="84"/>
      <c r="AZ198" s="84"/>
      <c r="BV198" s="84"/>
    </row>
    <row r="199">
      <c r="A199" s="84"/>
      <c r="B199" s="84"/>
      <c r="D199" s="84"/>
      <c r="E199" s="84"/>
      <c r="G199" s="84"/>
      <c r="H199" s="84"/>
      <c r="I199" s="84"/>
      <c r="AZ199" s="84"/>
      <c r="BV199" s="84"/>
    </row>
    <row r="200">
      <c r="A200" s="84"/>
      <c r="B200" s="84"/>
      <c r="D200" s="84"/>
      <c r="E200" s="84"/>
      <c r="G200" s="84"/>
      <c r="H200" s="84"/>
      <c r="I200" s="84"/>
      <c r="AZ200" s="84"/>
      <c r="BV200" s="84"/>
    </row>
    <row r="201">
      <c r="A201" s="84"/>
      <c r="B201" s="84"/>
      <c r="D201" s="84"/>
      <c r="E201" s="84"/>
      <c r="G201" s="84"/>
      <c r="H201" s="84"/>
      <c r="I201" s="84"/>
      <c r="AZ201" s="84"/>
      <c r="BV201" s="84"/>
    </row>
    <row r="202">
      <c r="A202" s="84"/>
      <c r="B202" s="84"/>
      <c r="D202" s="84"/>
      <c r="E202" s="84"/>
      <c r="G202" s="84"/>
      <c r="H202" s="84"/>
      <c r="I202" s="84"/>
      <c r="AZ202" s="84"/>
      <c r="BV202" s="84"/>
    </row>
    <row r="203">
      <c r="A203" s="84"/>
      <c r="B203" s="84"/>
      <c r="D203" s="84"/>
      <c r="E203" s="84"/>
      <c r="G203" s="84"/>
      <c r="H203" s="84"/>
      <c r="I203" s="84"/>
      <c r="AZ203" s="84"/>
      <c r="BV203" s="84"/>
    </row>
    <row r="204">
      <c r="A204" s="84"/>
      <c r="B204" s="84"/>
      <c r="D204" s="84"/>
      <c r="E204" s="84"/>
      <c r="G204" s="84"/>
      <c r="H204" s="84"/>
      <c r="I204" s="84"/>
      <c r="AZ204" s="84"/>
      <c r="BV204" s="84"/>
    </row>
    <row r="205">
      <c r="A205" s="84"/>
      <c r="B205" s="84"/>
      <c r="D205" s="84"/>
      <c r="E205" s="84"/>
      <c r="G205" s="84"/>
      <c r="H205" s="84"/>
      <c r="I205" s="84"/>
      <c r="AZ205" s="84"/>
      <c r="BV205" s="84"/>
    </row>
    <row r="206">
      <c r="A206" s="84"/>
      <c r="B206" s="84"/>
      <c r="D206" s="84"/>
      <c r="E206" s="84"/>
      <c r="G206" s="84"/>
      <c r="H206" s="84"/>
      <c r="I206" s="84"/>
      <c r="AZ206" s="84"/>
      <c r="BV206" s="84"/>
    </row>
    <row r="207">
      <c r="A207" s="84"/>
      <c r="B207" s="84"/>
      <c r="D207" s="84"/>
      <c r="E207" s="84"/>
      <c r="G207" s="84"/>
      <c r="H207" s="84"/>
      <c r="I207" s="84"/>
      <c r="AZ207" s="84"/>
      <c r="BV207" s="84"/>
    </row>
    <row r="208">
      <c r="A208" s="84"/>
      <c r="B208" s="84"/>
      <c r="D208" s="84"/>
      <c r="E208" s="84"/>
      <c r="G208" s="84"/>
      <c r="H208" s="84"/>
      <c r="I208" s="84"/>
      <c r="AZ208" s="84"/>
      <c r="BV208" s="84"/>
    </row>
    <row r="209">
      <c r="A209" s="84"/>
      <c r="B209" s="84"/>
      <c r="D209" s="84"/>
      <c r="E209" s="84"/>
      <c r="G209" s="84"/>
      <c r="H209" s="84"/>
      <c r="I209" s="84"/>
      <c r="AZ209" s="84"/>
      <c r="BV209" s="84"/>
    </row>
    <row r="210">
      <c r="A210" s="84"/>
      <c r="B210" s="84"/>
      <c r="D210" s="84"/>
      <c r="E210" s="84"/>
      <c r="G210" s="84"/>
      <c r="H210" s="84"/>
      <c r="I210" s="84"/>
      <c r="AZ210" s="84"/>
      <c r="BV210" s="84"/>
    </row>
    <row r="211">
      <c r="A211" s="84"/>
      <c r="B211" s="84"/>
      <c r="D211" s="84"/>
      <c r="E211" s="84"/>
      <c r="G211" s="84"/>
      <c r="H211" s="84"/>
      <c r="I211" s="84"/>
      <c r="AZ211" s="84"/>
      <c r="BV211" s="84"/>
    </row>
    <row r="212">
      <c r="A212" s="84"/>
      <c r="B212" s="84"/>
      <c r="D212" s="84"/>
      <c r="E212" s="84"/>
      <c r="G212" s="84"/>
      <c r="H212" s="84"/>
      <c r="I212" s="84"/>
      <c r="AZ212" s="84"/>
      <c r="BV212" s="84"/>
    </row>
    <row r="213">
      <c r="A213" s="84"/>
      <c r="B213" s="84"/>
      <c r="D213" s="84"/>
      <c r="E213" s="84"/>
      <c r="G213" s="84"/>
      <c r="H213" s="84"/>
      <c r="I213" s="84"/>
      <c r="AZ213" s="84"/>
      <c r="BV213" s="84"/>
    </row>
    <row r="214">
      <c r="A214" s="84"/>
      <c r="B214" s="84"/>
      <c r="D214" s="84"/>
      <c r="E214" s="84"/>
      <c r="G214" s="84"/>
      <c r="H214" s="84"/>
      <c r="I214" s="84"/>
      <c r="AZ214" s="84"/>
      <c r="BV214" s="84"/>
    </row>
    <row r="215">
      <c r="A215" s="84"/>
      <c r="B215" s="84"/>
      <c r="D215" s="84"/>
      <c r="E215" s="84"/>
      <c r="G215" s="84"/>
      <c r="H215" s="84"/>
      <c r="I215" s="84"/>
      <c r="AZ215" s="84"/>
      <c r="BV215" s="84"/>
    </row>
    <row r="216">
      <c r="A216" s="84"/>
      <c r="B216" s="84"/>
      <c r="D216" s="84"/>
      <c r="E216" s="84"/>
      <c r="G216" s="84"/>
      <c r="H216" s="84"/>
      <c r="I216" s="84"/>
      <c r="AZ216" s="84"/>
      <c r="BV216" s="84"/>
    </row>
    <row r="217">
      <c r="A217" s="84"/>
      <c r="B217" s="84"/>
      <c r="D217" s="84"/>
      <c r="E217" s="84"/>
      <c r="G217" s="84"/>
      <c r="H217" s="84"/>
      <c r="I217" s="84"/>
      <c r="AZ217" s="84"/>
      <c r="BV217" s="84"/>
    </row>
    <row r="218">
      <c r="A218" s="84"/>
      <c r="B218" s="84"/>
      <c r="D218" s="84"/>
      <c r="E218" s="84"/>
      <c r="G218" s="84"/>
      <c r="H218" s="84"/>
      <c r="I218" s="84"/>
      <c r="AZ218" s="84"/>
      <c r="BV218" s="84"/>
    </row>
    <row r="219">
      <c r="A219" s="84"/>
      <c r="B219" s="84"/>
      <c r="D219" s="84"/>
      <c r="E219" s="84"/>
      <c r="G219" s="84"/>
      <c r="H219" s="84"/>
      <c r="I219" s="84"/>
      <c r="AZ219" s="84"/>
      <c r="BV219" s="84"/>
    </row>
    <row r="220">
      <c r="A220" s="84"/>
      <c r="B220" s="84"/>
      <c r="D220" s="84"/>
      <c r="E220" s="84"/>
      <c r="G220" s="84"/>
      <c r="H220" s="84"/>
      <c r="I220" s="84"/>
      <c r="AZ220" s="84"/>
      <c r="BV220" s="84"/>
    </row>
    <row r="221">
      <c r="A221" s="84"/>
      <c r="B221" s="84"/>
      <c r="D221" s="84"/>
      <c r="E221" s="84"/>
      <c r="G221" s="84"/>
      <c r="H221" s="84"/>
      <c r="I221" s="84"/>
      <c r="AZ221" s="84"/>
      <c r="BV221" s="84"/>
    </row>
    <row r="222">
      <c r="A222" s="84"/>
      <c r="B222" s="84"/>
      <c r="D222" s="84"/>
      <c r="E222" s="84"/>
      <c r="G222" s="84"/>
      <c r="H222" s="84"/>
      <c r="I222" s="84"/>
      <c r="AZ222" s="84"/>
      <c r="BV222" s="84"/>
    </row>
    <row r="223">
      <c r="A223" s="84"/>
      <c r="B223" s="84"/>
      <c r="D223" s="84"/>
      <c r="E223" s="84"/>
      <c r="G223" s="84"/>
      <c r="H223" s="84"/>
      <c r="I223" s="84"/>
      <c r="AZ223" s="84"/>
      <c r="BV223" s="84"/>
    </row>
    <row r="224">
      <c r="A224" s="84"/>
      <c r="B224" s="84"/>
      <c r="D224" s="84"/>
      <c r="E224" s="84"/>
      <c r="G224" s="84"/>
      <c r="H224" s="84"/>
      <c r="I224" s="84"/>
      <c r="AZ224" s="84"/>
      <c r="BV224" s="84"/>
    </row>
    <row r="225">
      <c r="A225" s="84"/>
      <c r="B225" s="84"/>
      <c r="D225" s="84"/>
      <c r="E225" s="84"/>
      <c r="G225" s="84"/>
      <c r="H225" s="84"/>
      <c r="I225" s="84"/>
      <c r="AZ225" s="84"/>
      <c r="BV225" s="84"/>
    </row>
    <row r="226">
      <c r="A226" s="84"/>
      <c r="B226" s="84"/>
      <c r="D226" s="84"/>
      <c r="E226" s="84"/>
      <c r="G226" s="84"/>
      <c r="H226" s="84"/>
      <c r="I226" s="84"/>
      <c r="AZ226" s="84"/>
      <c r="BV226" s="84"/>
    </row>
    <row r="227">
      <c r="A227" s="84"/>
      <c r="B227" s="84"/>
      <c r="D227" s="84"/>
      <c r="E227" s="84"/>
      <c r="G227" s="84"/>
      <c r="H227" s="84"/>
      <c r="I227" s="84"/>
      <c r="AZ227" s="84"/>
      <c r="BV227" s="84"/>
    </row>
    <row r="228">
      <c r="A228" s="84"/>
      <c r="B228" s="84"/>
      <c r="D228" s="84"/>
      <c r="E228" s="84"/>
      <c r="G228" s="84"/>
      <c r="H228" s="84"/>
      <c r="I228" s="84"/>
      <c r="AZ228" s="84"/>
      <c r="BV228" s="84"/>
    </row>
    <row r="229">
      <c r="A229" s="84"/>
      <c r="B229" s="84"/>
      <c r="D229" s="84"/>
      <c r="E229" s="84"/>
      <c r="G229" s="84"/>
      <c r="H229" s="84"/>
      <c r="I229" s="84"/>
      <c r="AZ229" s="84"/>
      <c r="BV229" s="84"/>
    </row>
    <row r="230">
      <c r="A230" s="84"/>
      <c r="B230" s="84"/>
      <c r="D230" s="84"/>
      <c r="E230" s="84"/>
      <c r="G230" s="84"/>
      <c r="H230" s="84"/>
      <c r="I230" s="84"/>
      <c r="AZ230" s="84"/>
      <c r="BV230" s="84"/>
    </row>
    <row r="231">
      <c r="A231" s="84"/>
      <c r="B231" s="84"/>
      <c r="D231" s="84"/>
      <c r="E231" s="84"/>
      <c r="G231" s="84"/>
      <c r="H231" s="84"/>
      <c r="I231" s="84"/>
      <c r="AZ231" s="84"/>
      <c r="BV231" s="84"/>
    </row>
    <row r="232">
      <c r="A232" s="84"/>
      <c r="B232" s="84"/>
      <c r="D232" s="84"/>
      <c r="E232" s="84"/>
      <c r="G232" s="84"/>
      <c r="H232" s="84"/>
      <c r="I232" s="84"/>
      <c r="AZ232" s="84"/>
      <c r="BV232" s="84"/>
    </row>
    <row r="233">
      <c r="A233" s="84"/>
      <c r="B233" s="84"/>
      <c r="D233" s="84"/>
      <c r="E233" s="84"/>
      <c r="G233" s="84"/>
      <c r="H233" s="84"/>
      <c r="I233" s="84"/>
      <c r="AZ233" s="84"/>
      <c r="BV233" s="84"/>
    </row>
    <row r="234">
      <c r="A234" s="84"/>
      <c r="B234" s="84"/>
      <c r="D234" s="84"/>
      <c r="E234" s="84"/>
      <c r="G234" s="84"/>
      <c r="H234" s="84"/>
      <c r="I234" s="84"/>
      <c r="AZ234" s="84"/>
      <c r="BV234" s="84"/>
    </row>
    <row r="235">
      <c r="A235" s="84"/>
      <c r="B235" s="84"/>
      <c r="D235" s="84"/>
      <c r="E235" s="84"/>
      <c r="G235" s="84"/>
      <c r="H235" s="84"/>
      <c r="I235" s="84"/>
      <c r="AZ235" s="84"/>
      <c r="BV235" s="84"/>
    </row>
    <row r="236">
      <c r="A236" s="84"/>
      <c r="B236" s="84"/>
      <c r="D236" s="84"/>
      <c r="E236" s="84"/>
      <c r="G236" s="84"/>
      <c r="H236" s="84"/>
      <c r="I236" s="84"/>
      <c r="AZ236" s="84"/>
      <c r="BV236" s="84"/>
    </row>
    <row r="237">
      <c r="A237" s="84"/>
      <c r="B237" s="84"/>
      <c r="D237" s="84"/>
      <c r="E237" s="84"/>
      <c r="G237" s="84"/>
      <c r="H237" s="84"/>
      <c r="I237" s="84"/>
      <c r="AZ237" s="84"/>
      <c r="BV237" s="84"/>
    </row>
    <row r="238">
      <c r="A238" s="84"/>
      <c r="B238" s="84"/>
      <c r="D238" s="84"/>
      <c r="E238" s="84"/>
      <c r="G238" s="84"/>
      <c r="H238" s="84"/>
      <c r="I238" s="84"/>
      <c r="AZ238" s="84"/>
      <c r="BV238" s="84"/>
    </row>
    <row r="239">
      <c r="A239" s="84"/>
      <c r="B239" s="84"/>
      <c r="D239" s="84"/>
      <c r="E239" s="84"/>
      <c r="G239" s="84"/>
      <c r="H239" s="84"/>
      <c r="I239" s="84"/>
      <c r="AZ239" s="84"/>
      <c r="BV239" s="84"/>
    </row>
    <row r="240">
      <c r="A240" s="84"/>
      <c r="B240" s="84"/>
      <c r="D240" s="84"/>
      <c r="E240" s="84"/>
      <c r="G240" s="84"/>
      <c r="H240" s="84"/>
      <c r="I240" s="84"/>
      <c r="AZ240" s="84"/>
      <c r="BV240" s="84"/>
    </row>
    <row r="241">
      <c r="A241" s="84"/>
      <c r="B241" s="84"/>
      <c r="D241" s="84"/>
      <c r="E241" s="84"/>
      <c r="G241" s="84"/>
      <c r="H241" s="84"/>
      <c r="I241" s="84"/>
      <c r="AZ241" s="84"/>
      <c r="BV241" s="84"/>
    </row>
    <row r="242">
      <c r="A242" s="84"/>
      <c r="B242" s="84"/>
      <c r="D242" s="84"/>
      <c r="E242" s="84"/>
      <c r="G242" s="84"/>
      <c r="H242" s="84"/>
      <c r="I242" s="84"/>
      <c r="AZ242" s="84"/>
      <c r="BV242" s="84"/>
    </row>
    <row r="243">
      <c r="A243" s="84"/>
      <c r="B243" s="84"/>
      <c r="D243" s="84"/>
      <c r="E243" s="84"/>
      <c r="G243" s="84"/>
      <c r="H243" s="84"/>
      <c r="I243" s="84"/>
      <c r="AZ243" s="84"/>
      <c r="BV243" s="84"/>
    </row>
    <row r="244">
      <c r="A244" s="84"/>
      <c r="B244" s="84"/>
      <c r="D244" s="84"/>
      <c r="E244" s="84"/>
      <c r="G244" s="84"/>
      <c r="H244" s="84"/>
      <c r="I244" s="84"/>
      <c r="AZ244" s="84"/>
      <c r="BV244" s="84"/>
    </row>
    <row r="245">
      <c r="A245" s="84"/>
      <c r="B245" s="84"/>
      <c r="D245" s="84"/>
      <c r="E245" s="84"/>
      <c r="G245" s="84"/>
      <c r="H245" s="84"/>
      <c r="I245" s="84"/>
      <c r="AZ245" s="84"/>
      <c r="BV245" s="84"/>
    </row>
    <row r="246">
      <c r="A246" s="84"/>
      <c r="B246" s="84"/>
      <c r="D246" s="84"/>
      <c r="E246" s="84"/>
      <c r="G246" s="84"/>
      <c r="H246" s="84"/>
      <c r="I246" s="84"/>
      <c r="AZ246" s="84"/>
      <c r="BV246" s="84"/>
    </row>
    <row r="247">
      <c r="A247" s="84"/>
      <c r="B247" s="84"/>
      <c r="D247" s="84"/>
      <c r="E247" s="84"/>
      <c r="G247" s="84"/>
      <c r="H247" s="84"/>
      <c r="I247" s="84"/>
      <c r="AZ247" s="84"/>
      <c r="BV247" s="84"/>
    </row>
    <row r="248">
      <c r="A248" s="84"/>
      <c r="B248" s="84"/>
      <c r="D248" s="84"/>
      <c r="E248" s="84"/>
      <c r="G248" s="84"/>
      <c r="H248" s="84"/>
      <c r="I248" s="84"/>
      <c r="AZ248" s="84"/>
      <c r="BV248" s="84"/>
    </row>
    <row r="249">
      <c r="A249" s="84"/>
      <c r="B249" s="84"/>
      <c r="D249" s="84"/>
      <c r="E249" s="84"/>
      <c r="G249" s="84"/>
      <c r="H249" s="84"/>
      <c r="I249" s="84"/>
      <c r="AZ249" s="84"/>
      <c r="BV249" s="84"/>
    </row>
    <row r="250">
      <c r="A250" s="84"/>
      <c r="B250" s="84"/>
      <c r="D250" s="84"/>
      <c r="E250" s="84"/>
      <c r="G250" s="84"/>
      <c r="H250" s="84"/>
      <c r="I250" s="84"/>
      <c r="AZ250" s="84"/>
      <c r="BV250" s="84"/>
    </row>
    <row r="251">
      <c r="A251" s="84"/>
      <c r="B251" s="84"/>
      <c r="D251" s="84"/>
      <c r="E251" s="84"/>
      <c r="G251" s="84"/>
      <c r="H251" s="84"/>
      <c r="I251" s="84"/>
      <c r="AZ251" s="84"/>
      <c r="BV251" s="84"/>
    </row>
    <row r="252">
      <c r="A252" s="84"/>
      <c r="B252" s="84"/>
      <c r="D252" s="84"/>
      <c r="E252" s="84"/>
      <c r="G252" s="84"/>
      <c r="H252" s="84"/>
      <c r="I252" s="84"/>
      <c r="AZ252" s="84"/>
      <c r="BV252" s="84"/>
    </row>
    <row r="253">
      <c r="A253" s="84"/>
      <c r="B253" s="84"/>
      <c r="D253" s="84"/>
      <c r="E253" s="84"/>
      <c r="G253" s="84"/>
      <c r="H253" s="84"/>
      <c r="I253" s="84"/>
      <c r="AZ253" s="84"/>
      <c r="BV253" s="84"/>
    </row>
    <row r="254">
      <c r="A254" s="84"/>
      <c r="B254" s="84"/>
      <c r="D254" s="84"/>
      <c r="E254" s="84"/>
      <c r="G254" s="84"/>
      <c r="H254" s="84"/>
      <c r="I254" s="84"/>
      <c r="AZ254" s="84"/>
      <c r="BV254" s="84"/>
    </row>
    <row r="255">
      <c r="A255" s="84"/>
      <c r="B255" s="84"/>
      <c r="D255" s="84"/>
      <c r="E255" s="84"/>
      <c r="G255" s="84"/>
      <c r="H255" s="84"/>
      <c r="I255" s="84"/>
      <c r="AZ255" s="84"/>
      <c r="BV255" s="84"/>
    </row>
    <row r="256">
      <c r="A256" s="84"/>
      <c r="B256" s="84"/>
      <c r="D256" s="84"/>
      <c r="E256" s="84"/>
      <c r="G256" s="84"/>
      <c r="H256" s="84"/>
      <c r="I256" s="84"/>
      <c r="AZ256" s="84"/>
      <c r="BV256" s="84"/>
    </row>
    <row r="257">
      <c r="A257" s="84"/>
      <c r="B257" s="84"/>
      <c r="D257" s="84"/>
      <c r="E257" s="84"/>
      <c r="G257" s="84"/>
      <c r="H257" s="84"/>
      <c r="I257" s="84"/>
      <c r="AZ257" s="84"/>
      <c r="BV257" s="84"/>
    </row>
    <row r="258">
      <c r="A258" s="84"/>
      <c r="B258" s="84"/>
      <c r="D258" s="84"/>
      <c r="E258" s="84"/>
      <c r="G258" s="84"/>
      <c r="H258" s="84"/>
      <c r="I258" s="84"/>
      <c r="AZ258" s="84"/>
      <c r="BV258" s="84"/>
    </row>
    <row r="259">
      <c r="A259" s="84"/>
      <c r="B259" s="84"/>
      <c r="D259" s="84"/>
      <c r="E259" s="84"/>
      <c r="G259" s="84"/>
      <c r="H259" s="84"/>
      <c r="I259" s="84"/>
      <c r="AZ259" s="84"/>
      <c r="BV259" s="84"/>
    </row>
    <row r="260">
      <c r="A260" s="84"/>
      <c r="B260" s="84"/>
      <c r="D260" s="84"/>
      <c r="E260" s="84"/>
      <c r="G260" s="84"/>
      <c r="H260" s="84"/>
      <c r="I260" s="84"/>
      <c r="AZ260" s="84"/>
      <c r="BV260" s="84"/>
    </row>
    <row r="261">
      <c r="A261" s="84"/>
      <c r="B261" s="84"/>
      <c r="D261" s="84"/>
      <c r="E261" s="84"/>
      <c r="G261" s="84"/>
      <c r="H261" s="84"/>
      <c r="I261" s="84"/>
      <c r="AZ261" s="84"/>
      <c r="BV261" s="84"/>
    </row>
    <row r="262">
      <c r="A262" s="84"/>
      <c r="B262" s="84"/>
      <c r="D262" s="84"/>
      <c r="E262" s="84"/>
      <c r="G262" s="84"/>
      <c r="H262" s="84"/>
      <c r="I262" s="84"/>
      <c r="AZ262" s="84"/>
      <c r="BV262" s="84"/>
    </row>
    <row r="263">
      <c r="A263" s="84"/>
      <c r="B263" s="84"/>
      <c r="D263" s="84"/>
      <c r="E263" s="84"/>
      <c r="G263" s="84"/>
      <c r="H263" s="84"/>
      <c r="I263" s="84"/>
      <c r="AZ263" s="84"/>
      <c r="BV263" s="84"/>
    </row>
    <row r="264">
      <c r="A264" s="84"/>
      <c r="B264" s="84"/>
      <c r="D264" s="84"/>
      <c r="E264" s="84"/>
      <c r="G264" s="84"/>
      <c r="H264" s="84"/>
      <c r="I264" s="84"/>
      <c r="AZ264" s="84"/>
      <c r="BV264" s="84"/>
    </row>
    <row r="265">
      <c r="A265" s="84"/>
      <c r="B265" s="84"/>
      <c r="D265" s="84"/>
      <c r="E265" s="84"/>
      <c r="G265" s="84"/>
      <c r="H265" s="84"/>
      <c r="I265" s="84"/>
      <c r="AZ265" s="84"/>
      <c r="BV265" s="84"/>
    </row>
    <row r="266">
      <c r="A266" s="84"/>
      <c r="B266" s="84"/>
      <c r="D266" s="84"/>
      <c r="E266" s="84"/>
      <c r="G266" s="84"/>
      <c r="H266" s="84"/>
      <c r="I266" s="84"/>
      <c r="AZ266" s="84"/>
      <c r="BV266" s="84"/>
    </row>
    <row r="267">
      <c r="A267" s="84"/>
      <c r="B267" s="84"/>
      <c r="D267" s="84"/>
      <c r="E267" s="84"/>
      <c r="G267" s="84"/>
      <c r="H267" s="84"/>
      <c r="I267" s="84"/>
      <c r="AZ267" s="84"/>
      <c r="BV267" s="84"/>
    </row>
    <row r="268">
      <c r="A268" s="84"/>
      <c r="B268" s="84"/>
      <c r="D268" s="84"/>
      <c r="E268" s="84"/>
      <c r="G268" s="84"/>
      <c r="H268" s="84"/>
      <c r="I268" s="84"/>
      <c r="AZ268" s="84"/>
      <c r="BV268" s="84"/>
    </row>
    <row r="269">
      <c r="A269" s="84"/>
      <c r="B269" s="84"/>
      <c r="D269" s="84"/>
      <c r="E269" s="84"/>
      <c r="G269" s="84"/>
      <c r="H269" s="84"/>
      <c r="I269" s="84"/>
      <c r="AZ269" s="84"/>
      <c r="BV269" s="84"/>
    </row>
    <row r="270">
      <c r="A270" s="84"/>
      <c r="B270" s="84"/>
      <c r="D270" s="84"/>
      <c r="E270" s="84"/>
      <c r="G270" s="84"/>
      <c r="H270" s="84"/>
      <c r="I270" s="84"/>
      <c r="AZ270" s="84"/>
      <c r="BV270" s="84"/>
    </row>
    <row r="271">
      <c r="A271" s="84"/>
      <c r="B271" s="84"/>
      <c r="D271" s="84"/>
      <c r="E271" s="84"/>
      <c r="G271" s="84"/>
      <c r="H271" s="84"/>
      <c r="I271" s="84"/>
      <c r="AZ271" s="84"/>
      <c r="BV271" s="84"/>
    </row>
    <row r="272">
      <c r="A272" s="84"/>
      <c r="B272" s="84"/>
      <c r="D272" s="84"/>
      <c r="E272" s="84"/>
      <c r="G272" s="84"/>
      <c r="H272" s="84"/>
      <c r="I272" s="84"/>
      <c r="AZ272" s="84"/>
      <c r="BV272" s="84"/>
    </row>
    <row r="273">
      <c r="A273" s="84"/>
      <c r="B273" s="84"/>
      <c r="D273" s="84"/>
      <c r="E273" s="84"/>
      <c r="G273" s="84"/>
      <c r="H273" s="84"/>
      <c r="I273" s="84"/>
      <c r="AZ273" s="84"/>
      <c r="BV273" s="84"/>
    </row>
    <row r="274">
      <c r="A274" s="84"/>
      <c r="B274" s="84"/>
      <c r="D274" s="84"/>
      <c r="E274" s="84"/>
      <c r="G274" s="84"/>
      <c r="H274" s="84"/>
      <c r="I274" s="84"/>
      <c r="AZ274" s="84"/>
      <c r="BV274" s="84"/>
    </row>
    <row r="275">
      <c r="A275" s="84"/>
      <c r="B275" s="84"/>
      <c r="D275" s="84"/>
      <c r="E275" s="84"/>
      <c r="G275" s="84"/>
      <c r="H275" s="84"/>
      <c r="I275" s="84"/>
      <c r="AZ275" s="84"/>
      <c r="BV275" s="84"/>
    </row>
    <row r="276">
      <c r="A276" s="84"/>
      <c r="B276" s="84"/>
      <c r="D276" s="84"/>
      <c r="E276" s="84"/>
      <c r="G276" s="84"/>
      <c r="H276" s="84"/>
      <c r="I276" s="84"/>
      <c r="AZ276" s="84"/>
      <c r="BV276" s="84"/>
    </row>
    <row r="277">
      <c r="A277" s="84"/>
      <c r="B277" s="84"/>
      <c r="D277" s="84"/>
      <c r="E277" s="84"/>
      <c r="G277" s="84"/>
      <c r="H277" s="84"/>
      <c r="I277" s="84"/>
      <c r="AZ277" s="84"/>
      <c r="BV277" s="84"/>
    </row>
    <row r="278">
      <c r="A278" s="84"/>
      <c r="B278" s="84"/>
      <c r="D278" s="84"/>
      <c r="E278" s="84"/>
      <c r="G278" s="84"/>
      <c r="H278" s="84"/>
      <c r="I278" s="84"/>
      <c r="AZ278" s="84"/>
      <c r="BV278" s="84"/>
    </row>
    <row r="279">
      <c r="A279" s="84"/>
      <c r="B279" s="84"/>
      <c r="D279" s="84"/>
      <c r="E279" s="84"/>
      <c r="G279" s="84"/>
      <c r="H279" s="84"/>
      <c r="I279" s="84"/>
      <c r="AZ279" s="84"/>
      <c r="BV279" s="84"/>
    </row>
    <row r="280">
      <c r="A280" s="84"/>
      <c r="B280" s="84"/>
      <c r="D280" s="84"/>
      <c r="E280" s="84"/>
      <c r="G280" s="84"/>
      <c r="H280" s="84"/>
      <c r="I280" s="84"/>
      <c r="AZ280" s="84"/>
      <c r="BV280" s="84"/>
    </row>
    <row r="281">
      <c r="A281" s="84"/>
      <c r="B281" s="84"/>
      <c r="D281" s="84"/>
      <c r="E281" s="84"/>
      <c r="G281" s="84"/>
      <c r="H281" s="84"/>
      <c r="I281" s="84"/>
      <c r="AZ281" s="84"/>
      <c r="BV281" s="84"/>
    </row>
    <row r="282">
      <c r="A282" s="84"/>
      <c r="B282" s="84"/>
      <c r="D282" s="84"/>
      <c r="E282" s="84"/>
      <c r="G282" s="84"/>
      <c r="H282" s="84"/>
      <c r="I282" s="84"/>
      <c r="AZ282" s="84"/>
      <c r="BV282" s="84"/>
    </row>
    <row r="283">
      <c r="A283" s="84"/>
      <c r="B283" s="84"/>
      <c r="D283" s="84"/>
      <c r="E283" s="84"/>
      <c r="G283" s="84"/>
      <c r="H283" s="84"/>
      <c r="I283" s="84"/>
      <c r="AZ283" s="84"/>
      <c r="BV283" s="84"/>
    </row>
    <row r="284">
      <c r="A284" s="84"/>
      <c r="B284" s="84"/>
      <c r="D284" s="84"/>
      <c r="E284" s="84"/>
      <c r="G284" s="84"/>
      <c r="H284" s="84"/>
      <c r="I284" s="84"/>
      <c r="AZ284" s="84"/>
      <c r="BV284" s="84"/>
    </row>
    <row r="285">
      <c r="A285" s="84"/>
      <c r="B285" s="84"/>
      <c r="D285" s="84"/>
      <c r="E285" s="84"/>
      <c r="G285" s="84"/>
      <c r="H285" s="84"/>
      <c r="I285" s="84"/>
      <c r="AZ285" s="84"/>
      <c r="BV285" s="84"/>
    </row>
    <row r="286">
      <c r="A286" s="84"/>
      <c r="B286" s="84"/>
      <c r="D286" s="84"/>
      <c r="E286" s="84"/>
      <c r="G286" s="84"/>
      <c r="H286" s="84"/>
      <c r="I286" s="84"/>
      <c r="AZ286" s="84"/>
      <c r="BV286" s="84"/>
    </row>
    <row r="287">
      <c r="A287" s="84"/>
      <c r="B287" s="84"/>
      <c r="D287" s="84"/>
      <c r="E287" s="84"/>
      <c r="G287" s="84"/>
      <c r="H287" s="84"/>
      <c r="I287" s="84"/>
      <c r="AZ287" s="84"/>
      <c r="BV287" s="84"/>
    </row>
    <row r="288">
      <c r="A288" s="84"/>
      <c r="B288" s="84"/>
      <c r="D288" s="84"/>
      <c r="E288" s="84"/>
      <c r="G288" s="84"/>
      <c r="H288" s="84"/>
      <c r="I288" s="84"/>
      <c r="AZ288" s="84"/>
      <c r="BV288" s="84"/>
    </row>
    <row r="289">
      <c r="A289" s="84"/>
      <c r="B289" s="84"/>
      <c r="D289" s="84"/>
      <c r="E289" s="84"/>
      <c r="G289" s="84"/>
      <c r="H289" s="84"/>
      <c r="I289" s="84"/>
      <c r="AZ289" s="84"/>
      <c r="BV289" s="84"/>
    </row>
    <row r="290">
      <c r="A290" s="84"/>
      <c r="B290" s="84"/>
      <c r="D290" s="84"/>
      <c r="E290" s="84"/>
      <c r="G290" s="84"/>
      <c r="H290" s="84"/>
      <c r="I290" s="84"/>
      <c r="AZ290" s="84"/>
      <c r="BV290" s="84"/>
    </row>
    <row r="291">
      <c r="A291" s="84"/>
      <c r="B291" s="84"/>
      <c r="D291" s="84"/>
      <c r="E291" s="84"/>
      <c r="G291" s="84"/>
      <c r="H291" s="84"/>
      <c r="I291" s="84"/>
      <c r="AZ291" s="84"/>
      <c r="BV291" s="84"/>
    </row>
    <row r="292">
      <c r="A292" s="84"/>
      <c r="B292" s="84"/>
      <c r="D292" s="84"/>
      <c r="E292" s="84"/>
      <c r="G292" s="84"/>
      <c r="H292" s="84"/>
      <c r="I292" s="84"/>
      <c r="AZ292" s="84"/>
      <c r="BV292" s="84"/>
    </row>
    <row r="293">
      <c r="A293" s="84"/>
      <c r="B293" s="84"/>
      <c r="D293" s="84"/>
      <c r="E293" s="84"/>
      <c r="G293" s="84"/>
      <c r="H293" s="84"/>
      <c r="I293" s="84"/>
      <c r="AZ293" s="84"/>
      <c r="BV293" s="84"/>
    </row>
    <row r="294">
      <c r="A294" s="84"/>
      <c r="B294" s="84"/>
      <c r="D294" s="84"/>
      <c r="E294" s="84"/>
      <c r="G294" s="84"/>
      <c r="H294" s="84"/>
      <c r="I294" s="84"/>
      <c r="AZ294" s="84"/>
      <c r="BV294" s="84"/>
    </row>
    <row r="295">
      <c r="A295" s="84"/>
      <c r="B295" s="84"/>
      <c r="D295" s="84"/>
      <c r="E295" s="84"/>
      <c r="G295" s="84"/>
      <c r="H295" s="84"/>
      <c r="I295" s="84"/>
      <c r="AZ295" s="84"/>
      <c r="BV295" s="84"/>
    </row>
    <row r="296">
      <c r="A296" s="84"/>
      <c r="B296" s="84"/>
      <c r="D296" s="84"/>
      <c r="E296" s="84"/>
      <c r="G296" s="84"/>
      <c r="H296" s="84"/>
      <c r="I296" s="84"/>
      <c r="AZ296" s="84"/>
      <c r="BV296" s="84"/>
    </row>
    <row r="297">
      <c r="A297" s="84"/>
      <c r="B297" s="84"/>
      <c r="D297" s="84"/>
      <c r="E297" s="84"/>
      <c r="G297" s="84"/>
      <c r="H297" s="84"/>
      <c r="I297" s="84"/>
      <c r="AZ297" s="84"/>
      <c r="BV297" s="84"/>
    </row>
    <row r="298">
      <c r="A298" s="84"/>
      <c r="B298" s="84"/>
      <c r="D298" s="84"/>
      <c r="E298" s="84"/>
      <c r="G298" s="84"/>
      <c r="H298" s="84"/>
      <c r="I298" s="84"/>
      <c r="AZ298" s="84"/>
      <c r="BV298" s="84"/>
    </row>
    <row r="299">
      <c r="A299" s="84"/>
      <c r="B299" s="84"/>
      <c r="D299" s="84"/>
      <c r="E299" s="84"/>
      <c r="G299" s="84"/>
      <c r="H299" s="84"/>
      <c r="I299" s="84"/>
      <c r="AZ299" s="84"/>
      <c r="BV299" s="84"/>
    </row>
    <row r="300">
      <c r="A300" s="84"/>
      <c r="B300" s="84"/>
      <c r="D300" s="84"/>
      <c r="E300" s="84"/>
      <c r="G300" s="84"/>
      <c r="H300" s="84"/>
      <c r="I300" s="84"/>
      <c r="AZ300" s="84"/>
      <c r="BV300" s="84"/>
    </row>
    <row r="301">
      <c r="A301" s="84"/>
      <c r="B301" s="84"/>
      <c r="D301" s="84"/>
      <c r="E301" s="84"/>
      <c r="G301" s="84"/>
      <c r="H301" s="84"/>
      <c r="I301" s="84"/>
      <c r="AZ301" s="84"/>
      <c r="BV301" s="84"/>
    </row>
    <row r="302">
      <c r="A302" s="84"/>
      <c r="B302" s="84"/>
      <c r="D302" s="84"/>
      <c r="E302" s="84"/>
      <c r="G302" s="84"/>
      <c r="H302" s="84"/>
      <c r="I302" s="84"/>
      <c r="AZ302" s="84"/>
      <c r="BV302" s="84"/>
    </row>
    <row r="303">
      <c r="A303" s="84"/>
      <c r="B303" s="84"/>
      <c r="D303" s="84"/>
      <c r="E303" s="84"/>
      <c r="G303" s="84"/>
      <c r="H303" s="84"/>
      <c r="I303" s="84"/>
      <c r="AZ303" s="84"/>
      <c r="BV303" s="84"/>
    </row>
    <row r="304">
      <c r="A304" s="84"/>
      <c r="B304" s="84"/>
      <c r="D304" s="84"/>
      <c r="E304" s="84"/>
      <c r="G304" s="84"/>
      <c r="H304" s="84"/>
      <c r="I304" s="84"/>
      <c r="AZ304" s="84"/>
      <c r="BV304" s="84"/>
    </row>
    <row r="305">
      <c r="A305" s="84"/>
      <c r="B305" s="84"/>
      <c r="D305" s="84"/>
      <c r="E305" s="84"/>
      <c r="G305" s="84"/>
      <c r="H305" s="84"/>
      <c r="I305" s="84"/>
      <c r="AZ305" s="84"/>
      <c r="BV305" s="84"/>
    </row>
    <row r="306">
      <c r="A306" s="84"/>
      <c r="B306" s="84"/>
      <c r="D306" s="84"/>
      <c r="E306" s="84"/>
      <c r="G306" s="84"/>
      <c r="H306" s="84"/>
      <c r="I306" s="84"/>
      <c r="AZ306" s="84"/>
      <c r="BV306" s="84"/>
    </row>
    <row r="307">
      <c r="A307" s="84"/>
      <c r="B307" s="84"/>
      <c r="D307" s="84"/>
      <c r="E307" s="84"/>
      <c r="G307" s="84"/>
      <c r="H307" s="84"/>
      <c r="I307" s="84"/>
      <c r="AZ307" s="84"/>
      <c r="BV307" s="84"/>
    </row>
    <row r="308">
      <c r="A308" s="84"/>
      <c r="B308" s="84"/>
      <c r="D308" s="84"/>
      <c r="E308" s="84"/>
      <c r="G308" s="84"/>
      <c r="H308" s="84"/>
      <c r="I308" s="84"/>
      <c r="AZ308" s="84"/>
      <c r="BV308" s="84"/>
    </row>
    <row r="309">
      <c r="A309" s="84"/>
      <c r="B309" s="84"/>
      <c r="D309" s="84"/>
      <c r="E309" s="84"/>
      <c r="G309" s="84"/>
      <c r="H309" s="84"/>
      <c r="I309" s="84"/>
      <c r="AZ309" s="84"/>
      <c r="BV309" s="84"/>
    </row>
    <row r="310">
      <c r="A310" s="84"/>
      <c r="B310" s="84"/>
      <c r="D310" s="84"/>
      <c r="E310" s="84"/>
      <c r="G310" s="84"/>
      <c r="H310" s="84"/>
      <c r="I310" s="84"/>
      <c r="AZ310" s="84"/>
      <c r="BV310" s="84"/>
    </row>
    <row r="311">
      <c r="A311" s="84"/>
      <c r="B311" s="84"/>
      <c r="D311" s="84"/>
      <c r="E311" s="84"/>
      <c r="G311" s="84"/>
      <c r="H311" s="84"/>
      <c r="I311" s="84"/>
      <c r="AZ311" s="84"/>
      <c r="BV311" s="84"/>
    </row>
    <row r="312">
      <c r="A312" s="84"/>
      <c r="B312" s="84"/>
      <c r="D312" s="84"/>
      <c r="E312" s="84"/>
      <c r="G312" s="84"/>
      <c r="H312" s="84"/>
      <c r="I312" s="84"/>
      <c r="AZ312" s="84"/>
      <c r="BV312" s="84"/>
    </row>
    <row r="313">
      <c r="A313" s="84"/>
      <c r="B313" s="84"/>
      <c r="D313" s="84"/>
      <c r="E313" s="84"/>
      <c r="G313" s="84"/>
      <c r="H313" s="84"/>
      <c r="I313" s="84"/>
      <c r="AZ313" s="84"/>
      <c r="BV313" s="84"/>
    </row>
    <row r="314">
      <c r="A314" s="84"/>
      <c r="B314" s="84"/>
      <c r="D314" s="84"/>
      <c r="E314" s="84"/>
      <c r="G314" s="84"/>
      <c r="H314" s="84"/>
      <c r="I314" s="84"/>
      <c r="AZ314" s="84"/>
      <c r="BV314" s="84"/>
    </row>
    <row r="315">
      <c r="A315" s="84"/>
      <c r="B315" s="84"/>
      <c r="D315" s="84"/>
      <c r="E315" s="84"/>
      <c r="G315" s="84"/>
      <c r="H315" s="84"/>
      <c r="I315" s="84"/>
      <c r="AZ315" s="84"/>
      <c r="BV315" s="84"/>
    </row>
    <row r="316">
      <c r="A316" s="84"/>
      <c r="B316" s="84"/>
      <c r="D316" s="84"/>
      <c r="E316" s="84"/>
      <c r="G316" s="84"/>
      <c r="H316" s="84"/>
      <c r="I316" s="84"/>
      <c r="AZ316" s="84"/>
      <c r="BV316" s="84"/>
    </row>
    <row r="317">
      <c r="A317" s="84"/>
      <c r="B317" s="84"/>
      <c r="D317" s="84"/>
      <c r="E317" s="84"/>
      <c r="G317" s="84"/>
      <c r="H317" s="84"/>
      <c r="I317" s="84"/>
      <c r="AZ317" s="84"/>
      <c r="BV317" s="84"/>
    </row>
    <row r="318">
      <c r="A318" s="84"/>
      <c r="B318" s="84"/>
      <c r="D318" s="84"/>
      <c r="E318" s="84"/>
      <c r="G318" s="84"/>
      <c r="H318" s="84"/>
      <c r="I318" s="84"/>
      <c r="AZ318" s="84"/>
      <c r="BV318" s="84"/>
    </row>
    <row r="319">
      <c r="A319" s="84"/>
      <c r="B319" s="84"/>
      <c r="D319" s="84"/>
      <c r="E319" s="84"/>
      <c r="G319" s="84"/>
      <c r="H319" s="84"/>
      <c r="I319" s="84"/>
      <c r="AZ319" s="84"/>
      <c r="BV319" s="84"/>
    </row>
    <row r="320">
      <c r="A320" s="84"/>
      <c r="B320" s="84"/>
      <c r="D320" s="84"/>
      <c r="E320" s="84"/>
      <c r="G320" s="84"/>
      <c r="H320" s="84"/>
      <c r="I320" s="84"/>
      <c r="AZ320" s="84"/>
      <c r="BV320" s="84"/>
    </row>
    <row r="321">
      <c r="A321" s="84"/>
      <c r="B321" s="84"/>
      <c r="D321" s="84"/>
      <c r="E321" s="84"/>
      <c r="G321" s="84"/>
      <c r="H321" s="84"/>
      <c r="I321" s="84"/>
      <c r="AZ321" s="84"/>
      <c r="BV321" s="84"/>
    </row>
    <row r="322">
      <c r="A322" s="84"/>
      <c r="B322" s="84"/>
      <c r="D322" s="84"/>
      <c r="E322" s="84"/>
      <c r="G322" s="84"/>
      <c r="H322" s="84"/>
      <c r="I322" s="84"/>
      <c r="AZ322" s="84"/>
      <c r="BV322" s="84"/>
    </row>
    <row r="323">
      <c r="A323" s="84"/>
      <c r="B323" s="84"/>
      <c r="D323" s="84"/>
      <c r="E323" s="84"/>
      <c r="G323" s="84"/>
      <c r="H323" s="84"/>
      <c r="I323" s="84"/>
      <c r="AZ323" s="84"/>
      <c r="BV323" s="84"/>
    </row>
    <row r="324">
      <c r="A324" s="84"/>
      <c r="B324" s="84"/>
      <c r="D324" s="84"/>
      <c r="E324" s="84"/>
      <c r="G324" s="84"/>
      <c r="H324" s="84"/>
      <c r="I324" s="84"/>
      <c r="AZ324" s="84"/>
      <c r="BV324" s="84"/>
    </row>
    <row r="325">
      <c r="A325" s="84"/>
      <c r="B325" s="84"/>
      <c r="D325" s="84"/>
      <c r="E325" s="84"/>
      <c r="G325" s="84"/>
      <c r="H325" s="84"/>
      <c r="I325" s="84"/>
      <c r="AZ325" s="84"/>
      <c r="BV325" s="84"/>
    </row>
    <row r="326">
      <c r="A326" s="84"/>
      <c r="B326" s="84"/>
      <c r="D326" s="84"/>
      <c r="E326" s="84"/>
      <c r="G326" s="84"/>
      <c r="H326" s="84"/>
      <c r="I326" s="84"/>
      <c r="AZ326" s="84"/>
      <c r="BV326" s="84"/>
    </row>
    <row r="327">
      <c r="A327" s="84"/>
      <c r="B327" s="84"/>
      <c r="D327" s="84"/>
      <c r="E327" s="84"/>
      <c r="G327" s="84"/>
      <c r="H327" s="84"/>
      <c r="I327" s="84"/>
      <c r="AZ327" s="84"/>
      <c r="BV327" s="84"/>
    </row>
    <row r="328">
      <c r="A328" s="84"/>
      <c r="B328" s="84"/>
      <c r="D328" s="84"/>
      <c r="E328" s="84"/>
      <c r="G328" s="84"/>
      <c r="H328" s="84"/>
      <c r="I328" s="84"/>
      <c r="AZ328" s="84"/>
      <c r="BV328" s="84"/>
    </row>
    <row r="329">
      <c r="A329" s="84"/>
      <c r="B329" s="84"/>
      <c r="D329" s="84"/>
      <c r="E329" s="84"/>
      <c r="G329" s="84"/>
      <c r="H329" s="84"/>
      <c r="I329" s="84"/>
      <c r="AZ329" s="84"/>
      <c r="BV329" s="84"/>
    </row>
    <row r="330">
      <c r="A330" s="84"/>
      <c r="B330" s="84"/>
      <c r="D330" s="84"/>
      <c r="E330" s="84"/>
      <c r="G330" s="84"/>
      <c r="H330" s="84"/>
      <c r="I330" s="84"/>
      <c r="AZ330" s="84"/>
      <c r="BV330" s="84"/>
    </row>
    <row r="331">
      <c r="A331" s="84"/>
      <c r="B331" s="84"/>
      <c r="D331" s="84"/>
      <c r="E331" s="84"/>
      <c r="G331" s="84"/>
      <c r="H331" s="84"/>
      <c r="I331" s="84"/>
      <c r="AZ331" s="84"/>
      <c r="BV331" s="84"/>
    </row>
    <row r="332">
      <c r="A332" s="84"/>
      <c r="B332" s="84"/>
      <c r="D332" s="84"/>
      <c r="E332" s="84"/>
      <c r="G332" s="84"/>
      <c r="H332" s="84"/>
      <c r="I332" s="84"/>
      <c r="AZ332" s="84"/>
      <c r="BV332" s="84"/>
    </row>
    <row r="333">
      <c r="A333" s="84"/>
      <c r="B333" s="84"/>
      <c r="D333" s="84"/>
      <c r="E333" s="84"/>
      <c r="G333" s="84"/>
      <c r="H333" s="84"/>
      <c r="I333" s="84"/>
      <c r="AZ333" s="84"/>
      <c r="BV333" s="84"/>
    </row>
    <row r="334">
      <c r="A334" s="84"/>
      <c r="B334" s="84"/>
      <c r="D334" s="84"/>
      <c r="E334" s="84"/>
      <c r="G334" s="84"/>
      <c r="H334" s="84"/>
      <c r="I334" s="84"/>
      <c r="AZ334" s="84"/>
      <c r="BV334" s="84"/>
    </row>
    <row r="335">
      <c r="A335" s="84"/>
      <c r="B335" s="84"/>
      <c r="D335" s="84"/>
      <c r="E335" s="84"/>
      <c r="G335" s="84"/>
      <c r="H335" s="84"/>
      <c r="I335" s="84"/>
      <c r="AZ335" s="84"/>
      <c r="BV335" s="84"/>
    </row>
    <row r="336">
      <c r="A336" s="84"/>
      <c r="B336" s="84"/>
      <c r="D336" s="84"/>
      <c r="E336" s="84"/>
      <c r="G336" s="84"/>
      <c r="H336" s="84"/>
      <c r="I336" s="84"/>
      <c r="AZ336" s="84"/>
      <c r="BV336" s="84"/>
    </row>
    <row r="337">
      <c r="A337" s="84"/>
      <c r="B337" s="84"/>
      <c r="D337" s="84"/>
      <c r="E337" s="84"/>
      <c r="G337" s="84"/>
      <c r="H337" s="84"/>
      <c r="I337" s="84"/>
      <c r="AZ337" s="84"/>
      <c r="BV337" s="84"/>
    </row>
    <row r="338">
      <c r="A338" s="84"/>
      <c r="B338" s="84"/>
      <c r="D338" s="84"/>
      <c r="E338" s="84"/>
      <c r="G338" s="84"/>
      <c r="H338" s="84"/>
      <c r="I338" s="84"/>
      <c r="AZ338" s="84"/>
      <c r="BV338" s="84"/>
    </row>
    <row r="339">
      <c r="A339" s="84"/>
      <c r="B339" s="84"/>
      <c r="D339" s="84"/>
      <c r="E339" s="84"/>
      <c r="G339" s="84"/>
      <c r="H339" s="84"/>
      <c r="I339" s="84"/>
      <c r="AZ339" s="84"/>
      <c r="BV339" s="84"/>
    </row>
    <row r="340">
      <c r="A340" s="84"/>
      <c r="B340" s="84"/>
      <c r="D340" s="84"/>
      <c r="E340" s="84"/>
      <c r="G340" s="84"/>
      <c r="H340" s="84"/>
      <c r="I340" s="84"/>
      <c r="AZ340" s="84"/>
      <c r="BV340" s="84"/>
    </row>
    <row r="341">
      <c r="A341" s="84"/>
      <c r="B341" s="84"/>
      <c r="D341" s="84"/>
      <c r="E341" s="84"/>
      <c r="G341" s="84"/>
      <c r="H341" s="84"/>
      <c r="I341" s="84"/>
      <c r="AZ341" s="84"/>
      <c r="BV341" s="84"/>
    </row>
    <row r="342">
      <c r="A342" s="84"/>
      <c r="B342" s="84"/>
      <c r="D342" s="84"/>
      <c r="E342" s="84"/>
      <c r="G342" s="84"/>
      <c r="H342" s="84"/>
      <c r="I342" s="84"/>
      <c r="AZ342" s="84"/>
      <c r="BV342" s="84"/>
    </row>
    <row r="343">
      <c r="A343" s="84"/>
      <c r="B343" s="84"/>
      <c r="D343" s="84"/>
      <c r="E343" s="84"/>
      <c r="G343" s="84"/>
      <c r="H343" s="84"/>
      <c r="I343" s="84"/>
      <c r="AZ343" s="84"/>
      <c r="BV343" s="84"/>
    </row>
    <row r="344">
      <c r="A344" s="84"/>
      <c r="B344" s="84"/>
      <c r="D344" s="84"/>
      <c r="E344" s="84"/>
      <c r="G344" s="84"/>
      <c r="H344" s="84"/>
      <c r="I344" s="84"/>
      <c r="AZ344" s="84"/>
      <c r="BV344" s="84"/>
    </row>
    <row r="345">
      <c r="A345" s="84"/>
      <c r="B345" s="84"/>
      <c r="D345" s="84"/>
      <c r="E345" s="84"/>
      <c r="G345" s="84"/>
      <c r="H345" s="84"/>
      <c r="I345" s="84"/>
      <c r="AZ345" s="84"/>
      <c r="BV345" s="84"/>
    </row>
    <row r="346">
      <c r="A346" s="84"/>
      <c r="B346" s="84"/>
      <c r="D346" s="84"/>
      <c r="E346" s="84"/>
      <c r="G346" s="84"/>
      <c r="H346" s="84"/>
      <c r="I346" s="84"/>
      <c r="AZ346" s="84"/>
      <c r="BV346" s="84"/>
    </row>
    <row r="347">
      <c r="A347" s="84"/>
      <c r="B347" s="84"/>
      <c r="D347" s="84"/>
      <c r="E347" s="84"/>
      <c r="G347" s="84"/>
      <c r="H347" s="84"/>
      <c r="I347" s="84"/>
      <c r="AZ347" s="84"/>
      <c r="BV347" s="84"/>
    </row>
    <row r="348">
      <c r="A348" s="84"/>
      <c r="B348" s="84"/>
      <c r="D348" s="84"/>
      <c r="E348" s="84"/>
      <c r="G348" s="84"/>
      <c r="H348" s="84"/>
      <c r="I348" s="84"/>
      <c r="AZ348" s="84"/>
      <c r="BV348" s="84"/>
    </row>
    <row r="349">
      <c r="A349" s="84"/>
      <c r="B349" s="84"/>
      <c r="D349" s="84"/>
      <c r="E349" s="84"/>
      <c r="G349" s="84"/>
      <c r="H349" s="84"/>
      <c r="I349" s="84"/>
      <c r="AZ349" s="84"/>
      <c r="BV349" s="84"/>
    </row>
    <row r="350">
      <c r="A350" s="84"/>
      <c r="B350" s="84"/>
      <c r="D350" s="84"/>
      <c r="E350" s="84"/>
      <c r="G350" s="84"/>
      <c r="H350" s="84"/>
      <c r="I350" s="84"/>
      <c r="AZ350" s="84"/>
      <c r="BV350" s="84"/>
    </row>
    <row r="351">
      <c r="A351" s="84"/>
      <c r="B351" s="84"/>
      <c r="D351" s="84"/>
      <c r="E351" s="84"/>
      <c r="G351" s="84"/>
      <c r="H351" s="84"/>
      <c r="I351" s="84"/>
      <c r="AZ351" s="84"/>
      <c r="BV351" s="84"/>
    </row>
    <row r="352">
      <c r="A352" s="84"/>
      <c r="B352" s="84"/>
      <c r="D352" s="84"/>
      <c r="E352" s="84"/>
      <c r="G352" s="84"/>
      <c r="H352" s="84"/>
      <c r="I352" s="84"/>
      <c r="AZ352" s="84"/>
      <c r="BV352" s="84"/>
    </row>
    <row r="353">
      <c r="A353" s="84"/>
      <c r="B353" s="84"/>
      <c r="D353" s="84"/>
      <c r="E353" s="84"/>
      <c r="G353" s="84"/>
      <c r="H353" s="84"/>
      <c r="I353" s="84"/>
      <c r="AZ353" s="84"/>
      <c r="BV353" s="84"/>
    </row>
    <row r="354">
      <c r="A354" s="84"/>
      <c r="B354" s="84"/>
      <c r="D354" s="84"/>
      <c r="E354" s="84"/>
      <c r="G354" s="84"/>
      <c r="H354" s="84"/>
      <c r="I354" s="84"/>
      <c r="AZ354" s="84"/>
      <c r="BV354" s="84"/>
    </row>
    <row r="355">
      <c r="A355" s="84"/>
      <c r="B355" s="84"/>
      <c r="D355" s="84"/>
      <c r="E355" s="84"/>
      <c r="G355" s="84"/>
      <c r="H355" s="84"/>
      <c r="I355" s="84"/>
      <c r="AZ355" s="84"/>
      <c r="BV355" s="84"/>
    </row>
    <row r="356">
      <c r="A356" s="84"/>
      <c r="B356" s="84"/>
      <c r="D356" s="84"/>
      <c r="E356" s="84"/>
      <c r="G356" s="84"/>
      <c r="H356" s="84"/>
      <c r="I356" s="84"/>
      <c r="AZ356" s="84"/>
      <c r="BV356" s="84"/>
    </row>
    <row r="357">
      <c r="A357" s="84"/>
      <c r="B357" s="84"/>
      <c r="D357" s="84"/>
      <c r="E357" s="84"/>
      <c r="G357" s="84"/>
      <c r="H357" s="84"/>
      <c r="I357" s="84"/>
      <c r="AZ357" s="84"/>
      <c r="BV357" s="84"/>
    </row>
    <row r="358">
      <c r="A358" s="84"/>
      <c r="B358" s="84"/>
      <c r="D358" s="84"/>
      <c r="E358" s="84"/>
      <c r="G358" s="84"/>
      <c r="H358" s="84"/>
      <c r="I358" s="84"/>
      <c r="AZ358" s="84"/>
      <c r="BV358" s="84"/>
    </row>
    <row r="359">
      <c r="A359" s="84"/>
      <c r="B359" s="84"/>
      <c r="D359" s="84"/>
      <c r="E359" s="84"/>
      <c r="G359" s="84"/>
      <c r="H359" s="84"/>
      <c r="I359" s="84"/>
      <c r="AZ359" s="84"/>
      <c r="BV359" s="84"/>
    </row>
    <row r="360">
      <c r="A360" s="84"/>
      <c r="B360" s="84"/>
      <c r="D360" s="84"/>
      <c r="E360" s="84"/>
      <c r="G360" s="84"/>
      <c r="H360" s="84"/>
      <c r="I360" s="84"/>
      <c r="AZ360" s="84"/>
      <c r="BV360" s="84"/>
    </row>
    <row r="361">
      <c r="A361" s="84"/>
      <c r="B361" s="84"/>
      <c r="D361" s="84"/>
      <c r="E361" s="84"/>
      <c r="G361" s="84"/>
      <c r="H361" s="84"/>
      <c r="I361" s="84"/>
      <c r="AZ361" s="84"/>
      <c r="BV361" s="84"/>
    </row>
    <row r="362">
      <c r="A362" s="84"/>
      <c r="B362" s="84"/>
      <c r="D362" s="84"/>
      <c r="E362" s="84"/>
      <c r="G362" s="84"/>
      <c r="H362" s="84"/>
      <c r="I362" s="84"/>
      <c r="AZ362" s="84"/>
      <c r="BV362" s="84"/>
    </row>
    <row r="363">
      <c r="A363" s="84"/>
      <c r="B363" s="84"/>
      <c r="D363" s="84"/>
      <c r="E363" s="84"/>
      <c r="G363" s="84"/>
      <c r="H363" s="84"/>
      <c r="I363" s="84"/>
      <c r="AZ363" s="84"/>
      <c r="BV363" s="84"/>
    </row>
    <row r="364">
      <c r="A364" s="84"/>
      <c r="B364" s="84"/>
      <c r="D364" s="84"/>
      <c r="E364" s="84"/>
      <c r="G364" s="84"/>
      <c r="H364" s="84"/>
      <c r="I364" s="84"/>
      <c r="AZ364" s="84"/>
      <c r="BV364" s="84"/>
    </row>
    <row r="365">
      <c r="A365" s="84"/>
      <c r="B365" s="84"/>
      <c r="D365" s="84"/>
      <c r="E365" s="84"/>
      <c r="G365" s="84"/>
      <c r="H365" s="84"/>
      <c r="I365" s="84"/>
      <c r="AZ365" s="84"/>
      <c r="BV365" s="84"/>
    </row>
    <row r="366">
      <c r="A366" s="84"/>
      <c r="B366" s="84"/>
      <c r="D366" s="84"/>
      <c r="E366" s="84"/>
      <c r="G366" s="84"/>
      <c r="H366" s="84"/>
      <c r="I366" s="84"/>
      <c r="AZ366" s="84"/>
      <c r="BV366" s="84"/>
    </row>
    <row r="367">
      <c r="A367" s="84"/>
      <c r="B367" s="84"/>
      <c r="D367" s="84"/>
      <c r="E367" s="84"/>
      <c r="G367" s="84"/>
      <c r="H367" s="84"/>
      <c r="I367" s="84"/>
      <c r="AZ367" s="84"/>
      <c r="BV367" s="84"/>
    </row>
    <row r="368">
      <c r="A368" s="84"/>
      <c r="B368" s="84"/>
      <c r="D368" s="84"/>
      <c r="E368" s="84"/>
      <c r="G368" s="84"/>
      <c r="H368" s="84"/>
      <c r="I368" s="84"/>
      <c r="AZ368" s="84"/>
      <c r="BV368" s="84"/>
    </row>
    <row r="369">
      <c r="A369" s="84"/>
      <c r="B369" s="84"/>
      <c r="D369" s="84"/>
      <c r="E369" s="84"/>
      <c r="G369" s="84"/>
      <c r="H369" s="84"/>
      <c r="I369" s="84"/>
      <c r="AZ369" s="84"/>
      <c r="BV369" s="84"/>
    </row>
    <row r="370">
      <c r="A370" s="84"/>
      <c r="B370" s="84"/>
      <c r="D370" s="84"/>
      <c r="E370" s="84"/>
      <c r="G370" s="84"/>
      <c r="H370" s="84"/>
      <c r="I370" s="84"/>
      <c r="AZ370" s="84"/>
      <c r="BV370" s="84"/>
    </row>
    <row r="371">
      <c r="A371" s="84"/>
      <c r="B371" s="84"/>
      <c r="D371" s="84"/>
      <c r="E371" s="84"/>
      <c r="G371" s="84"/>
      <c r="H371" s="84"/>
      <c r="I371" s="84"/>
      <c r="AZ371" s="84"/>
      <c r="BV371" s="84"/>
    </row>
    <row r="372">
      <c r="A372" s="84"/>
      <c r="B372" s="84"/>
      <c r="D372" s="84"/>
      <c r="E372" s="84"/>
      <c r="G372" s="84"/>
      <c r="H372" s="84"/>
      <c r="I372" s="84"/>
      <c r="AZ372" s="84"/>
      <c r="BV372" s="84"/>
    </row>
    <row r="373">
      <c r="A373" s="84"/>
      <c r="B373" s="84"/>
      <c r="D373" s="84"/>
      <c r="E373" s="84"/>
      <c r="G373" s="84"/>
      <c r="H373" s="84"/>
      <c r="I373" s="84"/>
      <c r="AZ373" s="84"/>
      <c r="BV373" s="84"/>
    </row>
    <row r="374">
      <c r="A374" s="84"/>
      <c r="B374" s="84"/>
      <c r="D374" s="84"/>
      <c r="E374" s="84"/>
      <c r="G374" s="84"/>
      <c r="H374" s="84"/>
      <c r="I374" s="84"/>
      <c r="AZ374" s="84"/>
      <c r="BV374" s="84"/>
    </row>
    <row r="375">
      <c r="A375" s="84"/>
      <c r="B375" s="84"/>
      <c r="D375" s="84"/>
      <c r="E375" s="84"/>
      <c r="G375" s="84"/>
      <c r="H375" s="84"/>
      <c r="I375" s="84"/>
      <c r="AZ375" s="84"/>
      <c r="BV375" s="84"/>
    </row>
    <row r="376">
      <c r="A376" s="84"/>
      <c r="B376" s="84"/>
      <c r="D376" s="84"/>
      <c r="E376" s="84"/>
      <c r="G376" s="84"/>
      <c r="H376" s="84"/>
      <c r="I376" s="84"/>
      <c r="AZ376" s="84"/>
      <c r="BV376" s="84"/>
    </row>
    <row r="377">
      <c r="A377" s="84"/>
      <c r="B377" s="84"/>
      <c r="D377" s="84"/>
      <c r="E377" s="84"/>
      <c r="G377" s="84"/>
      <c r="H377" s="84"/>
      <c r="I377" s="84"/>
      <c r="AZ377" s="84"/>
      <c r="BV377" s="84"/>
    </row>
    <row r="378">
      <c r="A378" s="84"/>
      <c r="B378" s="84"/>
      <c r="D378" s="84"/>
      <c r="E378" s="84"/>
      <c r="G378" s="84"/>
      <c r="H378" s="84"/>
      <c r="I378" s="84"/>
      <c r="AZ378" s="84"/>
      <c r="BV378" s="84"/>
    </row>
    <row r="379">
      <c r="A379" s="84"/>
      <c r="B379" s="84"/>
      <c r="D379" s="84"/>
      <c r="E379" s="84"/>
      <c r="G379" s="84"/>
      <c r="H379" s="84"/>
      <c r="I379" s="84"/>
      <c r="AZ379" s="84"/>
      <c r="BV379" s="84"/>
    </row>
    <row r="380">
      <c r="A380" s="84"/>
      <c r="B380" s="84"/>
      <c r="D380" s="84"/>
      <c r="E380" s="84"/>
      <c r="G380" s="84"/>
      <c r="H380" s="84"/>
      <c r="I380" s="84"/>
      <c r="AZ380" s="84"/>
      <c r="BV380" s="84"/>
    </row>
    <row r="381">
      <c r="A381" s="84"/>
      <c r="B381" s="84"/>
      <c r="D381" s="84"/>
      <c r="E381" s="84"/>
      <c r="G381" s="84"/>
      <c r="H381" s="84"/>
      <c r="I381" s="84"/>
      <c r="AZ381" s="84"/>
      <c r="BV381" s="84"/>
    </row>
    <row r="382">
      <c r="A382" s="84"/>
      <c r="B382" s="84"/>
      <c r="D382" s="84"/>
      <c r="E382" s="84"/>
      <c r="G382" s="84"/>
      <c r="H382" s="84"/>
      <c r="I382" s="84"/>
      <c r="AZ382" s="84"/>
      <c r="BV382" s="84"/>
    </row>
    <row r="383">
      <c r="A383" s="84"/>
      <c r="B383" s="84"/>
      <c r="D383" s="84"/>
      <c r="E383" s="84"/>
      <c r="G383" s="84"/>
      <c r="H383" s="84"/>
      <c r="I383" s="84"/>
      <c r="AZ383" s="84"/>
      <c r="BV383" s="84"/>
    </row>
    <row r="384">
      <c r="A384" s="84"/>
      <c r="B384" s="84"/>
      <c r="D384" s="84"/>
      <c r="E384" s="84"/>
      <c r="G384" s="84"/>
      <c r="H384" s="84"/>
      <c r="I384" s="84"/>
      <c r="AZ384" s="84"/>
      <c r="BV384" s="84"/>
    </row>
    <row r="385">
      <c r="A385" s="84"/>
      <c r="B385" s="84"/>
      <c r="D385" s="84"/>
      <c r="E385" s="84"/>
      <c r="G385" s="84"/>
      <c r="H385" s="84"/>
      <c r="I385" s="84"/>
      <c r="AZ385" s="84"/>
      <c r="BV385" s="84"/>
    </row>
    <row r="386">
      <c r="A386" s="84"/>
      <c r="B386" s="84"/>
      <c r="D386" s="84"/>
      <c r="E386" s="84"/>
      <c r="G386" s="84"/>
      <c r="H386" s="84"/>
      <c r="I386" s="84"/>
      <c r="AZ386" s="84"/>
      <c r="BV386" s="84"/>
    </row>
    <row r="387">
      <c r="A387" s="84"/>
      <c r="B387" s="84"/>
      <c r="D387" s="84"/>
      <c r="E387" s="84"/>
      <c r="G387" s="84"/>
      <c r="H387" s="84"/>
      <c r="I387" s="84"/>
      <c r="AZ387" s="84"/>
      <c r="BV387" s="84"/>
    </row>
    <row r="388">
      <c r="A388" s="84"/>
      <c r="B388" s="84"/>
      <c r="D388" s="84"/>
      <c r="E388" s="84"/>
      <c r="G388" s="84"/>
      <c r="H388" s="84"/>
      <c r="I388" s="84"/>
      <c r="AZ388" s="84"/>
      <c r="BV388" s="84"/>
    </row>
    <row r="389">
      <c r="A389" s="84"/>
      <c r="B389" s="84"/>
      <c r="D389" s="84"/>
      <c r="E389" s="84"/>
      <c r="G389" s="84"/>
      <c r="H389" s="84"/>
      <c r="I389" s="84"/>
      <c r="AZ389" s="84"/>
      <c r="BV389" s="84"/>
    </row>
    <row r="390">
      <c r="A390" s="84"/>
      <c r="B390" s="84"/>
      <c r="D390" s="84"/>
      <c r="E390" s="84"/>
      <c r="G390" s="84"/>
      <c r="H390" s="84"/>
      <c r="I390" s="84"/>
      <c r="AZ390" s="84"/>
      <c r="BV390" s="84"/>
    </row>
    <row r="391">
      <c r="A391" s="84"/>
      <c r="B391" s="84"/>
      <c r="D391" s="84"/>
      <c r="E391" s="84"/>
      <c r="G391" s="84"/>
      <c r="H391" s="84"/>
      <c r="I391" s="84"/>
      <c r="AZ391" s="84"/>
      <c r="BV391" s="84"/>
    </row>
    <row r="392">
      <c r="A392" s="84"/>
      <c r="B392" s="84"/>
      <c r="D392" s="84"/>
      <c r="E392" s="84"/>
      <c r="G392" s="84"/>
      <c r="H392" s="84"/>
      <c r="I392" s="84"/>
      <c r="AZ392" s="84"/>
      <c r="BV392" s="84"/>
    </row>
    <row r="393">
      <c r="A393" s="84"/>
      <c r="B393" s="84"/>
      <c r="D393" s="84"/>
      <c r="E393" s="84"/>
      <c r="G393" s="84"/>
      <c r="H393" s="84"/>
      <c r="I393" s="84"/>
      <c r="AZ393" s="84"/>
      <c r="BV393" s="84"/>
    </row>
    <row r="394">
      <c r="A394" s="84"/>
      <c r="B394" s="84"/>
      <c r="D394" s="84"/>
      <c r="E394" s="84"/>
      <c r="G394" s="84"/>
      <c r="H394" s="84"/>
      <c r="I394" s="84"/>
      <c r="AZ394" s="84"/>
      <c r="BV394" s="84"/>
    </row>
    <row r="395">
      <c r="A395" s="84"/>
      <c r="B395" s="84"/>
      <c r="D395" s="84"/>
      <c r="E395" s="84"/>
      <c r="G395" s="84"/>
      <c r="H395" s="84"/>
      <c r="I395" s="84"/>
      <c r="AZ395" s="84"/>
      <c r="BV395" s="84"/>
    </row>
    <row r="396">
      <c r="A396" s="84"/>
      <c r="B396" s="84"/>
      <c r="D396" s="84"/>
      <c r="E396" s="84"/>
      <c r="G396" s="84"/>
      <c r="H396" s="84"/>
      <c r="I396" s="84"/>
      <c r="AZ396" s="84"/>
      <c r="BV396" s="84"/>
    </row>
    <row r="397">
      <c r="A397" s="84"/>
      <c r="B397" s="84"/>
      <c r="D397" s="84"/>
      <c r="E397" s="84"/>
      <c r="G397" s="84"/>
      <c r="H397" s="84"/>
      <c r="I397" s="84"/>
      <c r="AZ397" s="84"/>
      <c r="BV397" s="84"/>
    </row>
    <row r="398">
      <c r="A398" s="84"/>
      <c r="B398" s="84"/>
      <c r="D398" s="84"/>
      <c r="E398" s="84"/>
      <c r="G398" s="84"/>
      <c r="H398" s="84"/>
      <c r="I398" s="84"/>
      <c r="AZ398" s="84"/>
      <c r="BV398" s="84"/>
    </row>
    <row r="399">
      <c r="A399" s="84"/>
      <c r="B399" s="84"/>
      <c r="D399" s="84"/>
      <c r="E399" s="84"/>
      <c r="G399" s="84"/>
      <c r="H399" s="84"/>
      <c r="I399" s="84"/>
      <c r="AZ399" s="84"/>
      <c r="BV399" s="84"/>
    </row>
    <row r="400">
      <c r="A400" s="84"/>
      <c r="B400" s="84"/>
      <c r="D400" s="84"/>
      <c r="E400" s="84"/>
      <c r="G400" s="84"/>
      <c r="H400" s="84"/>
      <c r="I400" s="84"/>
      <c r="AZ400" s="84"/>
      <c r="BV400" s="84"/>
    </row>
    <row r="401">
      <c r="A401" s="84"/>
      <c r="B401" s="84"/>
      <c r="D401" s="84"/>
      <c r="E401" s="84"/>
      <c r="G401" s="84"/>
      <c r="H401" s="84"/>
      <c r="I401" s="84"/>
      <c r="AZ401" s="84"/>
      <c r="BV401" s="84"/>
    </row>
    <row r="402">
      <c r="A402" s="84"/>
      <c r="B402" s="84"/>
      <c r="D402" s="84"/>
      <c r="E402" s="84"/>
      <c r="G402" s="84"/>
      <c r="H402" s="84"/>
      <c r="I402" s="84"/>
      <c r="AZ402" s="84"/>
      <c r="BV402" s="84"/>
    </row>
    <row r="403">
      <c r="A403" s="84"/>
      <c r="B403" s="84"/>
      <c r="D403" s="84"/>
      <c r="E403" s="84"/>
      <c r="G403" s="84"/>
      <c r="H403" s="84"/>
      <c r="I403" s="84"/>
      <c r="AZ403" s="84"/>
      <c r="BV403" s="84"/>
    </row>
    <row r="404">
      <c r="A404" s="84"/>
      <c r="B404" s="84"/>
      <c r="D404" s="84"/>
      <c r="E404" s="84"/>
      <c r="G404" s="84"/>
      <c r="H404" s="84"/>
      <c r="I404" s="84"/>
      <c r="AZ404" s="84"/>
      <c r="BV404" s="84"/>
    </row>
    <row r="405">
      <c r="A405" s="84"/>
      <c r="B405" s="84"/>
      <c r="D405" s="84"/>
      <c r="E405" s="84"/>
      <c r="G405" s="84"/>
      <c r="H405" s="84"/>
      <c r="I405" s="84"/>
      <c r="AZ405" s="84"/>
      <c r="BV405" s="84"/>
    </row>
    <row r="406">
      <c r="A406" s="84"/>
      <c r="B406" s="84"/>
      <c r="D406" s="84"/>
      <c r="E406" s="84"/>
      <c r="G406" s="84"/>
      <c r="H406" s="84"/>
      <c r="I406" s="84"/>
      <c r="AZ406" s="84"/>
      <c r="BV406" s="84"/>
    </row>
    <row r="407">
      <c r="A407" s="84"/>
      <c r="B407" s="84"/>
      <c r="D407" s="84"/>
      <c r="E407" s="84"/>
      <c r="G407" s="84"/>
      <c r="H407" s="84"/>
      <c r="I407" s="84"/>
      <c r="AZ407" s="84"/>
      <c r="BV407" s="84"/>
    </row>
    <row r="408">
      <c r="A408" s="84"/>
      <c r="B408" s="84"/>
      <c r="D408" s="84"/>
      <c r="E408" s="84"/>
      <c r="G408" s="84"/>
      <c r="H408" s="84"/>
      <c r="I408" s="84"/>
      <c r="AZ408" s="84"/>
      <c r="BV408" s="84"/>
    </row>
    <row r="409">
      <c r="A409" s="84"/>
      <c r="B409" s="84"/>
      <c r="D409" s="84"/>
      <c r="E409" s="84"/>
      <c r="G409" s="84"/>
      <c r="H409" s="84"/>
      <c r="I409" s="84"/>
      <c r="AZ409" s="84"/>
      <c r="BV409" s="84"/>
    </row>
    <row r="410">
      <c r="A410" s="84"/>
      <c r="B410" s="84"/>
      <c r="D410" s="84"/>
      <c r="E410" s="84"/>
      <c r="G410" s="84"/>
      <c r="H410" s="84"/>
      <c r="I410" s="84"/>
      <c r="AZ410" s="84"/>
      <c r="BV410" s="84"/>
    </row>
    <row r="411">
      <c r="A411" s="84"/>
      <c r="B411" s="84"/>
      <c r="D411" s="84"/>
      <c r="E411" s="84"/>
      <c r="G411" s="84"/>
      <c r="H411" s="84"/>
      <c r="I411" s="84"/>
      <c r="AZ411" s="84"/>
      <c r="BV411" s="84"/>
    </row>
    <row r="412">
      <c r="A412" s="84"/>
      <c r="B412" s="84"/>
      <c r="D412" s="84"/>
      <c r="E412" s="84"/>
      <c r="G412" s="84"/>
      <c r="H412" s="84"/>
      <c r="I412" s="84"/>
      <c r="AZ412" s="84"/>
      <c r="BV412" s="84"/>
    </row>
    <row r="413">
      <c r="A413" s="84"/>
      <c r="B413" s="84"/>
      <c r="D413" s="84"/>
      <c r="E413" s="84"/>
      <c r="G413" s="84"/>
      <c r="H413" s="84"/>
      <c r="I413" s="84"/>
      <c r="AZ413" s="84"/>
      <c r="BV413" s="84"/>
    </row>
    <row r="414">
      <c r="A414" s="84"/>
      <c r="B414" s="84"/>
      <c r="D414" s="84"/>
      <c r="E414" s="84"/>
      <c r="G414" s="84"/>
      <c r="H414" s="84"/>
      <c r="I414" s="84"/>
      <c r="AZ414" s="84"/>
      <c r="BV414" s="84"/>
    </row>
    <row r="415">
      <c r="A415" s="84"/>
      <c r="B415" s="84"/>
      <c r="D415" s="84"/>
      <c r="E415" s="84"/>
      <c r="G415" s="84"/>
      <c r="H415" s="84"/>
      <c r="I415" s="84"/>
      <c r="AZ415" s="84"/>
      <c r="BV415" s="84"/>
    </row>
    <row r="416">
      <c r="A416" s="84"/>
      <c r="B416" s="84"/>
      <c r="D416" s="84"/>
      <c r="E416" s="84"/>
      <c r="G416" s="84"/>
      <c r="H416" s="84"/>
      <c r="I416" s="84"/>
      <c r="AZ416" s="84"/>
      <c r="BV416" s="84"/>
    </row>
    <row r="417">
      <c r="A417" s="84"/>
      <c r="B417" s="84"/>
      <c r="D417" s="84"/>
      <c r="E417" s="84"/>
      <c r="G417" s="84"/>
      <c r="H417" s="84"/>
      <c r="I417" s="84"/>
      <c r="AZ417" s="84"/>
      <c r="BV417" s="84"/>
    </row>
    <row r="418">
      <c r="A418" s="84"/>
      <c r="B418" s="84"/>
      <c r="D418" s="84"/>
      <c r="E418" s="84"/>
      <c r="G418" s="84"/>
      <c r="H418" s="84"/>
      <c r="I418" s="84"/>
      <c r="AZ418" s="84"/>
      <c r="BV418" s="84"/>
    </row>
    <row r="419">
      <c r="A419" s="84"/>
      <c r="B419" s="84"/>
      <c r="D419" s="84"/>
      <c r="E419" s="84"/>
      <c r="G419" s="84"/>
      <c r="H419" s="84"/>
      <c r="I419" s="84"/>
      <c r="AZ419" s="84"/>
      <c r="BV419" s="84"/>
    </row>
    <row r="420">
      <c r="A420" s="84"/>
      <c r="B420" s="84"/>
      <c r="D420" s="84"/>
      <c r="E420" s="84"/>
      <c r="G420" s="84"/>
      <c r="H420" s="84"/>
      <c r="I420" s="84"/>
      <c r="AZ420" s="84"/>
      <c r="BV420" s="84"/>
    </row>
    <row r="421">
      <c r="A421" s="84"/>
      <c r="B421" s="84"/>
      <c r="D421" s="84"/>
      <c r="E421" s="84"/>
      <c r="G421" s="84"/>
      <c r="H421" s="84"/>
      <c r="I421" s="84"/>
      <c r="AZ421" s="84"/>
      <c r="BV421" s="84"/>
    </row>
    <row r="422">
      <c r="A422" s="84"/>
      <c r="B422" s="84"/>
      <c r="D422" s="84"/>
      <c r="E422" s="84"/>
      <c r="G422" s="84"/>
      <c r="H422" s="84"/>
      <c r="I422" s="84"/>
      <c r="AZ422" s="84"/>
      <c r="BV422" s="84"/>
    </row>
    <row r="423">
      <c r="A423" s="84"/>
      <c r="B423" s="84"/>
      <c r="D423" s="84"/>
      <c r="E423" s="84"/>
      <c r="G423" s="84"/>
      <c r="H423" s="84"/>
      <c r="I423" s="84"/>
      <c r="AZ423" s="84"/>
      <c r="BV423" s="84"/>
    </row>
    <row r="424">
      <c r="A424" s="84"/>
      <c r="B424" s="84"/>
      <c r="D424" s="84"/>
      <c r="E424" s="84"/>
      <c r="G424" s="84"/>
      <c r="H424" s="84"/>
      <c r="I424" s="84"/>
      <c r="AZ424" s="84"/>
      <c r="BV424" s="84"/>
    </row>
    <row r="425">
      <c r="A425" s="84"/>
      <c r="B425" s="84"/>
      <c r="D425" s="84"/>
      <c r="E425" s="84"/>
      <c r="G425" s="84"/>
      <c r="H425" s="84"/>
      <c r="I425" s="84"/>
      <c r="AZ425" s="84"/>
      <c r="BV425" s="84"/>
    </row>
    <row r="426">
      <c r="A426" s="84"/>
      <c r="B426" s="84"/>
      <c r="D426" s="84"/>
      <c r="E426" s="84"/>
      <c r="G426" s="84"/>
      <c r="H426" s="84"/>
      <c r="I426" s="84"/>
      <c r="AZ426" s="84"/>
      <c r="BV426" s="84"/>
    </row>
    <row r="427">
      <c r="A427" s="84"/>
      <c r="B427" s="84"/>
      <c r="D427" s="84"/>
      <c r="E427" s="84"/>
      <c r="G427" s="84"/>
      <c r="H427" s="84"/>
      <c r="I427" s="84"/>
      <c r="AZ427" s="84"/>
      <c r="BV427" s="84"/>
    </row>
    <row r="428">
      <c r="A428" s="84"/>
      <c r="B428" s="84"/>
      <c r="D428" s="84"/>
      <c r="E428" s="84"/>
      <c r="G428" s="84"/>
      <c r="H428" s="84"/>
      <c r="I428" s="84"/>
      <c r="AZ428" s="84"/>
      <c r="BV428" s="84"/>
    </row>
    <row r="429">
      <c r="A429" s="84"/>
      <c r="B429" s="84"/>
      <c r="D429" s="84"/>
      <c r="E429" s="84"/>
      <c r="G429" s="84"/>
      <c r="H429" s="84"/>
      <c r="I429" s="84"/>
      <c r="AZ429" s="84"/>
      <c r="BV429" s="84"/>
    </row>
    <row r="430">
      <c r="A430" s="84"/>
      <c r="B430" s="84"/>
      <c r="D430" s="84"/>
      <c r="E430" s="84"/>
      <c r="G430" s="84"/>
      <c r="H430" s="84"/>
      <c r="I430" s="84"/>
      <c r="AZ430" s="84"/>
      <c r="BV430" s="84"/>
    </row>
    <row r="431">
      <c r="A431" s="84"/>
      <c r="B431" s="84"/>
      <c r="D431" s="84"/>
      <c r="E431" s="84"/>
      <c r="G431" s="84"/>
      <c r="H431" s="84"/>
      <c r="I431" s="84"/>
      <c r="AZ431" s="84"/>
      <c r="BV431" s="84"/>
    </row>
    <row r="432">
      <c r="A432" s="84"/>
      <c r="B432" s="84"/>
      <c r="D432" s="84"/>
      <c r="E432" s="84"/>
      <c r="G432" s="84"/>
      <c r="H432" s="84"/>
      <c r="I432" s="84"/>
      <c r="AZ432" s="84"/>
      <c r="BV432" s="84"/>
    </row>
    <row r="433">
      <c r="A433" s="84"/>
      <c r="B433" s="84"/>
      <c r="D433" s="84"/>
      <c r="E433" s="84"/>
      <c r="G433" s="84"/>
      <c r="H433" s="84"/>
      <c r="I433" s="84"/>
      <c r="AZ433" s="84"/>
      <c r="BV433" s="84"/>
    </row>
    <row r="434">
      <c r="A434" s="84"/>
      <c r="B434" s="84"/>
      <c r="D434" s="84"/>
      <c r="E434" s="84"/>
      <c r="G434" s="84"/>
      <c r="H434" s="84"/>
      <c r="I434" s="84"/>
      <c r="AZ434" s="84"/>
      <c r="BV434" s="84"/>
    </row>
    <row r="435">
      <c r="A435" s="84"/>
      <c r="B435" s="84"/>
      <c r="D435" s="84"/>
      <c r="E435" s="84"/>
      <c r="G435" s="84"/>
      <c r="H435" s="84"/>
      <c r="I435" s="84"/>
      <c r="AZ435" s="84"/>
      <c r="BV435" s="84"/>
    </row>
    <row r="436">
      <c r="A436" s="84"/>
      <c r="B436" s="84"/>
      <c r="D436" s="84"/>
      <c r="E436" s="84"/>
      <c r="G436" s="84"/>
      <c r="H436" s="84"/>
      <c r="I436" s="84"/>
      <c r="AZ436" s="84"/>
      <c r="BV436" s="84"/>
    </row>
    <row r="437">
      <c r="A437" s="84"/>
      <c r="B437" s="84"/>
      <c r="D437" s="84"/>
      <c r="E437" s="84"/>
      <c r="G437" s="84"/>
      <c r="H437" s="84"/>
      <c r="I437" s="84"/>
      <c r="AZ437" s="84"/>
      <c r="BV437" s="84"/>
    </row>
    <row r="438">
      <c r="A438" s="84"/>
      <c r="B438" s="84"/>
      <c r="D438" s="84"/>
      <c r="E438" s="84"/>
      <c r="G438" s="84"/>
      <c r="H438" s="84"/>
      <c r="I438" s="84"/>
      <c r="AZ438" s="84"/>
      <c r="BV438" s="84"/>
    </row>
    <row r="439">
      <c r="A439" s="84"/>
      <c r="B439" s="84"/>
      <c r="D439" s="84"/>
      <c r="E439" s="84"/>
      <c r="G439" s="84"/>
      <c r="H439" s="84"/>
      <c r="I439" s="84"/>
      <c r="AZ439" s="84"/>
      <c r="BV439" s="84"/>
    </row>
    <row r="440">
      <c r="A440" s="84"/>
      <c r="B440" s="84"/>
      <c r="D440" s="84"/>
      <c r="E440" s="84"/>
      <c r="G440" s="84"/>
      <c r="H440" s="84"/>
      <c r="I440" s="84"/>
      <c r="AZ440" s="84"/>
      <c r="BV440" s="84"/>
    </row>
    <row r="441">
      <c r="A441" s="84"/>
      <c r="B441" s="84"/>
      <c r="D441" s="84"/>
      <c r="E441" s="84"/>
      <c r="G441" s="84"/>
      <c r="H441" s="84"/>
      <c r="I441" s="84"/>
      <c r="AZ441" s="84"/>
      <c r="BV441" s="84"/>
    </row>
    <row r="442">
      <c r="A442" s="84"/>
      <c r="B442" s="84"/>
      <c r="D442" s="84"/>
      <c r="E442" s="84"/>
      <c r="G442" s="84"/>
      <c r="H442" s="84"/>
      <c r="I442" s="84"/>
      <c r="AZ442" s="84"/>
      <c r="BV442" s="84"/>
    </row>
    <row r="443">
      <c r="A443" s="84"/>
      <c r="B443" s="84"/>
      <c r="D443" s="84"/>
      <c r="E443" s="84"/>
      <c r="G443" s="84"/>
      <c r="H443" s="84"/>
      <c r="I443" s="84"/>
      <c r="AZ443" s="84"/>
      <c r="BV443" s="84"/>
    </row>
    <row r="444">
      <c r="A444" s="84"/>
      <c r="B444" s="84"/>
      <c r="D444" s="84"/>
      <c r="E444" s="84"/>
      <c r="G444" s="84"/>
      <c r="H444" s="84"/>
      <c r="I444" s="84"/>
      <c r="AZ444" s="84"/>
      <c r="BV444" s="84"/>
    </row>
    <row r="445">
      <c r="A445" s="84"/>
      <c r="B445" s="84"/>
      <c r="D445" s="84"/>
      <c r="E445" s="84"/>
      <c r="G445" s="84"/>
      <c r="H445" s="84"/>
      <c r="I445" s="84"/>
      <c r="AZ445" s="84"/>
      <c r="BV445" s="84"/>
    </row>
    <row r="446">
      <c r="A446" s="84"/>
      <c r="B446" s="84"/>
      <c r="D446" s="84"/>
      <c r="E446" s="84"/>
      <c r="G446" s="84"/>
      <c r="H446" s="84"/>
      <c r="I446" s="84"/>
      <c r="AZ446" s="84"/>
      <c r="BV446" s="84"/>
    </row>
    <row r="447">
      <c r="A447" s="84"/>
      <c r="B447" s="84"/>
      <c r="D447" s="84"/>
      <c r="E447" s="84"/>
      <c r="G447" s="84"/>
      <c r="H447" s="84"/>
      <c r="I447" s="84"/>
      <c r="AZ447" s="84"/>
      <c r="BV447" s="84"/>
    </row>
    <row r="448">
      <c r="A448" s="84"/>
      <c r="B448" s="84"/>
      <c r="D448" s="84"/>
      <c r="E448" s="84"/>
      <c r="G448" s="84"/>
      <c r="H448" s="84"/>
      <c r="I448" s="84"/>
      <c r="AZ448" s="84"/>
      <c r="BV448" s="84"/>
    </row>
    <row r="449">
      <c r="A449" s="84"/>
      <c r="B449" s="84"/>
      <c r="D449" s="84"/>
      <c r="E449" s="84"/>
      <c r="G449" s="84"/>
      <c r="H449" s="84"/>
      <c r="I449" s="84"/>
      <c r="AZ449" s="84"/>
      <c r="BV449" s="84"/>
    </row>
    <row r="450">
      <c r="A450" s="84"/>
      <c r="B450" s="84"/>
      <c r="D450" s="84"/>
      <c r="E450" s="84"/>
      <c r="G450" s="84"/>
      <c r="H450" s="84"/>
      <c r="I450" s="84"/>
      <c r="AZ450" s="84"/>
      <c r="BV450" s="84"/>
    </row>
    <row r="451">
      <c r="A451" s="84"/>
      <c r="B451" s="84"/>
      <c r="D451" s="84"/>
      <c r="E451" s="84"/>
      <c r="G451" s="84"/>
      <c r="H451" s="84"/>
      <c r="I451" s="84"/>
      <c r="AZ451" s="84"/>
      <c r="BV451" s="84"/>
    </row>
    <row r="452">
      <c r="A452" s="84"/>
      <c r="B452" s="84"/>
      <c r="D452" s="84"/>
      <c r="E452" s="84"/>
      <c r="G452" s="84"/>
      <c r="H452" s="84"/>
      <c r="I452" s="84"/>
      <c r="AZ452" s="84"/>
      <c r="BV452" s="84"/>
    </row>
    <row r="453">
      <c r="A453" s="84"/>
      <c r="B453" s="84"/>
      <c r="D453" s="84"/>
      <c r="E453" s="84"/>
      <c r="G453" s="84"/>
      <c r="H453" s="84"/>
      <c r="I453" s="84"/>
      <c r="AZ453" s="84"/>
      <c r="BV453" s="84"/>
    </row>
    <row r="454">
      <c r="A454" s="84"/>
      <c r="B454" s="84"/>
      <c r="D454" s="84"/>
      <c r="E454" s="84"/>
      <c r="G454" s="84"/>
      <c r="H454" s="84"/>
      <c r="I454" s="84"/>
      <c r="AZ454" s="84"/>
      <c r="BV454" s="84"/>
    </row>
    <row r="455">
      <c r="A455" s="84"/>
      <c r="B455" s="84"/>
      <c r="D455" s="84"/>
      <c r="E455" s="84"/>
      <c r="G455" s="84"/>
      <c r="H455" s="84"/>
      <c r="I455" s="84"/>
      <c r="AZ455" s="84"/>
      <c r="BV455" s="84"/>
    </row>
    <row r="456">
      <c r="A456" s="84"/>
      <c r="B456" s="84"/>
      <c r="D456" s="84"/>
      <c r="E456" s="84"/>
      <c r="G456" s="84"/>
      <c r="H456" s="84"/>
      <c r="I456" s="84"/>
      <c r="AZ456" s="84"/>
      <c r="BV456" s="84"/>
    </row>
    <row r="457">
      <c r="A457" s="84"/>
      <c r="B457" s="84"/>
      <c r="D457" s="84"/>
      <c r="E457" s="84"/>
      <c r="G457" s="84"/>
      <c r="H457" s="84"/>
      <c r="I457" s="84"/>
      <c r="AZ457" s="84"/>
      <c r="BV457" s="84"/>
    </row>
    <row r="458">
      <c r="A458" s="84"/>
      <c r="B458" s="84"/>
      <c r="D458" s="84"/>
      <c r="E458" s="84"/>
      <c r="G458" s="84"/>
      <c r="H458" s="84"/>
      <c r="I458" s="84"/>
      <c r="AZ458" s="84"/>
      <c r="BV458" s="84"/>
    </row>
    <row r="459">
      <c r="A459" s="84"/>
      <c r="B459" s="84"/>
      <c r="D459" s="84"/>
      <c r="E459" s="84"/>
      <c r="G459" s="84"/>
      <c r="H459" s="84"/>
      <c r="I459" s="84"/>
      <c r="AZ459" s="84"/>
      <c r="BV459" s="84"/>
    </row>
    <row r="460">
      <c r="A460" s="84"/>
      <c r="B460" s="84"/>
      <c r="D460" s="84"/>
      <c r="E460" s="84"/>
      <c r="G460" s="84"/>
      <c r="H460" s="84"/>
      <c r="I460" s="84"/>
      <c r="AZ460" s="84"/>
      <c r="BV460" s="84"/>
    </row>
    <row r="461">
      <c r="A461" s="84"/>
      <c r="B461" s="84"/>
      <c r="D461" s="84"/>
      <c r="E461" s="84"/>
      <c r="G461" s="84"/>
      <c r="H461" s="84"/>
      <c r="I461" s="84"/>
      <c r="AZ461" s="84"/>
      <c r="BV461" s="84"/>
    </row>
    <row r="462">
      <c r="A462" s="84"/>
      <c r="B462" s="84"/>
      <c r="D462" s="84"/>
      <c r="E462" s="84"/>
      <c r="G462" s="84"/>
      <c r="H462" s="84"/>
      <c r="I462" s="84"/>
      <c r="AZ462" s="84"/>
      <c r="BV462" s="84"/>
    </row>
    <row r="463">
      <c r="A463" s="84"/>
      <c r="B463" s="84"/>
      <c r="D463" s="84"/>
      <c r="E463" s="84"/>
      <c r="G463" s="84"/>
      <c r="H463" s="84"/>
      <c r="I463" s="84"/>
      <c r="AZ463" s="84"/>
      <c r="BV463" s="84"/>
    </row>
    <row r="464">
      <c r="A464" s="84"/>
      <c r="B464" s="84"/>
      <c r="D464" s="84"/>
      <c r="E464" s="84"/>
      <c r="G464" s="84"/>
      <c r="H464" s="84"/>
      <c r="I464" s="84"/>
      <c r="AZ464" s="84"/>
      <c r="BV464" s="84"/>
    </row>
    <row r="465">
      <c r="A465" s="84"/>
      <c r="B465" s="84"/>
      <c r="D465" s="84"/>
      <c r="E465" s="84"/>
      <c r="G465" s="84"/>
      <c r="H465" s="84"/>
      <c r="I465" s="84"/>
      <c r="AZ465" s="84"/>
      <c r="BV465" s="84"/>
    </row>
    <row r="466">
      <c r="A466" s="84"/>
      <c r="B466" s="84"/>
      <c r="D466" s="84"/>
      <c r="E466" s="84"/>
      <c r="G466" s="84"/>
      <c r="H466" s="84"/>
      <c r="I466" s="84"/>
      <c r="AZ466" s="84"/>
      <c r="BV466" s="84"/>
    </row>
    <row r="467">
      <c r="A467" s="84"/>
      <c r="B467" s="84"/>
      <c r="D467" s="84"/>
      <c r="E467" s="84"/>
      <c r="G467" s="84"/>
      <c r="H467" s="84"/>
      <c r="I467" s="84"/>
      <c r="AZ467" s="84"/>
      <c r="BV467" s="84"/>
    </row>
    <row r="468">
      <c r="A468" s="84"/>
      <c r="B468" s="84"/>
      <c r="D468" s="84"/>
      <c r="E468" s="84"/>
      <c r="G468" s="84"/>
      <c r="H468" s="84"/>
      <c r="I468" s="84"/>
      <c r="AZ468" s="84"/>
      <c r="BV468" s="84"/>
    </row>
    <row r="469">
      <c r="A469" s="84"/>
      <c r="B469" s="84"/>
      <c r="D469" s="84"/>
      <c r="E469" s="84"/>
      <c r="G469" s="84"/>
      <c r="H469" s="84"/>
      <c r="I469" s="84"/>
      <c r="AZ469" s="84"/>
      <c r="BV469" s="84"/>
    </row>
    <row r="470">
      <c r="A470" s="84"/>
      <c r="B470" s="84"/>
      <c r="D470" s="84"/>
      <c r="E470" s="84"/>
      <c r="G470" s="84"/>
      <c r="H470" s="84"/>
      <c r="I470" s="84"/>
      <c r="AZ470" s="84"/>
      <c r="BV470" s="84"/>
    </row>
    <row r="471">
      <c r="A471" s="84"/>
      <c r="B471" s="84"/>
      <c r="D471" s="84"/>
      <c r="E471" s="84"/>
      <c r="G471" s="84"/>
      <c r="H471" s="84"/>
      <c r="I471" s="84"/>
      <c r="AZ471" s="84"/>
      <c r="BV471" s="84"/>
    </row>
    <row r="472">
      <c r="A472" s="84"/>
      <c r="B472" s="84"/>
      <c r="D472" s="84"/>
      <c r="E472" s="84"/>
      <c r="G472" s="84"/>
      <c r="H472" s="84"/>
      <c r="I472" s="84"/>
      <c r="AZ472" s="84"/>
      <c r="BV472" s="84"/>
    </row>
    <row r="473">
      <c r="A473" s="84"/>
      <c r="B473" s="84"/>
      <c r="D473" s="84"/>
      <c r="E473" s="84"/>
      <c r="G473" s="84"/>
      <c r="H473" s="84"/>
      <c r="I473" s="84"/>
      <c r="AZ473" s="84"/>
      <c r="BV473" s="84"/>
    </row>
    <row r="474">
      <c r="A474" s="84"/>
      <c r="B474" s="84"/>
      <c r="D474" s="84"/>
      <c r="E474" s="84"/>
      <c r="G474" s="84"/>
      <c r="H474" s="84"/>
      <c r="I474" s="84"/>
      <c r="AZ474" s="84"/>
      <c r="BV474" s="84"/>
    </row>
    <row r="475">
      <c r="A475" s="84"/>
      <c r="B475" s="84"/>
      <c r="D475" s="84"/>
      <c r="E475" s="84"/>
      <c r="G475" s="84"/>
      <c r="H475" s="84"/>
      <c r="I475" s="84"/>
      <c r="AZ475" s="84"/>
      <c r="BV475" s="84"/>
    </row>
    <row r="476">
      <c r="A476" s="84"/>
      <c r="B476" s="84"/>
      <c r="D476" s="84"/>
      <c r="E476" s="84"/>
      <c r="G476" s="84"/>
      <c r="H476" s="84"/>
      <c r="I476" s="84"/>
      <c r="AZ476" s="84"/>
      <c r="BV476" s="84"/>
    </row>
    <row r="477">
      <c r="A477" s="84"/>
      <c r="B477" s="84"/>
      <c r="D477" s="84"/>
      <c r="E477" s="84"/>
      <c r="G477" s="84"/>
      <c r="H477" s="84"/>
      <c r="I477" s="84"/>
      <c r="AZ477" s="84"/>
      <c r="BV477" s="84"/>
    </row>
    <row r="478">
      <c r="A478" s="84"/>
      <c r="B478" s="84"/>
      <c r="D478" s="84"/>
      <c r="E478" s="84"/>
      <c r="G478" s="84"/>
      <c r="H478" s="84"/>
      <c r="I478" s="84"/>
      <c r="AZ478" s="84"/>
      <c r="BV478" s="84"/>
    </row>
    <row r="479">
      <c r="A479" s="84"/>
      <c r="B479" s="84"/>
      <c r="D479" s="84"/>
      <c r="E479" s="84"/>
      <c r="G479" s="84"/>
      <c r="H479" s="84"/>
      <c r="I479" s="84"/>
      <c r="AZ479" s="84"/>
      <c r="BV479" s="84"/>
    </row>
    <row r="480">
      <c r="A480" s="84"/>
      <c r="B480" s="84"/>
      <c r="D480" s="84"/>
      <c r="E480" s="84"/>
      <c r="G480" s="84"/>
      <c r="H480" s="84"/>
      <c r="I480" s="84"/>
      <c r="AZ480" s="84"/>
      <c r="BV480" s="84"/>
    </row>
    <row r="481">
      <c r="A481" s="84"/>
      <c r="B481" s="84"/>
      <c r="D481" s="84"/>
      <c r="E481" s="84"/>
      <c r="G481" s="84"/>
      <c r="H481" s="84"/>
      <c r="I481" s="84"/>
      <c r="AZ481" s="84"/>
      <c r="BV481" s="84"/>
    </row>
    <row r="482">
      <c r="A482" s="84"/>
      <c r="B482" s="84"/>
      <c r="D482" s="84"/>
      <c r="E482" s="84"/>
      <c r="G482" s="84"/>
      <c r="H482" s="84"/>
      <c r="I482" s="84"/>
      <c r="AZ482" s="84"/>
      <c r="BV482" s="84"/>
    </row>
    <row r="483">
      <c r="A483" s="84"/>
      <c r="B483" s="84"/>
      <c r="D483" s="84"/>
      <c r="E483" s="84"/>
      <c r="G483" s="84"/>
      <c r="H483" s="84"/>
      <c r="I483" s="84"/>
      <c r="AZ483" s="84"/>
      <c r="BV483" s="84"/>
    </row>
    <row r="484">
      <c r="A484" s="84"/>
      <c r="B484" s="84"/>
      <c r="D484" s="84"/>
      <c r="E484" s="84"/>
      <c r="G484" s="84"/>
      <c r="H484" s="84"/>
      <c r="I484" s="84"/>
      <c r="AZ484" s="84"/>
      <c r="BV484" s="84"/>
    </row>
    <row r="485">
      <c r="A485" s="84"/>
      <c r="B485" s="84"/>
      <c r="D485" s="84"/>
      <c r="E485" s="84"/>
      <c r="G485" s="84"/>
      <c r="H485" s="84"/>
      <c r="I485" s="84"/>
      <c r="AZ485" s="84"/>
      <c r="BV485" s="84"/>
    </row>
    <row r="486">
      <c r="A486" s="84"/>
      <c r="B486" s="84"/>
      <c r="D486" s="84"/>
      <c r="E486" s="84"/>
      <c r="G486" s="84"/>
      <c r="H486" s="84"/>
      <c r="I486" s="84"/>
      <c r="AZ486" s="84"/>
      <c r="BV486" s="84"/>
    </row>
    <row r="487">
      <c r="A487" s="84"/>
      <c r="B487" s="84"/>
      <c r="D487" s="84"/>
      <c r="E487" s="84"/>
      <c r="G487" s="84"/>
      <c r="H487" s="84"/>
      <c r="I487" s="84"/>
      <c r="AZ487" s="84"/>
      <c r="BV487" s="84"/>
    </row>
    <row r="488">
      <c r="A488" s="84"/>
      <c r="B488" s="84"/>
      <c r="D488" s="84"/>
      <c r="E488" s="84"/>
      <c r="G488" s="84"/>
      <c r="H488" s="84"/>
      <c r="I488" s="84"/>
      <c r="AZ488" s="84"/>
      <c r="BV488" s="84"/>
    </row>
    <row r="489">
      <c r="A489" s="84"/>
      <c r="B489" s="84"/>
      <c r="D489" s="84"/>
      <c r="E489" s="84"/>
      <c r="G489" s="84"/>
      <c r="H489" s="84"/>
      <c r="I489" s="84"/>
      <c r="AZ489" s="84"/>
      <c r="BV489" s="84"/>
    </row>
    <row r="490">
      <c r="A490" s="84"/>
      <c r="B490" s="84"/>
      <c r="D490" s="84"/>
      <c r="E490" s="84"/>
      <c r="G490" s="84"/>
      <c r="H490" s="84"/>
      <c r="I490" s="84"/>
      <c r="AZ490" s="84"/>
      <c r="BV490" s="84"/>
    </row>
    <row r="491">
      <c r="A491" s="84"/>
      <c r="B491" s="84"/>
      <c r="D491" s="84"/>
      <c r="E491" s="84"/>
      <c r="G491" s="84"/>
      <c r="H491" s="84"/>
      <c r="I491" s="84"/>
      <c r="AZ491" s="84"/>
      <c r="BV491" s="84"/>
    </row>
    <row r="492">
      <c r="A492" s="84"/>
      <c r="B492" s="84"/>
      <c r="D492" s="84"/>
      <c r="E492" s="84"/>
      <c r="G492" s="84"/>
      <c r="H492" s="84"/>
      <c r="I492" s="84"/>
      <c r="AZ492" s="84"/>
      <c r="BV492" s="84"/>
    </row>
    <row r="493">
      <c r="A493" s="84"/>
      <c r="B493" s="84"/>
      <c r="D493" s="84"/>
      <c r="E493" s="84"/>
      <c r="G493" s="84"/>
      <c r="H493" s="84"/>
      <c r="I493" s="84"/>
      <c r="AZ493" s="84"/>
      <c r="BV493" s="84"/>
    </row>
    <row r="494">
      <c r="A494" s="84"/>
      <c r="B494" s="84"/>
      <c r="D494" s="84"/>
      <c r="E494" s="84"/>
      <c r="G494" s="84"/>
      <c r="H494" s="84"/>
      <c r="I494" s="84"/>
      <c r="AZ494" s="84"/>
      <c r="BV494" s="84"/>
    </row>
    <row r="495">
      <c r="A495" s="84"/>
      <c r="B495" s="84"/>
      <c r="D495" s="84"/>
      <c r="E495" s="84"/>
      <c r="G495" s="84"/>
      <c r="H495" s="84"/>
      <c r="I495" s="84"/>
      <c r="AZ495" s="84"/>
      <c r="BV495" s="84"/>
    </row>
    <row r="496">
      <c r="A496" s="84"/>
      <c r="B496" s="84"/>
      <c r="D496" s="84"/>
      <c r="E496" s="84"/>
      <c r="G496" s="84"/>
      <c r="H496" s="84"/>
      <c r="I496" s="84"/>
      <c r="AZ496" s="84"/>
      <c r="BV496" s="84"/>
    </row>
    <row r="497">
      <c r="A497" s="84"/>
      <c r="B497" s="84"/>
      <c r="D497" s="84"/>
      <c r="E497" s="84"/>
      <c r="G497" s="84"/>
      <c r="H497" s="84"/>
      <c r="I497" s="84"/>
      <c r="AZ497" s="84"/>
      <c r="BV497" s="84"/>
    </row>
    <row r="498">
      <c r="A498" s="84"/>
      <c r="B498" s="84"/>
      <c r="D498" s="84"/>
      <c r="E498" s="84"/>
      <c r="G498" s="84"/>
      <c r="H498" s="84"/>
      <c r="I498" s="84"/>
      <c r="AZ498" s="84"/>
      <c r="BV498" s="84"/>
    </row>
    <row r="499">
      <c r="A499" s="84"/>
      <c r="B499" s="84"/>
      <c r="D499" s="84"/>
      <c r="E499" s="84"/>
      <c r="G499" s="84"/>
      <c r="H499" s="84"/>
      <c r="I499" s="84"/>
      <c r="AZ499" s="84"/>
      <c r="BV499" s="84"/>
    </row>
    <row r="500">
      <c r="A500" s="84"/>
      <c r="B500" s="84"/>
      <c r="D500" s="84"/>
      <c r="E500" s="84"/>
      <c r="G500" s="84"/>
      <c r="H500" s="84"/>
      <c r="I500" s="84"/>
      <c r="AZ500" s="84"/>
      <c r="BV500" s="84"/>
    </row>
    <row r="501">
      <c r="A501" s="84"/>
      <c r="B501" s="84"/>
      <c r="D501" s="84"/>
      <c r="E501" s="84"/>
      <c r="G501" s="84"/>
      <c r="H501" s="84"/>
      <c r="I501" s="84"/>
      <c r="AZ501" s="84"/>
      <c r="BV501" s="84"/>
    </row>
    <row r="502">
      <c r="A502" s="84"/>
      <c r="B502" s="84"/>
      <c r="D502" s="84"/>
      <c r="E502" s="84"/>
      <c r="G502" s="84"/>
      <c r="H502" s="84"/>
      <c r="I502" s="84"/>
      <c r="AZ502" s="84"/>
      <c r="BV502" s="84"/>
    </row>
    <row r="503">
      <c r="A503" s="84"/>
      <c r="B503" s="84"/>
      <c r="D503" s="84"/>
      <c r="E503" s="84"/>
      <c r="G503" s="84"/>
      <c r="H503" s="84"/>
      <c r="I503" s="84"/>
      <c r="AZ503" s="84"/>
      <c r="BV503" s="84"/>
    </row>
    <row r="504">
      <c r="A504" s="84"/>
      <c r="B504" s="84"/>
      <c r="D504" s="84"/>
      <c r="E504" s="84"/>
      <c r="G504" s="84"/>
      <c r="H504" s="84"/>
      <c r="I504" s="84"/>
      <c r="AZ504" s="84"/>
      <c r="BV504" s="84"/>
    </row>
    <row r="505">
      <c r="A505" s="84"/>
      <c r="B505" s="84"/>
      <c r="D505" s="84"/>
      <c r="E505" s="84"/>
      <c r="G505" s="84"/>
      <c r="H505" s="84"/>
      <c r="I505" s="84"/>
      <c r="AZ505" s="84"/>
      <c r="BV505" s="84"/>
    </row>
    <row r="506">
      <c r="A506" s="84"/>
      <c r="B506" s="84"/>
      <c r="D506" s="84"/>
      <c r="E506" s="84"/>
      <c r="G506" s="84"/>
      <c r="H506" s="84"/>
      <c r="I506" s="84"/>
      <c r="AZ506" s="84"/>
      <c r="BV506" s="84"/>
    </row>
    <row r="507">
      <c r="A507" s="84"/>
      <c r="B507" s="84"/>
      <c r="D507" s="84"/>
      <c r="E507" s="84"/>
      <c r="G507" s="84"/>
      <c r="H507" s="84"/>
      <c r="I507" s="84"/>
      <c r="AZ507" s="84"/>
      <c r="BV507" s="84"/>
    </row>
    <row r="508">
      <c r="A508" s="84"/>
      <c r="B508" s="84"/>
      <c r="D508" s="84"/>
      <c r="E508" s="84"/>
      <c r="G508" s="84"/>
      <c r="H508" s="84"/>
      <c r="I508" s="84"/>
      <c r="AZ508" s="84"/>
      <c r="BV508" s="84"/>
    </row>
    <row r="509">
      <c r="A509" s="84"/>
      <c r="B509" s="84"/>
      <c r="D509" s="84"/>
      <c r="E509" s="84"/>
      <c r="G509" s="84"/>
      <c r="H509" s="84"/>
      <c r="I509" s="84"/>
      <c r="AZ509" s="84"/>
      <c r="BV509" s="84"/>
    </row>
    <row r="510">
      <c r="A510" s="84"/>
      <c r="B510" s="84"/>
      <c r="D510" s="84"/>
      <c r="E510" s="84"/>
      <c r="G510" s="84"/>
      <c r="H510" s="84"/>
      <c r="I510" s="84"/>
      <c r="AZ510" s="84"/>
      <c r="BV510" s="84"/>
    </row>
    <row r="511">
      <c r="A511" s="84"/>
      <c r="B511" s="84"/>
      <c r="D511" s="84"/>
      <c r="E511" s="84"/>
      <c r="G511" s="84"/>
      <c r="H511" s="84"/>
      <c r="I511" s="84"/>
      <c r="AZ511" s="84"/>
      <c r="BV511" s="84"/>
    </row>
    <row r="512">
      <c r="A512" s="84"/>
      <c r="B512" s="84"/>
      <c r="D512" s="84"/>
      <c r="E512" s="84"/>
      <c r="G512" s="84"/>
      <c r="H512" s="84"/>
      <c r="I512" s="84"/>
      <c r="AZ512" s="84"/>
      <c r="BV512" s="84"/>
    </row>
    <row r="513">
      <c r="A513" s="84"/>
      <c r="B513" s="84"/>
      <c r="D513" s="84"/>
      <c r="E513" s="84"/>
      <c r="G513" s="84"/>
      <c r="H513" s="84"/>
      <c r="I513" s="84"/>
      <c r="AZ513" s="84"/>
      <c r="BV513" s="84"/>
    </row>
    <row r="514">
      <c r="A514" s="84"/>
      <c r="B514" s="84"/>
      <c r="D514" s="84"/>
      <c r="E514" s="84"/>
      <c r="G514" s="84"/>
      <c r="H514" s="84"/>
      <c r="I514" s="84"/>
      <c r="AZ514" s="84"/>
      <c r="BV514" s="84"/>
    </row>
    <row r="515">
      <c r="A515" s="84"/>
      <c r="B515" s="84"/>
      <c r="D515" s="84"/>
      <c r="E515" s="84"/>
      <c r="G515" s="84"/>
      <c r="H515" s="84"/>
      <c r="I515" s="84"/>
      <c r="AZ515" s="84"/>
      <c r="BV515" s="84"/>
    </row>
    <row r="516">
      <c r="A516" s="84"/>
      <c r="B516" s="84"/>
      <c r="D516" s="84"/>
      <c r="E516" s="84"/>
      <c r="G516" s="84"/>
      <c r="H516" s="84"/>
      <c r="I516" s="84"/>
      <c r="AZ516" s="84"/>
      <c r="BV516" s="84"/>
    </row>
    <row r="517">
      <c r="A517" s="84"/>
      <c r="B517" s="84"/>
      <c r="D517" s="84"/>
      <c r="E517" s="84"/>
      <c r="G517" s="84"/>
      <c r="H517" s="84"/>
      <c r="I517" s="84"/>
      <c r="AZ517" s="84"/>
      <c r="BV517" s="84"/>
    </row>
    <row r="518">
      <c r="A518" s="84"/>
      <c r="B518" s="84"/>
      <c r="D518" s="84"/>
      <c r="E518" s="84"/>
      <c r="G518" s="84"/>
      <c r="H518" s="84"/>
      <c r="I518" s="84"/>
      <c r="AZ518" s="84"/>
      <c r="BV518" s="84"/>
    </row>
    <row r="519">
      <c r="A519" s="84"/>
      <c r="B519" s="84"/>
      <c r="D519" s="84"/>
      <c r="E519" s="84"/>
      <c r="G519" s="84"/>
      <c r="H519" s="84"/>
      <c r="I519" s="84"/>
      <c r="AZ519" s="84"/>
      <c r="BV519" s="84"/>
    </row>
    <row r="520">
      <c r="A520" s="84"/>
      <c r="B520" s="84"/>
      <c r="D520" s="84"/>
      <c r="E520" s="84"/>
      <c r="G520" s="84"/>
      <c r="H520" s="84"/>
      <c r="I520" s="84"/>
      <c r="AZ520" s="84"/>
      <c r="BV520" s="84"/>
    </row>
    <row r="521">
      <c r="A521" s="84"/>
      <c r="B521" s="84"/>
      <c r="D521" s="84"/>
      <c r="E521" s="84"/>
      <c r="G521" s="84"/>
      <c r="H521" s="84"/>
      <c r="I521" s="84"/>
      <c r="AZ521" s="84"/>
      <c r="BV521" s="84"/>
    </row>
    <row r="522">
      <c r="A522" s="84"/>
      <c r="B522" s="84"/>
      <c r="D522" s="84"/>
      <c r="E522" s="84"/>
      <c r="G522" s="84"/>
      <c r="H522" s="84"/>
      <c r="I522" s="84"/>
      <c r="AZ522" s="84"/>
      <c r="BV522" s="84"/>
    </row>
    <row r="523">
      <c r="A523" s="84"/>
      <c r="B523" s="84"/>
      <c r="D523" s="84"/>
      <c r="E523" s="84"/>
      <c r="G523" s="84"/>
      <c r="H523" s="84"/>
      <c r="I523" s="84"/>
      <c r="AZ523" s="84"/>
      <c r="BV523" s="84"/>
    </row>
    <row r="524">
      <c r="A524" s="84"/>
      <c r="B524" s="84"/>
      <c r="D524" s="84"/>
      <c r="E524" s="84"/>
      <c r="G524" s="84"/>
      <c r="H524" s="84"/>
      <c r="I524" s="84"/>
      <c r="AZ524" s="84"/>
      <c r="BV524" s="84"/>
    </row>
    <row r="525">
      <c r="A525" s="84"/>
      <c r="B525" s="84"/>
      <c r="D525" s="84"/>
      <c r="E525" s="84"/>
      <c r="G525" s="84"/>
      <c r="H525" s="84"/>
      <c r="I525" s="84"/>
      <c r="AZ525" s="84"/>
      <c r="BV525" s="84"/>
    </row>
    <row r="526">
      <c r="A526" s="84"/>
      <c r="B526" s="84"/>
      <c r="D526" s="84"/>
      <c r="E526" s="84"/>
      <c r="G526" s="84"/>
      <c r="H526" s="84"/>
      <c r="I526" s="84"/>
      <c r="AZ526" s="84"/>
      <c r="BV526" s="84"/>
    </row>
    <row r="527">
      <c r="A527" s="84"/>
      <c r="B527" s="84"/>
      <c r="D527" s="84"/>
      <c r="E527" s="84"/>
      <c r="G527" s="84"/>
      <c r="H527" s="84"/>
      <c r="I527" s="84"/>
      <c r="AZ527" s="84"/>
      <c r="BV527" s="84"/>
    </row>
    <row r="528">
      <c r="A528" s="84"/>
      <c r="B528" s="84"/>
      <c r="D528" s="84"/>
      <c r="E528" s="84"/>
      <c r="G528" s="84"/>
      <c r="H528" s="84"/>
      <c r="I528" s="84"/>
      <c r="AZ528" s="84"/>
      <c r="BV528" s="84"/>
    </row>
    <row r="529">
      <c r="A529" s="84"/>
      <c r="B529" s="84"/>
      <c r="D529" s="84"/>
      <c r="E529" s="84"/>
      <c r="G529" s="84"/>
      <c r="H529" s="84"/>
      <c r="I529" s="84"/>
      <c r="AZ529" s="84"/>
      <c r="BV529" s="84"/>
    </row>
    <row r="530">
      <c r="A530" s="84"/>
      <c r="B530" s="84"/>
      <c r="D530" s="84"/>
      <c r="E530" s="84"/>
      <c r="G530" s="84"/>
      <c r="H530" s="84"/>
      <c r="I530" s="84"/>
      <c r="AZ530" s="84"/>
      <c r="BV530" s="84"/>
    </row>
    <row r="531">
      <c r="A531" s="84"/>
      <c r="B531" s="84"/>
      <c r="D531" s="84"/>
      <c r="E531" s="84"/>
      <c r="G531" s="84"/>
      <c r="H531" s="84"/>
      <c r="I531" s="84"/>
      <c r="AZ531" s="84"/>
      <c r="BV531" s="84"/>
    </row>
    <row r="532">
      <c r="A532" s="84"/>
      <c r="B532" s="84"/>
      <c r="D532" s="84"/>
      <c r="E532" s="84"/>
      <c r="G532" s="84"/>
      <c r="H532" s="84"/>
      <c r="I532" s="84"/>
      <c r="AZ532" s="84"/>
      <c r="BV532" s="84"/>
    </row>
    <row r="533">
      <c r="A533" s="84"/>
      <c r="B533" s="84"/>
      <c r="D533" s="84"/>
      <c r="E533" s="84"/>
      <c r="G533" s="84"/>
      <c r="H533" s="84"/>
      <c r="I533" s="84"/>
      <c r="AZ533" s="84"/>
      <c r="BV533" s="84"/>
    </row>
    <row r="534">
      <c r="A534" s="84"/>
      <c r="B534" s="84"/>
      <c r="D534" s="84"/>
      <c r="E534" s="84"/>
      <c r="G534" s="84"/>
      <c r="H534" s="84"/>
      <c r="I534" s="84"/>
      <c r="AZ534" s="84"/>
      <c r="BV534" s="84"/>
    </row>
    <row r="535">
      <c r="A535" s="84"/>
      <c r="B535" s="84"/>
      <c r="D535" s="84"/>
      <c r="E535" s="84"/>
      <c r="G535" s="84"/>
      <c r="H535" s="84"/>
      <c r="I535" s="84"/>
      <c r="AZ535" s="84"/>
      <c r="BV535" s="84"/>
    </row>
    <row r="536">
      <c r="A536" s="84"/>
      <c r="B536" s="84"/>
      <c r="D536" s="84"/>
      <c r="E536" s="84"/>
      <c r="G536" s="84"/>
      <c r="H536" s="84"/>
      <c r="I536" s="84"/>
      <c r="AZ536" s="84"/>
      <c r="BV536" s="84"/>
    </row>
    <row r="537">
      <c r="A537" s="84"/>
      <c r="B537" s="84"/>
      <c r="D537" s="84"/>
      <c r="E537" s="84"/>
      <c r="G537" s="84"/>
      <c r="H537" s="84"/>
      <c r="I537" s="84"/>
      <c r="AZ537" s="84"/>
      <c r="BV537" s="84"/>
    </row>
    <row r="538">
      <c r="A538" s="84"/>
      <c r="B538" s="84"/>
      <c r="D538" s="84"/>
      <c r="E538" s="84"/>
      <c r="G538" s="84"/>
      <c r="H538" s="84"/>
      <c r="I538" s="84"/>
      <c r="AZ538" s="84"/>
      <c r="BV538" s="84"/>
    </row>
    <row r="539">
      <c r="A539" s="84"/>
      <c r="B539" s="84"/>
      <c r="D539" s="84"/>
      <c r="E539" s="84"/>
      <c r="G539" s="84"/>
      <c r="H539" s="84"/>
      <c r="I539" s="84"/>
      <c r="AZ539" s="84"/>
      <c r="BV539" s="84"/>
    </row>
    <row r="540">
      <c r="A540" s="84"/>
      <c r="B540" s="84"/>
      <c r="D540" s="84"/>
      <c r="E540" s="84"/>
      <c r="G540" s="84"/>
      <c r="H540" s="84"/>
      <c r="I540" s="84"/>
      <c r="AZ540" s="84"/>
      <c r="BV540" s="84"/>
    </row>
    <row r="541">
      <c r="A541" s="84"/>
      <c r="B541" s="84"/>
      <c r="D541" s="84"/>
      <c r="E541" s="84"/>
      <c r="G541" s="84"/>
      <c r="H541" s="84"/>
      <c r="I541" s="84"/>
      <c r="AZ541" s="84"/>
      <c r="BV541" s="84"/>
    </row>
    <row r="542">
      <c r="A542" s="84"/>
      <c r="B542" s="84"/>
      <c r="D542" s="84"/>
      <c r="E542" s="84"/>
      <c r="G542" s="84"/>
      <c r="H542" s="84"/>
      <c r="I542" s="84"/>
      <c r="AZ542" s="84"/>
      <c r="BV542" s="84"/>
    </row>
    <row r="543">
      <c r="A543" s="84"/>
      <c r="B543" s="84"/>
      <c r="D543" s="84"/>
      <c r="E543" s="84"/>
      <c r="G543" s="84"/>
      <c r="H543" s="84"/>
      <c r="I543" s="84"/>
      <c r="AZ543" s="84"/>
      <c r="BV543" s="84"/>
    </row>
    <row r="544">
      <c r="A544" s="84"/>
      <c r="B544" s="84"/>
      <c r="D544" s="84"/>
      <c r="E544" s="84"/>
      <c r="G544" s="84"/>
      <c r="H544" s="84"/>
      <c r="I544" s="84"/>
      <c r="AZ544" s="84"/>
      <c r="BV544" s="84"/>
    </row>
    <row r="545">
      <c r="A545" s="84"/>
      <c r="B545" s="84"/>
      <c r="D545" s="84"/>
      <c r="E545" s="84"/>
      <c r="G545" s="84"/>
      <c r="H545" s="84"/>
      <c r="I545" s="84"/>
      <c r="AZ545" s="84"/>
      <c r="BV545" s="84"/>
    </row>
    <row r="546">
      <c r="A546" s="84"/>
      <c r="B546" s="84"/>
      <c r="D546" s="84"/>
      <c r="E546" s="84"/>
      <c r="G546" s="84"/>
      <c r="H546" s="84"/>
      <c r="I546" s="84"/>
      <c r="AZ546" s="84"/>
      <c r="BV546" s="84"/>
    </row>
    <row r="547">
      <c r="A547" s="84"/>
      <c r="B547" s="84"/>
      <c r="D547" s="84"/>
      <c r="E547" s="84"/>
      <c r="G547" s="84"/>
      <c r="H547" s="84"/>
      <c r="I547" s="84"/>
      <c r="AZ547" s="84"/>
      <c r="BV547" s="84"/>
    </row>
    <row r="548">
      <c r="A548" s="84"/>
      <c r="B548" s="84"/>
      <c r="D548" s="84"/>
      <c r="E548" s="84"/>
      <c r="G548" s="84"/>
      <c r="H548" s="84"/>
      <c r="I548" s="84"/>
      <c r="AZ548" s="84"/>
      <c r="BV548" s="84"/>
    </row>
    <row r="549">
      <c r="A549" s="84"/>
      <c r="B549" s="84"/>
      <c r="D549" s="84"/>
      <c r="E549" s="84"/>
      <c r="G549" s="84"/>
      <c r="H549" s="84"/>
      <c r="I549" s="84"/>
      <c r="AZ549" s="84"/>
      <c r="BV549" s="84"/>
    </row>
    <row r="550">
      <c r="A550" s="84"/>
      <c r="B550" s="84"/>
      <c r="D550" s="84"/>
      <c r="E550" s="84"/>
      <c r="G550" s="84"/>
      <c r="H550" s="84"/>
      <c r="I550" s="84"/>
      <c r="AZ550" s="84"/>
      <c r="BV550" s="84"/>
    </row>
    <row r="551">
      <c r="A551" s="84"/>
      <c r="B551" s="84"/>
      <c r="D551" s="84"/>
      <c r="E551" s="84"/>
      <c r="G551" s="84"/>
      <c r="H551" s="84"/>
      <c r="I551" s="84"/>
      <c r="AZ551" s="84"/>
      <c r="BV551" s="84"/>
    </row>
    <row r="552">
      <c r="A552" s="84"/>
      <c r="B552" s="84"/>
      <c r="D552" s="84"/>
      <c r="E552" s="84"/>
      <c r="G552" s="84"/>
      <c r="H552" s="84"/>
      <c r="I552" s="84"/>
      <c r="AZ552" s="84"/>
      <c r="BV552" s="84"/>
    </row>
    <row r="553">
      <c r="A553" s="84"/>
      <c r="B553" s="84"/>
      <c r="D553" s="84"/>
      <c r="E553" s="84"/>
      <c r="G553" s="84"/>
      <c r="H553" s="84"/>
      <c r="I553" s="84"/>
      <c r="AZ553" s="84"/>
      <c r="BV553" s="84"/>
    </row>
    <row r="554">
      <c r="A554" s="84"/>
      <c r="B554" s="84"/>
      <c r="D554" s="84"/>
      <c r="E554" s="84"/>
      <c r="G554" s="84"/>
      <c r="H554" s="84"/>
      <c r="I554" s="84"/>
      <c r="AZ554" s="84"/>
      <c r="BV554" s="84"/>
    </row>
    <row r="555">
      <c r="A555" s="84"/>
      <c r="B555" s="84"/>
      <c r="D555" s="84"/>
      <c r="E555" s="84"/>
      <c r="G555" s="84"/>
      <c r="H555" s="84"/>
      <c r="I555" s="84"/>
      <c r="AZ555" s="84"/>
      <c r="BV555" s="84"/>
    </row>
    <row r="556">
      <c r="A556" s="84"/>
      <c r="B556" s="84"/>
      <c r="D556" s="84"/>
      <c r="E556" s="84"/>
      <c r="G556" s="84"/>
      <c r="H556" s="84"/>
      <c r="I556" s="84"/>
      <c r="AZ556" s="84"/>
      <c r="BV556" s="84"/>
    </row>
    <row r="557">
      <c r="A557" s="84"/>
      <c r="B557" s="84"/>
      <c r="D557" s="84"/>
      <c r="E557" s="84"/>
      <c r="G557" s="84"/>
      <c r="H557" s="84"/>
      <c r="I557" s="84"/>
      <c r="AZ557" s="84"/>
      <c r="BV557" s="84"/>
    </row>
    <row r="558">
      <c r="A558" s="84"/>
      <c r="B558" s="84"/>
      <c r="D558" s="84"/>
      <c r="E558" s="84"/>
      <c r="G558" s="84"/>
      <c r="H558" s="84"/>
      <c r="I558" s="84"/>
      <c r="AZ558" s="84"/>
      <c r="BV558" s="84"/>
    </row>
    <row r="559">
      <c r="A559" s="84"/>
      <c r="B559" s="84"/>
      <c r="D559" s="84"/>
      <c r="E559" s="84"/>
      <c r="G559" s="84"/>
      <c r="H559" s="84"/>
      <c r="I559" s="84"/>
      <c r="AZ559" s="84"/>
      <c r="BV559" s="84"/>
    </row>
    <row r="560">
      <c r="A560" s="84"/>
      <c r="B560" s="84"/>
      <c r="D560" s="84"/>
      <c r="E560" s="84"/>
      <c r="G560" s="84"/>
      <c r="H560" s="84"/>
      <c r="I560" s="84"/>
      <c r="AZ560" s="84"/>
      <c r="BV560" s="84"/>
    </row>
    <row r="561">
      <c r="A561" s="84"/>
      <c r="B561" s="84"/>
      <c r="D561" s="84"/>
      <c r="E561" s="84"/>
      <c r="G561" s="84"/>
      <c r="H561" s="84"/>
      <c r="I561" s="84"/>
      <c r="AZ561" s="84"/>
      <c r="BV561" s="84"/>
    </row>
    <row r="562">
      <c r="A562" s="84"/>
      <c r="B562" s="84"/>
      <c r="D562" s="84"/>
      <c r="E562" s="84"/>
      <c r="G562" s="84"/>
      <c r="H562" s="84"/>
      <c r="I562" s="84"/>
      <c r="AZ562" s="84"/>
      <c r="BV562" s="84"/>
    </row>
    <row r="563">
      <c r="A563" s="84"/>
      <c r="B563" s="84"/>
      <c r="D563" s="84"/>
      <c r="E563" s="84"/>
      <c r="G563" s="84"/>
      <c r="H563" s="84"/>
      <c r="I563" s="84"/>
      <c r="AZ563" s="84"/>
      <c r="BV563" s="84"/>
    </row>
    <row r="564">
      <c r="A564" s="84"/>
      <c r="B564" s="84"/>
      <c r="D564" s="84"/>
      <c r="E564" s="84"/>
      <c r="G564" s="84"/>
      <c r="H564" s="84"/>
      <c r="I564" s="84"/>
      <c r="AZ564" s="84"/>
      <c r="BV564" s="84"/>
    </row>
    <row r="565">
      <c r="A565" s="84"/>
      <c r="B565" s="84"/>
      <c r="D565" s="84"/>
      <c r="E565" s="84"/>
      <c r="G565" s="84"/>
      <c r="H565" s="84"/>
      <c r="I565" s="84"/>
      <c r="AZ565" s="84"/>
      <c r="BV565" s="84"/>
    </row>
    <row r="566">
      <c r="A566" s="84"/>
      <c r="B566" s="84"/>
      <c r="D566" s="84"/>
      <c r="E566" s="84"/>
      <c r="G566" s="84"/>
      <c r="H566" s="84"/>
      <c r="I566" s="84"/>
      <c r="AZ566" s="84"/>
      <c r="BV566" s="84"/>
    </row>
    <row r="567">
      <c r="A567" s="84"/>
      <c r="B567" s="84"/>
      <c r="D567" s="84"/>
      <c r="E567" s="84"/>
      <c r="G567" s="84"/>
      <c r="H567" s="84"/>
      <c r="I567" s="84"/>
      <c r="AZ567" s="84"/>
      <c r="BV567" s="84"/>
    </row>
    <row r="568">
      <c r="A568" s="84"/>
      <c r="B568" s="84"/>
      <c r="D568" s="84"/>
      <c r="E568" s="84"/>
      <c r="G568" s="84"/>
      <c r="H568" s="84"/>
      <c r="I568" s="84"/>
      <c r="AZ568" s="84"/>
      <c r="BV568" s="84"/>
    </row>
    <row r="569">
      <c r="A569" s="84"/>
      <c r="B569" s="84"/>
      <c r="D569" s="84"/>
      <c r="E569" s="84"/>
      <c r="G569" s="84"/>
      <c r="H569" s="84"/>
      <c r="I569" s="84"/>
      <c r="AZ569" s="84"/>
      <c r="BV569" s="84"/>
    </row>
    <row r="570">
      <c r="A570" s="84"/>
      <c r="B570" s="84"/>
      <c r="D570" s="84"/>
      <c r="E570" s="84"/>
      <c r="G570" s="84"/>
      <c r="H570" s="84"/>
      <c r="I570" s="84"/>
      <c r="AZ570" s="84"/>
      <c r="BV570" s="84"/>
    </row>
    <row r="571">
      <c r="A571" s="84"/>
      <c r="B571" s="84"/>
      <c r="D571" s="84"/>
      <c r="E571" s="84"/>
      <c r="G571" s="84"/>
      <c r="H571" s="84"/>
      <c r="I571" s="84"/>
      <c r="AZ571" s="84"/>
      <c r="BV571" s="84"/>
    </row>
    <row r="572">
      <c r="A572" s="84"/>
      <c r="B572" s="84"/>
      <c r="D572" s="84"/>
      <c r="E572" s="84"/>
      <c r="G572" s="84"/>
      <c r="H572" s="84"/>
      <c r="I572" s="84"/>
      <c r="AZ572" s="84"/>
      <c r="BV572" s="84"/>
    </row>
    <row r="573">
      <c r="A573" s="84"/>
      <c r="B573" s="84"/>
      <c r="D573" s="84"/>
      <c r="E573" s="84"/>
      <c r="G573" s="84"/>
      <c r="H573" s="84"/>
      <c r="I573" s="84"/>
      <c r="AZ573" s="84"/>
      <c r="BV573" s="84"/>
    </row>
    <row r="574">
      <c r="A574" s="84"/>
      <c r="B574" s="84"/>
      <c r="D574" s="84"/>
      <c r="E574" s="84"/>
      <c r="G574" s="84"/>
      <c r="H574" s="84"/>
      <c r="I574" s="84"/>
      <c r="AZ574" s="84"/>
      <c r="BV574" s="84"/>
    </row>
    <row r="575">
      <c r="A575" s="84"/>
      <c r="B575" s="84"/>
      <c r="D575" s="84"/>
      <c r="E575" s="84"/>
      <c r="G575" s="84"/>
      <c r="H575" s="84"/>
      <c r="I575" s="84"/>
      <c r="AZ575" s="84"/>
      <c r="BV575" s="84"/>
    </row>
    <row r="576">
      <c r="A576" s="84"/>
      <c r="B576" s="84"/>
      <c r="D576" s="84"/>
      <c r="E576" s="84"/>
      <c r="G576" s="84"/>
      <c r="H576" s="84"/>
      <c r="I576" s="84"/>
      <c r="AZ576" s="84"/>
      <c r="BV576" s="84"/>
    </row>
    <row r="577">
      <c r="A577" s="84"/>
      <c r="B577" s="84"/>
      <c r="D577" s="84"/>
      <c r="E577" s="84"/>
      <c r="G577" s="84"/>
      <c r="H577" s="84"/>
      <c r="I577" s="84"/>
      <c r="AZ577" s="84"/>
      <c r="BV577" s="84"/>
    </row>
    <row r="578">
      <c r="A578" s="84"/>
      <c r="B578" s="84"/>
      <c r="D578" s="84"/>
      <c r="E578" s="84"/>
      <c r="G578" s="84"/>
      <c r="H578" s="84"/>
      <c r="I578" s="84"/>
      <c r="AZ578" s="84"/>
      <c r="BV578" s="84"/>
    </row>
    <row r="579">
      <c r="A579" s="84"/>
      <c r="B579" s="84"/>
      <c r="D579" s="84"/>
      <c r="E579" s="84"/>
      <c r="G579" s="84"/>
      <c r="H579" s="84"/>
      <c r="I579" s="84"/>
      <c r="AZ579" s="84"/>
      <c r="BV579" s="84"/>
    </row>
    <row r="580">
      <c r="A580" s="84"/>
      <c r="B580" s="84"/>
      <c r="D580" s="84"/>
      <c r="E580" s="84"/>
      <c r="G580" s="84"/>
      <c r="H580" s="84"/>
      <c r="I580" s="84"/>
      <c r="AZ580" s="84"/>
      <c r="BV580" s="84"/>
    </row>
    <row r="581">
      <c r="A581" s="84"/>
      <c r="B581" s="84"/>
      <c r="D581" s="84"/>
      <c r="E581" s="84"/>
      <c r="G581" s="84"/>
      <c r="H581" s="84"/>
      <c r="I581" s="84"/>
      <c r="AZ581" s="84"/>
      <c r="BV581" s="84"/>
    </row>
    <row r="582">
      <c r="A582" s="84"/>
      <c r="B582" s="84"/>
      <c r="D582" s="84"/>
      <c r="E582" s="84"/>
      <c r="G582" s="84"/>
      <c r="H582" s="84"/>
      <c r="I582" s="84"/>
      <c r="AZ582" s="84"/>
      <c r="BV582" s="84"/>
    </row>
    <row r="583">
      <c r="A583" s="84"/>
      <c r="B583" s="84"/>
      <c r="D583" s="84"/>
      <c r="E583" s="84"/>
      <c r="G583" s="84"/>
      <c r="H583" s="84"/>
      <c r="I583" s="84"/>
      <c r="AZ583" s="84"/>
      <c r="BV583" s="84"/>
    </row>
    <row r="584">
      <c r="A584" s="84"/>
      <c r="B584" s="84"/>
      <c r="D584" s="84"/>
      <c r="E584" s="84"/>
      <c r="G584" s="84"/>
      <c r="H584" s="84"/>
      <c r="I584" s="84"/>
      <c r="AZ584" s="84"/>
      <c r="BV584" s="84"/>
    </row>
    <row r="585">
      <c r="A585" s="84"/>
      <c r="B585" s="84"/>
      <c r="D585" s="84"/>
      <c r="E585" s="84"/>
      <c r="G585" s="84"/>
      <c r="H585" s="84"/>
      <c r="I585" s="84"/>
      <c r="AZ585" s="84"/>
      <c r="BV585" s="84"/>
    </row>
    <row r="586">
      <c r="A586" s="84"/>
      <c r="B586" s="84"/>
      <c r="D586" s="84"/>
      <c r="E586" s="84"/>
      <c r="G586" s="84"/>
      <c r="H586" s="84"/>
      <c r="I586" s="84"/>
      <c r="AZ586" s="84"/>
      <c r="BV586" s="84"/>
    </row>
    <row r="587">
      <c r="A587" s="84"/>
      <c r="B587" s="84"/>
      <c r="D587" s="84"/>
      <c r="E587" s="84"/>
      <c r="G587" s="84"/>
      <c r="H587" s="84"/>
      <c r="I587" s="84"/>
      <c r="AZ587" s="84"/>
      <c r="BV587" s="84"/>
    </row>
    <row r="588">
      <c r="A588" s="84"/>
      <c r="B588" s="84"/>
      <c r="D588" s="84"/>
      <c r="E588" s="84"/>
      <c r="G588" s="84"/>
      <c r="H588" s="84"/>
      <c r="I588" s="84"/>
      <c r="AZ588" s="84"/>
      <c r="BV588" s="84"/>
    </row>
    <row r="589">
      <c r="A589" s="84"/>
      <c r="B589" s="84"/>
      <c r="D589" s="84"/>
      <c r="E589" s="84"/>
      <c r="G589" s="84"/>
      <c r="H589" s="84"/>
      <c r="I589" s="84"/>
      <c r="AZ589" s="84"/>
      <c r="BV589" s="84"/>
    </row>
    <row r="590">
      <c r="A590" s="84"/>
      <c r="B590" s="84"/>
      <c r="D590" s="84"/>
      <c r="E590" s="84"/>
      <c r="G590" s="84"/>
      <c r="H590" s="84"/>
      <c r="I590" s="84"/>
      <c r="AZ590" s="84"/>
      <c r="BV590" s="84"/>
    </row>
    <row r="591">
      <c r="A591" s="84"/>
      <c r="B591" s="84"/>
      <c r="D591" s="84"/>
      <c r="E591" s="84"/>
      <c r="G591" s="84"/>
      <c r="H591" s="84"/>
      <c r="I591" s="84"/>
      <c r="AZ591" s="84"/>
      <c r="BV591" s="84"/>
    </row>
    <row r="592">
      <c r="A592" s="84"/>
      <c r="B592" s="84"/>
      <c r="D592" s="84"/>
      <c r="E592" s="84"/>
      <c r="G592" s="84"/>
      <c r="H592" s="84"/>
      <c r="I592" s="84"/>
      <c r="AZ592" s="84"/>
      <c r="BV592" s="84"/>
    </row>
    <row r="593">
      <c r="A593" s="84"/>
      <c r="B593" s="84"/>
      <c r="D593" s="84"/>
      <c r="E593" s="84"/>
      <c r="G593" s="84"/>
      <c r="H593" s="84"/>
      <c r="I593" s="84"/>
      <c r="AZ593" s="84"/>
      <c r="BV593" s="84"/>
    </row>
    <row r="594">
      <c r="A594" s="84"/>
      <c r="B594" s="84"/>
      <c r="D594" s="84"/>
      <c r="E594" s="84"/>
      <c r="G594" s="84"/>
      <c r="H594" s="84"/>
      <c r="I594" s="84"/>
      <c r="AZ594" s="84"/>
      <c r="BV594" s="84"/>
    </row>
    <row r="595">
      <c r="A595" s="84"/>
      <c r="B595" s="84"/>
      <c r="D595" s="84"/>
      <c r="E595" s="84"/>
      <c r="G595" s="84"/>
      <c r="H595" s="84"/>
      <c r="I595" s="84"/>
      <c r="AZ595" s="84"/>
      <c r="BV595" s="84"/>
    </row>
    <row r="596">
      <c r="A596" s="84"/>
      <c r="B596" s="84"/>
      <c r="D596" s="84"/>
      <c r="E596" s="84"/>
      <c r="G596" s="84"/>
      <c r="H596" s="84"/>
      <c r="I596" s="84"/>
      <c r="AZ596" s="84"/>
      <c r="BV596" s="84"/>
    </row>
    <row r="597">
      <c r="A597" s="84"/>
      <c r="B597" s="84"/>
      <c r="D597" s="84"/>
      <c r="E597" s="84"/>
      <c r="G597" s="84"/>
      <c r="H597" s="84"/>
      <c r="I597" s="84"/>
      <c r="AZ597" s="84"/>
      <c r="BV597" s="84"/>
    </row>
    <row r="598">
      <c r="A598" s="84"/>
      <c r="B598" s="84"/>
      <c r="D598" s="84"/>
      <c r="E598" s="84"/>
      <c r="G598" s="84"/>
      <c r="H598" s="84"/>
      <c r="I598" s="84"/>
      <c r="AZ598" s="84"/>
      <c r="BV598" s="84"/>
    </row>
    <row r="599">
      <c r="A599" s="84"/>
      <c r="B599" s="84"/>
      <c r="D599" s="84"/>
      <c r="E599" s="84"/>
      <c r="G599" s="84"/>
      <c r="H599" s="84"/>
      <c r="I599" s="84"/>
      <c r="AZ599" s="84"/>
      <c r="BV599" s="84"/>
    </row>
    <row r="600">
      <c r="A600" s="84"/>
      <c r="B600" s="84"/>
      <c r="D600" s="84"/>
      <c r="E600" s="84"/>
      <c r="G600" s="84"/>
      <c r="H600" s="84"/>
      <c r="I600" s="84"/>
      <c r="AZ600" s="84"/>
      <c r="BV600" s="84"/>
    </row>
    <row r="601">
      <c r="A601" s="84"/>
      <c r="B601" s="84"/>
      <c r="D601" s="84"/>
      <c r="E601" s="84"/>
      <c r="G601" s="84"/>
      <c r="H601" s="84"/>
      <c r="I601" s="84"/>
      <c r="AZ601" s="84"/>
      <c r="BV601" s="84"/>
    </row>
    <row r="602">
      <c r="A602" s="84"/>
      <c r="B602" s="84"/>
      <c r="D602" s="84"/>
      <c r="E602" s="84"/>
      <c r="G602" s="84"/>
      <c r="H602" s="84"/>
      <c r="I602" s="84"/>
      <c r="AZ602" s="84"/>
      <c r="BV602" s="84"/>
    </row>
    <row r="603">
      <c r="A603" s="84"/>
      <c r="B603" s="84"/>
      <c r="D603" s="84"/>
      <c r="E603" s="84"/>
      <c r="G603" s="84"/>
      <c r="H603" s="84"/>
      <c r="I603" s="84"/>
      <c r="AZ603" s="84"/>
      <c r="BV603" s="84"/>
    </row>
    <row r="604">
      <c r="A604" s="84"/>
      <c r="B604" s="84"/>
      <c r="D604" s="84"/>
      <c r="E604" s="84"/>
      <c r="G604" s="84"/>
      <c r="H604" s="84"/>
      <c r="I604" s="84"/>
      <c r="AZ604" s="84"/>
      <c r="BV604" s="84"/>
    </row>
    <row r="605">
      <c r="A605" s="84"/>
      <c r="B605" s="84"/>
      <c r="D605" s="84"/>
      <c r="E605" s="84"/>
      <c r="G605" s="84"/>
      <c r="H605" s="84"/>
      <c r="I605" s="84"/>
      <c r="AZ605" s="84"/>
      <c r="BV605" s="84"/>
    </row>
    <row r="606">
      <c r="A606" s="84"/>
      <c r="B606" s="84"/>
      <c r="D606" s="84"/>
      <c r="E606" s="84"/>
      <c r="G606" s="84"/>
      <c r="H606" s="84"/>
      <c r="I606" s="84"/>
      <c r="AZ606" s="84"/>
      <c r="BV606" s="84"/>
    </row>
    <row r="607">
      <c r="A607" s="84"/>
      <c r="B607" s="84"/>
      <c r="D607" s="84"/>
      <c r="E607" s="84"/>
      <c r="G607" s="84"/>
      <c r="H607" s="84"/>
      <c r="I607" s="84"/>
      <c r="AZ607" s="84"/>
      <c r="BV607" s="84"/>
    </row>
    <row r="608">
      <c r="A608" s="84"/>
      <c r="B608" s="84"/>
      <c r="D608" s="84"/>
      <c r="E608" s="84"/>
      <c r="G608" s="84"/>
      <c r="H608" s="84"/>
      <c r="I608" s="84"/>
      <c r="AZ608" s="84"/>
      <c r="BV608" s="84"/>
    </row>
    <row r="609">
      <c r="A609" s="84"/>
      <c r="B609" s="84"/>
      <c r="D609" s="84"/>
      <c r="E609" s="84"/>
      <c r="G609" s="84"/>
      <c r="H609" s="84"/>
      <c r="I609" s="84"/>
      <c r="AZ609" s="84"/>
      <c r="BV609" s="84"/>
    </row>
    <row r="610">
      <c r="A610" s="84"/>
      <c r="B610" s="84"/>
      <c r="D610" s="84"/>
      <c r="E610" s="84"/>
      <c r="G610" s="84"/>
      <c r="H610" s="84"/>
      <c r="I610" s="84"/>
      <c r="AZ610" s="84"/>
      <c r="BV610" s="84"/>
    </row>
    <row r="611">
      <c r="A611" s="84"/>
      <c r="B611" s="84"/>
      <c r="D611" s="84"/>
      <c r="E611" s="84"/>
      <c r="G611" s="84"/>
      <c r="H611" s="84"/>
      <c r="I611" s="84"/>
      <c r="AZ611" s="84"/>
      <c r="BV611" s="84"/>
    </row>
    <row r="612">
      <c r="A612" s="84"/>
      <c r="B612" s="84"/>
      <c r="D612" s="84"/>
      <c r="E612" s="84"/>
      <c r="G612" s="84"/>
      <c r="H612" s="84"/>
      <c r="I612" s="84"/>
      <c r="AZ612" s="84"/>
      <c r="BV612" s="84"/>
    </row>
    <row r="613">
      <c r="A613" s="84"/>
      <c r="B613" s="84"/>
      <c r="D613" s="84"/>
      <c r="E613" s="84"/>
      <c r="G613" s="84"/>
      <c r="H613" s="84"/>
      <c r="I613" s="84"/>
      <c r="AZ613" s="84"/>
      <c r="BV613" s="84"/>
    </row>
    <row r="614">
      <c r="A614" s="84"/>
      <c r="B614" s="84"/>
      <c r="D614" s="84"/>
      <c r="E614" s="84"/>
      <c r="G614" s="84"/>
      <c r="H614" s="84"/>
      <c r="I614" s="84"/>
      <c r="AZ614" s="84"/>
      <c r="BV614" s="84"/>
    </row>
    <row r="615">
      <c r="A615" s="84"/>
      <c r="B615" s="84"/>
      <c r="D615" s="84"/>
      <c r="E615" s="84"/>
      <c r="G615" s="84"/>
      <c r="H615" s="84"/>
      <c r="I615" s="84"/>
      <c r="AZ615" s="84"/>
      <c r="BV615" s="84"/>
    </row>
    <row r="616">
      <c r="A616" s="84"/>
      <c r="B616" s="84"/>
      <c r="D616" s="84"/>
      <c r="E616" s="84"/>
      <c r="G616" s="84"/>
      <c r="H616" s="84"/>
      <c r="I616" s="84"/>
      <c r="AZ616" s="84"/>
      <c r="BV616" s="84"/>
    </row>
    <row r="617">
      <c r="A617" s="84"/>
      <c r="B617" s="84"/>
      <c r="D617" s="84"/>
      <c r="E617" s="84"/>
      <c r="G617" s="84"/>
      <c r="H617" s="84"/>
      <c r="I617" s="84"/>
      <c r="AZ617" s="84"/>
      <c r="BV617" s="84"/>
    </row>
    <row r="618">
      <c r="A618" s="84"/>
      <c r="B618" s="84"/>
      <c r="D618" s="84"/>
      <c r="E618" s="84"/>
      <c r="G618" s="84"/>
      <c r="H618" s="84"/>
      <c r="I618" s="84"/>
      <c r="AZ618" s="84"/>
      <c r="BV618" s="84"/>
    </row>
    <row r="619">
      <c r="A619" s="84"/>
      <c r="B619" s="84"/>
      <c r="D619" s="84"/>
      <c r="E619" s="84"/>
      <c r="G619" s="84"/>
      <c r="H619" s="84"/>
      <c r="I619" s="84"/>
      <c r="AZ619" s="84"/>
      <c r="BV619" s="84"/>
    </row>
    <row r="620">
      <c r="A620" s="84"/>
      <c r="B620" s="84"/>
      <c r="D620" s="84"/>
      <c r="E620" s="84"/>
      <c r="G620" s="84"/>
      <c r="H620" s="84"/>
      <c r="I620" s="84"/>
      <c r="AZ620" s="84"/>
      <c r="BV620" s="84"/>
    </row>
    <row r="621">
      <c r="A621" s="84"/>
      <c r="B621" s="84"/>
      <c r="D621" s="84"/>
      <c r="E621" s="84"/>
      <c r="G621" s="84"/>
      <c r="H621" s="84"/>
      <c r="I621" s="84"/>
      <c r="AZ621" s="84"/>
      <c r="BV621" s="84"/>
    </row>
    <row r="622">
      <c r="A622" s="84"/>
      <c r="B622" s="84"/>
      <c r="D622" s="84"/>
      <c r="E622" s="84"/>
      <c r="G622" s="84"/>
      <c r="H622" s="84"/>
      <c r="I622" s="84"/>
      <c r="AZ622" s="84"/>
      <c r="BV622" s="84"/>
    </row>
    <row r="623">
      <c r="A623" s="84"/>
      <c r="B623" s="84"/>
      <c r="D623" s="84"/>
      <c r="E623" s="84"/>
      <c r="G623" s="84"/>
      <c r="H623" s="84"/>
      <c r="I623" s="84"/>
      <c r="AZ623" s="84"/>
      <c r="BV623" s="84"/>
    </row>
    <row r="624">
      <c r="A624" s="84"/>
      <c r="B624" s="84"/>
      <c r="D624" s="84"/>
      <c r="E624" s="84"/>
      <c r="G624" s="84"/>
      <c r="H624" s="84"/>
      <c r="I624" s="84"/>
      <c r="AZ624" s="84"/>
      <c r="BV624" s="84"/>
    </row>
    <row r="625">
      <c r="A625" s="84"/>
      <c r="B625" s="84"/>
      <c r="D625" s="84"/>
      <c r="E625" s="84"/>
      <c r="G625" s="84"/>
      <c r="H625" s="84"/>
      <c r="I625" s="84"/>
      <c r="AZ625" s="84"/>
      <c r="BV625" s="84"/>
    </row>
    <row r="626">
      <c r="A626" s="84"/>
      <c r="B626" s="84"/>
      <c r="D626" s="84"/>
      <c r="E626" s="84"/>
      <c r="G626" s="84"/>
      <c r="H626" s="84"/>
      <c r="I626" s="84"/>
      <c r="AZ626" s="84"/>
      <c r="BV626" s="84"/>
    </row>
    <row r="627">
      <c r="A627" s="84"/>
      <c r="B627" s="84"/>
      <c r="D627" s="84"/>
      <c r="E627" s="84"/>
      <c r="G627" s="84"/>
      <c r="H627" s="84"/>
      <c r="I627" s="84"/>
      <c r="AZ627" s="84"/>
      <c r="BV627" s="84"/>
    </row>
    <row r="628">
      <c r="A628" s="84"/>
      <c r="B628" s="84"/>
      <c r="D628" s="84"/>
      <c r="E628" s="84"/>
      <c r="G628" s="84"/>
      <c r="H628" s="84"/>
      <c r="I628" s="84"/>
      <c r="AZ628" s="84"/>
      <c r="BV628" s="84"/>
    </row>
    <row r="629">
      <c r="A629" s="84"/>
      <c r="B629" s="84"/>
      <c r="D629" s="84"/>
      <c r="E629" s="84"/>
      <c r="G629" s="84"/>
      <c r="H629" s="84"/>
      <c r="I629" s="84"/>
      <c r="AZ629" s="84"/>
      <c r="BV629" s="84"/>
    </row>
    <row r="630">
      <c r="A630" s="84"/>
      <c r="B630" s="84"/>
      <c r="D630" s="84"/>
      <c r="E630" s="84"/>
      <c r="G630" s="84"/>
      <c r="H630" s="84"/>
      <c r="I630" s="84"/>
      <c r="AZ630" s="84"/>
      <c r="BV630" s="84"/>
    </row>
    <row r="631">
      <c r="A631" s="84"/>
      <c r="B631" s="84"/>
      <c r="D631" s="84"/>
      <c r="E631" s="84"/>
      <c r="G631" s="84"/>
      <c r="H631" s="84"/>
      <c r="I631" s="84"/>
      <c r="AZ631" s="84"/>
      <c r="BV631" s="84"/>
    </row>
    <row r="632">
      <c r="A632" s="84"/>
      <c r="B632" s="84"/>
      <c r="D632" s="84"/>
      <c r="E632" s="84"/>
      <c r="G632" s="84"/>
      <c r="H632" s="84"/>
      <c r="I632" s="84"/>
      <c r="AZ632" s="84"/>
      <c r="BV632" s="84"/>
    </row>
    <row r="633">
      <c r="A633" s="84"/>
      <c r="B633" s="84"/>
      <c r="D633" s="84"/>
      <c r="E633" s="84"/>
      <c r="G633" s="84"/>
      <c r="H633" s="84"/>
      <c r="I633" s="84"/>
      <c r="AZ633" s="84"/>
      <c r="BV633" s="84"/>
    </row>
    <row r="634">
      <c r="A634" s="84"/>
      <c r="B634" s="84"/>
      <c r="D634" s="84"/>
      <c r="E634" s="84"/>
      <c r="G634" s="84"/>
      <c r="H634" s="84"/>
      <c r="I634" s="84"/>
      <c r="AZ634" s="84"/>
      <c r="BV634" s="84"/>
    </row>
    <row r="635">
      <c r="A635" s="84"/>
      <c r="B635" s="84"/>
      <c r="D635" s="84"/>
      <c r="E635" s="84"/>
      <c r="G635" s="84"/>
      <c r="H635" s="84"/>
      <c r="I635" s="84"/>
      <c r="AZ635" s="84"/>
      <c r="BV635" s="84"/>
    </row>
    <row r="636">
      <c r="A636" s="84"/>
      <c r="B636" s="84"/>
      <c r="D636" s="84"/>
      <c r="E636" s="84"/>
      <c r="G636" s="84"/>
      <c r="H636" s="84"/>
      <c r="I636" s="84"/>
      <c r="AZ636" s="84"/>
      <c r="BV636" s="84"/>
    </row>
    <row r="637">
      <c r="A637" s="84"/>
      <c r="B637" s="84"/>
      <c r="D637" s="84"/>
      <c r="E637" s="84"/>
      <c r="G637" s="84"/>
      <c r="H637" s="84"/>
      <c r="I637" s="84"/>
      <c r="AZ637" s="84"/>
      <c r="BV637" s="84"/>
    </row>
    <row r="638">
      <c r="A638" s="84"/>
      <c r="B638" s="84"/>
      <c r="D638" s="84"/>
      <c r="E638" s="84"/>
      <c r="G638" s="84"/>
      <c r="H638" s="84"/>
      <c r="I638" s="84"/>
      <c r="AZ638" s="84"/>
      <c r="BV638" s="84"/>
    </row>
    <row r="639">
      <c r="A639" s="84"/>
      <c r="B639" s="84"/>
      <c r="D639" s="84"/>
      <c r="E639" s="84"/>
      <c r="G639" s="84"/>
      <c r="H639" s="84"/>
      <c r="I639" s="84"/>
      <c r="AZ639" s="84"/>
      <c r="BV639" s="84"/>
    </row>
    <row r="640">
      <c r="A640" s="84"/>
      <c r="B640" s="84"/>
      <c r="D640" s="84"/>
      <c r="E640" s="84"/>
      <c r="G640" s="84"/>
      <c r="H640" s="84"/>
      <c r="I640" s="84"/>
      <c r="AZ640" s="84"/>
      <c r="BV640" s="84"/>
    </row>
    <row r="641">
      <c r="A641" s="84"/>
      <c r="B641" s="84"/>
      <c r="D641" s="84"/>
      <c r="E641" s="84"/>
      <c r="G641" s="84"/>
      <c r="H641" s="84"/>
      <c r="I641" s="84"/>
      <c r="AZ641" s="84"/>
      <c r="BV641" s="84"/>
    </row>
    <row r="642">
      <c r="A642" s="84"/>
      <c r="B642" s="84"/>
      <c r="D642" s="84"/>
      <c r="E642" s="84"/>
      <c r="G642" s="84"/>
      <c r="H642" s="84"/>
      <c r="I642" s="84"/>
      <c r="AZ642" s="84"/>
      <c r="BV642" s="84"/>
    </row>
    <row r="643">
      <c r="A643" s="84"/>
      <c r="B643" s="84"/>
      <c r="D643" s="84"/>
      <c r="E643" s="84"/>
      <c r="G643" s="84"/>
      <c r="H643" s="84"/>
      <c r="I643" s="84"/>
      <c r="AZ643" s="84"/>
      <c r="BV643" s="84"/>
    </row>
    <row r="644">
      <c r="A644" s="84"/>
      <c r="B644" s="84"/>
      <c r="D644" s="84"/>
      <c r="E644" s="84"/>
      <c r="G644" s="84"/>
      <c r="H644" s="84"/>
      <c r="I644" s="84"/>
      <c r="AZ644" s="84"/>
      <c r="BV644" s="84"/>
    </row>
    <row r="645">
      <c r="A645" s="84"/>
      <c r="B645" s="84"/>
      <c r="D645" s="84"/>
      <c r="E645" s="84"/>
      <c r="G645" s="84"/>
      <c r="H645" s="84"/>
      <c r="I645" s="84"/>
      <c r="AZ645" s="84"/>
      <c r="BV645" s="84"/>
    </row>
    <row r="646">
      <c r="A646" s="84"/>
      <c r="B646" s="84"/>
      <c r="D646" s="84"/>
      <c r="E646" s="84"/>
      <c r="G646" s="84"/>
      <c r="H646" s="84"/>
      <c r="I646" s="84"/>
      <c r="AZ646" s="84"/>
      <c r="BV646" s="84"/>
    </row>
    <row r="647">
      <c r="A647" s="84"/>
      <c r="B647" s="84"/>
      <c r="D647" s="84"/>
      <c r="E647" s="84"/>
      <c r="G647" s="84"/>
      <c r="H647" s="84"/>
      <c r="I647" s="84"/>
      <c r="AZ647" s="84"/>
      <c r="BV647" s="84"/>
    </row>
    <row r="648">
      <c r="A648" s="84"/>
      <c r="B648" s="84"/>
      <c r="D648" s="84"/>
      <c r="E648" s="84"/>
      <c r="G648" s="84"/>
      <c r="H648" s="84"/>
      <c r="I648" s="84"/>
      <c r="AZ648" s="84"/>
      <c r="BV648" s="84"/>
    </row>
    <row r="649">
      <c r="A649" s="84"/>
      <c r="B649" s="84"/>
      <c r="D649" s="84"/>
      <c r="E649" s="84"/>
      <c r="G649" s="84"/>
      <c r="H649" s="84"/>
      <c r="I649" s="84"/>
      <c r="AZ649" s="84"/>
      <c r="BV649" s="84"/>
    </row>
    <row r="650">
      <c r="A650" s="84"/>
      <c r="B650" s="84"/>
      <c r="D650" s="84"/>
      <c r="E650" s="84"/>
      <c r="G650" s="84"/>
      <c r="H650" s="84"/>
      <c r="I650" s="84"/>
      <c r="AZ650" s="84"/>
      <c r="BV650" s="84"/>
    </row>
    <row r="651">
      <c r="A651" s="84"/>
      <c r="B651" s="84"/>
      <c r="D651" s="84"/>
      <c r="E651" s="84"/>
      <c r="G651" s="84"/>
      <c r="H651" s="84"/>
      <c r="I651" s="84"/>
      <c r="AZ651" s="84"/>
      <c r="BV651" s="84"/>
    </row>
    <row r="652">
      <c r="A652" s="84"/>
      <c r="B652" s="84"/>
      <c r="D652" s="84"/>
      <c r="E652" s="84"/>
      <c r="G652" s="84"/>
      <c r="H652" s="84"/>
      <c r="I652" s="84"/>
      <c r="AZ652" s="84"/>
      <c r="BV652" s="84"/>
    </row>
    <row r="653">
      <c r="A653" s="84"/>
      <c r="B653" s="84"/>
      <c r="D653" s="84"/>
      <c r="E653" s="84"/>
      <c r="G653" s="84"/>
      <c r="H653" s="84"/>
      <c r="I653" s="84"/>
      <c r="AZ653" s="84"/>
      <c r="BV653" s="84"/>
    </row>
    <row r="654">
      <c r="A654" s="84"/>
      <c r="B654" s="84"/>
      <c r="D654" s="84"/>
      <c r="E654" s="84"/>
      <c r="G654" s="84"/>
      <c r="H654" s="84"/>
      <c r="I654" s="84"/>
      <c r="AZ654" s="84"/>
      <c r="BV654" s="84"/>
    </row>
    <row r="655">
      <c r="A655" s="84"/>
      <c r="B655" s="84"/>
      <c r="D655" s="84"/>
      <c r="E655" s="84"/>
      <c r="G655" s="84"/>
      <c r="H655" s="84"/>
      <c r="I655" s="84"/>
      <c r="AZ655" s="84"/>
      <c r="BV655" s="84"/>
    </row>
    <row r="656">
      <c r="A656" s="84"/>
      <c r="B656" s="84"/>
      <c r="D656" s="84"/>
      <c r="E656" s="84"/>
      <c r="G656" s="84"/>
      <c r="H656" s="84"/>
      <c r="I656" s="84"/>
      <c r="AZ656" s="84"/>
      <c r="BV656" s="84"/>
    </row>
    <row r="657">
      <c r="A657" s="84"/>
      <c r="B657" s="84"/>
      <c r="D657" s="84"/>
      <c r="E657" s="84"/>
      <c r="G657" s="84"/>
      <c r="H657" s="84"/>
      <c r="I657" s="84"/>
      <c r="AZ657" s="84"/>
      <c r="BV657" s="84"/>
    </row>
    <row r="658">
      <c r="A658" s="84"/>
      <c r="B658" s="84"/>
      <c r="D658" s="84"/>
      <c r="E658" s="84"/>
      <c r="G658" s="84"/>
      <c r="H658" s="84"/>
      <c r="I658" s="84"/>
      <c r="AZ658" s="84"/>
      <c r="BV658" s="84"/>
    </row>
    <row r="659">
      <c r="A659" s="84"/>
      <c r="B659" s="84"/>
      <c r="D659" s="84"/>
      <c r="E659" s="84"/>
      <c r="G659" s="84"/>
      <c r="H659" s="84"/>
      <c r="I659" s="84"/>
      <c r="AZ659" s="84"/>
      <c r="BV659" s="84"/>
    </row>
    <row r="660">
      <c r="A660" s="84"/>
      <c r="B660" s="84"/>
      <c r="D660" s="84"/>
      <c r="E660" s="84"/>
      <c r="G660" s="84"/>
      <c r="H660" s="84"/>
      <c r="I660" s="84"/>
      <c r="AZ660" s="84"/>
      <c r="BV660" s="84"/>
    </row>
    <row r="661">
      <c r="A661" s="84"/>
      <c r="B661" s="84"/>
      <c r="D661" s="84"/>
      <c r="E661" s="84"/>
      <c r="G661" s="84"/>
      <c r="H661" s="84"/>
      <c r="I661" s="84"/>
      <c r="AZ661" s="84"/>
      <c r="BV661" s="84"/>
    </row>
    <row r="662">
      <c r="A662" s="84"/>
      <c r="B662" s="84"/>
      <c r="D662" s="84"/>
      <c r="E662" s="84"/>
      <c r="G662" s="84"/>
      <c r="H662" s="84"/>
      <c r="I662" s="84"/>
      <c r="AZ662" s="84"/>
      <c r="BV662" s="84"/>
    </row>
    <row r="663">
      <c r="A663" s="84"/>
      <c r="B663" s="84"/>
      <c r="D663" s="84"/>
      <c r="E663" s="84"/>
      <c r="G663" s="84"/>
      <c r="H663" s="84"/>
      <c r="I663" s="84"/>
      <c r="AZ663" s="84"/>
      <c r="BV663" s="84"/>
    </row>
    <row r="664">
      <c r="A664" s="84"/>
      <c r="B664" s="84"/>
      <c r="D664" s="84"/>
      <c r="E664" s="84"/>
      <c r="G664" s="84"/>
      <c r="H664" s="84"/>
      <c r="I664" s="84"/>
      <c r="AZ664" s="84"/>
      <c r="BV664" s="84"/>
    </row>
    <row r="665">
      <c r="A665" s="84"/>
      <c r="B665" s="84"/>
      <c r="D665" s="84"/>
      <c r="E665" s="84"/>
      <c r="G665" s="84"/>
      <c r="H665" s="84"/>
      <c r="I665" s="84"/>
      <c r="AZ665" s="84"/>
      <c r="BV665" s="84"/>
    </row>
    <row r="666">
      <c r="A666" s="84"/>
      <c r="B666" s="84"/>
      <c r="D666" s="84"/>
      <c r="E666" s="84"/>
      <c r="G666" s="84"/>
      <c r="H666" s="84"/>
      <c r="I666" s="84"/>
      <c r="AZ666" s="84"/>
      <c r="BV666" s="84"/>
    </row>
    <row r="667">
      <c r="A667" s="84"/>
      <c r="B667" s="84"/>
      <c r="D667" s="84"/>
      <c r="E667" s="84"/>
      <c r="G667" s="84"/>
      <c r="H667" s="84"/>
      <c r="I667" s="84"/>
      <c r="AZ667" s="84"/>
      <c r="BV667" s="84"/>
    </row>
    <row r="668">
      <c r="A668" s="84"/>
      <c r="B668" s="84"/>
      <c r="D668" s="84"/>
      <c r="E668" s="84"/>
      <c r="G668" s="84"/>
      <c r="H668" s="84"/>
      <c r="I668" s="84"/>
      <c r="AZ668" s="84"/>
      <c r="BV668" s="84"/>
    </row>
    <row r="669">
      <c r="A669" s="84"/>
      <c r="B669" s="84"/>
      <c r="D669" s="84"/>
      <c r="E669" s="84"/>
      <c r="G669" s="84"/>
      <c r="H669" s="84"/>
      <c r="I669" s="84"/>
      <c r="AZ669" s="84"/>
      <c r="BV669" s="84"/>
    </row>
    <row r="670">
      <c r="A670" s="84"/>
      <c r="B670" s="84"/>
      <c r="D670" s="84"/>
      <c r="E670" s="84"/>
      <c r="G670" s="84"/>
      <c r="H670" s="84"/>
      <c r="I670" s="84"/>
      <c r="AZ670" s="84"/>
      <c r="BV670" s="84"/>
    </row>
    <row r="671">
      <c r="A671" s="84"/>
      <c r="B671" s="84"/>
      <c r="D671" s="84"/>
      <c r="E671" s="84"/>
      <c r="G671" s="84"/>
      <c r="H671" s="84"/>
      <c r="I671" s="84"/>
      <c r="AZ671" s="84"/>
      <c r="BV671" s="84"/>
    </row>
    <row r="672">
      <c r="A672" s="84"/>
      <c r="B672" s="84"/>
      <c r="D672" s="84"/>
      <c r="E672" s="84"/>
      <c r="G672" s="84"/>
      <c r="H672" s="84"/>
      <c r="I672" s="84"/>
      <c r="AZ672" s="84"/>
      <c r="BV672" s="84"/>
    </row>
    <row r="673">
      <c r="A673" s="84"/>
      <c r="B673" s="84"/>
      <c r="D673" s="84"/>
      <c r="E673" s="84"/>
      <c r="G673" s="84"/>
      <c r="H673" s="84"/>
      <c r="I673" s="84"/>
      <c r="AZ673" s="84"/>
      <c r="BV673" s="84"/>
    </row>
    <row r="674">
      <c r="A674" s="84"/>
      <c r="B674" s="84"/>
      <c r="D674" s="84"/>
      <c r="E674" s="84"/>
      <c r="G674" s="84"/>
      <c r="H674" s="84"/>
      <c r="I674" s="84"/>
      <c r="AZ674" s="84"/>
      <c r="BV674" s="84"/>
    </row>
    <row r="675">
      <c r="A675" s="84"/>
      <c r="B675" s="84"/>
      <c r="D675" s="84"/>
      <c r="E675" s="84"/>
      <c r="G675" s="84"/>
      <c r="H675" s="84"/>
      <c r="I675" s="84"/>
      <c r="AZ675" s="84"/>
      <c r="BV675" s="84"/>
    </row>
    <row r="676">
      <c r="A676" s="84"/>
      <c r="B676" s="84"/>
      <c r="D676" s="84"/>
      <c r="E676" s="84"/>
      <c r="G676" s="84"/>
      <c r="H676" s="84"/>
      <c r="I676" s="84"/>
      <c r="AZ676" s="84"/>
      <c r="BV676" s="84"/>
    </row>
    <row r="677">
      <c r="A677" s="84"/>
      <c r="B677" s="84"/>
      <c r="D677" s="84"/>
      <c r="E677" s="84"/>
      <c r="G677" s="84"/>
      <c r="H677" s="84"/>
      <c r="I677" s="84"/>
      <c r="AZ677" s="84"/>
      <c r="BV677" s="84"/>
    </row>
    <row r="678">
      <c r="A678" s="84"/>
      <c r="B678" s="84"/>
      <c r="D678" s="84"/>
      <c r="E678" s="84"/>
      <c r="G678" s="84"/>
      <c r="H678" s="84"/>
      <c r="I678" s="84"/>
      <c r="AZ678" s="84"/>
      <c r="BV678" s="84"/>
    </row>
    <row r="679">
      <c r="A679" s="84"/>
      <c r="B679" s="84"/>
      <c r="D679" s="84"/>
      <c r="E679" s="84"/>
      <c r="G679" s="84"/>
      <c r="H679" s="84"/>
      <c r="I679" s="84"/>
      <c r="AZ679" s="84"/>
      <c r="BV679" s="84"/>
    </row>
    <row r="680">
      <c r="A680" s="84"/>
      <c r="B680" s="84"/>
      <c r="D680" s="84"/>
      <c r="E680" s="84"/>
      <c r="G680" s="84"/>
      <c r="H680" s="84"/>
      <c r="I680" s="84"/>
      <c r="AZ680" s="84"/>
      <c r="BV680" s="84"/>
    </row>
    <row r="681">
      <c r="A681" s="84"/>
      <c r="B681" s="84"/>
      <c r="D681" s="84"/>
      <c r="E681" s="84"/>
      <c r="G681" s="84"/>
      <c r="H681" s="84"/>
      <c r="I681" s="84"/>
      <c r="AZ681" s="84"/>
      <c r="BV681" s="84"/>
    </row>
    <row r="682">
      <c r="A682" s="84"/>
      <c r="B682" s="84"/>
      <c r="D682" s="84"/>
      <c r="E682" s="84"/>
      <c r="G682" s="84"/>
      <c r="H682" s="84"/>
      <c r="I682" s="84"/>
      <c r="AZ682" s="84"/>
      <c r="BV682" s="84"/>
    </row>
    <row r="683">
      <c r="A683" s="84"/>
      <c r="B683" s="84"/>
      <c r="D683" s="84"/>
      <c r="E683" s="84"/>
      <c r="G683" s="84"/>
      <c r="H683" s="84"/>
      <c r="I683" s="84"/>
      <c r="AZ683" s="84"/>
      <c r="BV683" s="84"/>
    </row>
    <row r="684">
      <c r="A684" s="84"/>
      <c r="B684" s="84"/>
      <c r="D684" s="84"/>
      <c r="E684" s="84"/>
      <c r="G684" s="84"/>
      <c r="H684" s="84"/>
      <c r="I684" s="84"/>
      <c r="AZ684" s="84"/>
      <c r="BV684" s="84"/>
    </row>
    <row r="685">
      <c r="A685" s="84"/>
      <c r="B685" s="84"/>
      <c r="D685" s="84"/>
      <c r="E685" s="84"/>
      <c r="G685" s="84"/>
      <c r="H685" s="84"/>
      <c r="I685" s="84"/>
      <c r="AZ685" s="84"/>
      <c r="BV685" s="84"/>
    </row>
    <row r="686">
      <c r="A686" s="84"/>
      <c r="B686" s="84"/>
      <c r="D686" s="84"/>
      <c r="E686" s="84"/>
      <c r="G686" s="84"/>
      <c r="H686" s="84"/>
      <c r="I686" s="84"/>
      <c r="AZ686" s="84"/>
      <c r="BV686" s="84"/>
    </row>
    <row r="687">
      <c r="A687" s="84"/>
      <c r="B687" s="84"/>
      <c r="D687" s="84"/>
      <c r="E687" s="84"/>
      <c r="G687" s="84"/>
      <c r="H687" s="84"/>
      <c r="I687" s="84"/>
      <c r="AZ687" s="84"/>
      <c r="BV687" s="84"/>
    </row>
    <row r="688">
      <c r="A688" s="84"/>
      <c r="B688" s="84"/>
      <c r="D688" s="84"/>
      <c r="E688" s="84"/>
      <c r="G688" s="84"/>
      <c r="H688" s="84"/>
      <c r="I688" s="84"/>
      <c r="AZ688" s="84"/>
      <c r="BV688" s="84"/>
    </row>
    <row r="689">
      <c r="A689" s="84"/>
      <c r="B689" s="84"/>
      <c r="D689" s="84"/>
      <c r="E689" s="84"/>
      <c r="G689" s="84"/>
      <c r="H689" s="84"/>
      <c r="I689" s="84"/>
      <c r="AZ689" s="84"/>
      <c r="BV689" s="84"/>
    </row>
    <row r="690">
      <c r="A690" s="84"/>
      <c r="B690" s="84"/>
      <c r="D690" s="84"/>
      <c r="E690" s="84"/>
      <c r="G690" s="84"/>
      <c r="H690" s="84"/>
      <c r="I690" s="84"/>
      <c r="AZ690" s="84"/>
      <c r="BV690" s="84"/>
    </row>
    <row r="691">
      <c r="A691" s="84"/>
      <c r="B691" s="84"/>
      <c r="D691" s="84"/>
      <c r="E691" s="84"/>
      <c r="G691" s="84"/>
      <c r="H691" s="84"/>
      <c r="I691" s="84"/>
      <c r="AZ691" s="84"/>
      <c r="BV691" s="84"/>
    </row>
    <row r="692">
      <c r="A692" s="84"/>
      <c r="B692" s="84"/>
      <c r="D692" s="84"/>
      <c r="E692" s="84"/>
      <c r="G692" s="84"/>
      <c r="H692" s="84"/>
      <c r="I692" s="84"/>
      <c r="AZ692" s="84"/>
      <c r="BV692" s="84"/>
    </row>
    <row r="693">
      <c r="A693" s="84"/>
      <c r="B693" s="84"/>
      <c r="D693" s="84"/>
      <c r="E693" s="84"/>
      <c r="G693" s="84"/>
      <c r="H693" s="84"/>
      <c r="I693" s="84"/>
      <c r="AZ693" s="84"/>
      <c r="BV693" s="84"/>
    </row>
    <row r="694">
      <c r="A694" s="84"/>
      <c r="B694" s="84"/>
      <c r="D694" s="84"/>
      <c r="E694" s="84"/>
      <c r="G694" s="84"/>
      <c r="H694" s="84"/>
      <c r="I694" s="84"/>
      <c r="AZ694" s="84"/>
      <c r="BV694" s="84"/>
    </row>
    <row r="695">
      <c r="A695" s="84"/>
      <c r="B695" s="84"/>
      <c r="D695" s="84"/>
      <c r="E695" s="84"/>
      <c r="G695" s="84"/>
      <c r="H695" s="84"/>
      <c r="I695" s="84"/>
      <c r="AZ695" s="84"/>
      <c r="BV695" s="84"/>
    </row>
    <row r="696">
      <c r="A696" s="84"/>
      <c r="B696" s="84"/>
      <c r="D696" s="84"/>
      <c r="E696" s="84"/>
      <c r="G696" s="84"/>
      <c r="H696" s="84"/>
      <c r="I696" s="84"/>
      <c r="AZ696" s="84"/>
      <c r="BV696" s="84"/>
    </row>
    <row r="697">
      <c r="A697" s="84"/>
      <c r="B697" s="84"/>
      <c r="D697" s="84"/>
      <c r="E697" s="84"/>
      <c r="G697" s="84"/>
      <c r="H697" s="84"/>
      <c r="I697" s="84"/>
      <c r="AZ697" s="84"/>
      <c r="BV697" s="84"/>
    </row>
    <row r="698">
      <c r="A698" s="84"/>
      <c r="B698" s="84"/>
      <c r="D698" s="84"/>
      <c r="E698" s="84"/>
      <c r="G698" s="84"/>
      <c r="H698" s="84"/>
      <c r="I698" s="84"/>
      <c r="AZ698" s="84"/>
      <c r="BV698" s="84"/>
    </row>
    <row r="699">
      <c r="A699" s="84"/>
      <c r="B699" s="84"/>
      <c r="D699" s="84"/>
      <c r="E699" s="84"/>
      <c r="G699" s="84"/>
      <c r="H699" s="84"/>
      <c r="I699" s="84"/>
      <c r="AZ699" s="84"/>
      <c r="BV699" s="84"/>
    </row>
    <row r="700">
      <c r="A700" s="84"/>
      <c r="B700" s="84"/>
      <c r="D700" s="84"/>
      <c r="E700" s="84"/>
      <c r="G700" s="84"/>
      <c r="H700" s="84"/>
      <c r="I700" s="84"/>
      <c r="AZ700" s="84"/>
      <c r="BV700" s="84"/>
    </row>
    <row r="701">
      <c r="A701" s="84"/>
      <c r="B701" s="84"/>
      <c r="D701" s="84"/>
      <c r="E701" s="84"/>
      <c r="G701" s="84"/>
      <c r="H701" s="84"/>
      <c r="I701" s="84"/>
      <c r="AZ701" s="84"/>
      <c r="BV701" s="84"/>
    </row>
    <row r="702">
      <c r="A702" s="84"/>
      <c r="B702" s="84"/>
      <c r="D702" s="84"/>
      <c r="E702" s="84"/>
      <c r="G702" s="84"/>
      <c r="H702" s="84"/>
      <c r="I702" s="84"/>
      <c r="AZ702" s="84"/>
      <c r="BV702" s="84"/>
    </row>
    <row r="703">
      <c r="A703" s="84"/>
      <c r="B703" s="84"/>
      <c r="D703" s="84"/>
      <c r="E703" s="84"/>
      <c r="G703" s="84"/>
      <c r="H703" s="84"/>
      <c r="I703" s="84"/>
      <c r="AZ703" s="84"/>
      <c r="BV703" s="84"/>
    </row>
    <row r="704">
      <c r="A704" s="84"/>
      <c r="B704" s="84"/>
      <c r="D704" s="84"/>
      <c r="E704" s="84"/>
      <c r="G704" s="84"/>
      <c r="H704" s="84"/>
      <c r="I704" s="84"/>
      <c r="AZ704" s="84"/>
      <c r="BV704" s="84"/>
    </row>
    <row r="705">
      <c r="A705" s="84"/>
      <c r="B705" s="84"/>
      <c r="D705" s="84"/>
      <c r="E705" s="84"/>
      <c r="G705" s="84"/>
      <c r="H705" s="84"/>
      <c r="I705" s="84"/>
      <c r="AZ705" s="84"/>
      <c r="BV705" s="84"/>
    </row>
    <row r="706">
      <c r="A706" s="84"/>
      <c r="B706" s="84"/>
      <c r="D706" s="84"/>
      <c r="E706" s="84"/>
      <c r="G706" s="84"/>
      <c r="H706" s="84"/>
      <c r="I706" s="84"/>
      <c r="AZ706" s="84"/>
      <c r="BV706" s="84"/>
    </row>
    <row r="707">
      <c r="A707" s="84"/>
      <c r="B707" s="84"/>
      <c r="D707" s="84"/>
      <c r="E707" s="84"/>
      <c r="G707" s="84"/>
      <c r="H707" s="84"/>
      <c r="I707" s="84"/>
      <c r="AZ707" s="84"/>
      <c r="BV707" s="84"/>
    </row>
    <row r="708">
      <c r="A708" s="84"/>
      <c r="B708" s="84"/>
      <c r="D708" s="84"/>
      <c r="E708" s="84"/>
      <c r="G708" s="84"/>
      <c r="H708" s="84"/>
      <c r="I708" s="84"/>
      <c r="AZ708" s="84"/>
      <c r="BV708" s="84"/>
    </row>
    <row r="709">
      <c r="A709" s="84"/>
      <c r="B709" s="84"/>
      <c r="D709" s="84"/>
      <c r="E709" s="84"/>
      <c r="G709" s="84"/>
      <c r="H709" s="84"/>
      <c r="I709" s="84"/>
      <c r="AZ709" s="84"/>
      <c r="BV709" s="84"/>
    </row>
    <row r="710">
      <c r="A710" s="84"/>
      <c r="B710" s="84"/>
      <c r="D710" s="84"/>
      <c r="E710" s="84"/>
      <c r="G710" s="84"/>
      <c r="H710" s="84"/>
      <c r="I710" s="84"/>
      <c r="AZ710" s="84"/>
      <c r="BV710" s="84"/>
    </row>
    <row r="711">
      <c r="A711" s="84"/>
      <c r="B711" s="84"/>
      <c r="D711" s="84"/>
      <c r="E711" s="84"/>
      <c r="G711" s="84"/>
      <c r="H711" s="84"/>
      <c r="I711" s="84"/>
      <c r="AZ711" s="84"/>
      <c r="BV711" s="84"/>
    </row>
    <row r="712">
      <c r="A712" s="84"/>
      <c r="B712" s="84"/>
      <c r="D712" s="84"/>
      <c r="E712" s="84"/>
      <c r="G712" s="84"/>
      <c r="H712" s="84"/>
      <c r="I712" s="84"/>
      <c r="AZ712" s="84"/>
      <c r="BV712" s="84"/>
    </row>
    <row r="713">
      <c r="A713" s="84"/>
      <c r="B713" s="84"/>
      <c r="D713" s="84"/>
      <c r="E713" s="84"/>
      <c r="G713" s="84"/>
      <c r="H713" s="84"/>
      <c r="I713" s="84"/>
      <c r="AZ713" s="84"/>
      <c r="BV713" s="84"/>
    </row>
    <row r="714">
      <c r="A714" s="84"/>
      <c r="B714" s="84"/>
      <c r="D714" s="84"/>
      <c r="E714" s="84"/>
      <c r="G714" s="84"/>
      <c r="H714" s="84"/>
      <c r="I714" s="84"/>
      <c r="AZ714" s="84"/>
      <c r="BV714" s="84"/>
    </row>
    <row r="715">
      <c r="A715" s="84"/>
      <c r="B715" s="84"/>
      <c r="D715" s="84"/>
      <c r="E715" s="84"/>
      <c r="G715" s="84"/>
      <c r="H715" s="84"/>
      <c r="I715" s="84"/>
      <c r="AZ715" s="84"/>
      <c r="BV715" s="84"/>
    </row>
    <row r="716">
      <c r="A716" s="84"/>
      <c r="B716" s="84"/>
      <c r="D716" s="84"/>
      <c r="E716" s="84"/>
      <c r="G716" s="84"/>
      <c r="H716" s="84"/>
      <c r="I716" s="84"/>
      <c r="AZ716" s="84"/>
      <c r="BV716" s="84"/>
    </row>
    <row r="717">
      <c r="A717" s="84"/>
      <c r="B717" s="84"/>
      <c r="D717" s="84"/>
      <c r="E717" s="84"/>
      <c r="G717" s="84"/>
      <c r="H717" s="84"/>
      <c r="I717" s="84"/>
      <c r="AZ717" s="84"/>
      <c r="BV717" s="84"/>
    </row>
    <row r="718">
      <c r="A718" s="84"/>
      <c r="B718" s="84"/>
      <c r="D718" s="84"/>
      <c r="E718" s="84"/>
      <c r="G718" s="84"/>
      <c r="H718" s="84"/>
      <c r="I718" s="84"/>
      <c r="AZ718" s="84"/>
      <c r="BV718" s="84"/>
    </row>
    <row r="719">
      <c r="A719" s="84"/>
      <c r="B719" s="84"/>
      <c r="D719" s="84"/>
      <c r="E719" s="84"/>
      <c r="G719" s="84"/>
      <c r="H719" s="84"/>
      <c r="I719" s="84"/>
      <c r="AZ719" s="84"/>
      <c r="BV719" s="84"/>
    </row>
    <row r="720">
      <c r="A720" s="84"/>
      <c r="B720" s="84"/>
      <c r="D720" s="84"/>
      <c r="E720" s="84"/>
      <c r="G720" s="84"/>
      <c r="H720" s="84"/>
      <c r="I720" s="84"/>
      <c r="AZ720" s="84"/>
      <c r="BV720" s="84"/>
    </row>
    <row r="721">
      <c r="A721" s="84"/>
      <c r="B721" s="84"/>
      <c r="D721" s="84"/>
      <c r="E721" s="84"/>
      <c r="G721" s="84"/>
      <c r="H721" s="84"/>
      <c r="I721" s="84"/>
      <c r="AZ721" s="84"/>
      <c r="BV721" s="84"/>
    </row>
    <row r="722">
      <c r="A722" s="84"/>
      <c r="B722" s="84"/>
      <c r="D722" s="84"/>
      <c r="E722" s="84"/>
      <c r="G722" s="84"/>
      <c r="H722" s="84"/>
      <c r="I722" s="84"/>
      <c r="AZ722" s="84"/>
      <c r="BV722" s="84"/>
    </row>
    <row r="723">
      <c r="A723" s="84"/>
      <c r="B723" s="84"/>
      <c r="D723" s="84"/>
      <c r="E723" s="84"/>
      <c r="G723" s="84"/>
      <c r="H723" s="84"/>
      <c r="I723" s="84"/>
      <c r="AZ723" s="84"/>
      <c r="BV723" s="84"/>
    </row>
    <row r="724">
      <c r="A724" s="84"/>
      <c r="B724" s="84"/>
      <c r="D724" s="84"/>
      <c r="E724" s="84"/>
      <c r="G724" s="84"/>
      <c r="H724" s="84"/>
      <c r="I724" s="84"/>
      <c r="AZ724" s="84"/>
      <c r="BV724" s="84"/>
    </row>
    <row r="725">
      <c r="A725" s="84"/>
      <c r="B725" s="84"/>
      <c r="D725" s="84"/>
      <c r="E725" s="84"/>
      <c r="G725" s="84"/>
      <c r="H725" s="84"/>
      <c r="I725" s="84"/>
      <c r="AZ725" s="84"/>
      <c r="BV725" s="84"/>
    </row>
    <row r="726">
      <c r="A726" s="84"/>
      <c r="B726" s="84"/>
      <c r="D726" s="84"/>
      <c r="E726" s="84"/>
      <c r="G726" s="84"/>
      <c r="H726" s="84"/>
      <c r="I726" s="84"/>
      <c r="AZ726" s="84"/>
      <c r="BV726" s="84"/>
    </row>
    <row r="727">
      <c r="A727" s="84"/>
      <c r="B727" s="84"/>
      <c r="D727" s="84"/>
      <c r="E727" s="84"/>
      <c r="G727" s="84"/>
      <c r="H727" s="84"/>
      <c r="I727" s="84"/>
      <c r="AZ727" s="84"/>
      <c r="BV727" s="84"/>
    </row>
    <row r="728">
      <c r="A728" s="84"/>
      <c r="B728" s="84"/>
      <c r="D728" s="84"/>
      <c r="E728" s="84"/>
      <c r="G728" s="84"/>
      <c r="H728" s="84"/>
      <c r="I728" s="84"/>
      <c r="AZ728" s="84"/>
      <c r="BV728" s="84"/>
    </row>
    <row r="729">
      <c r="A729" s="84"/>
      <c r="B729" s="84"/>
      <c r="D729" s="84"/>
      <c r="E729" s="84"/>
      <c r="G729" s="84"/>
      <c r="H729" s="84"/>
      <c r="I729" s="84"/>
      <c r="AZ729" s="84"/>
      <c r="BV729" s="84"/>
    </row>
    <row r="730">
      <c r="A730" s="84"/>
      <c r="B730" s="84"/>
      <c r="D730" s="84"/>
      <c r="E730" s="84"/>
      <c r="G730" s="84"/>
      <c r="H730" s="84"/>
      <c r="I730" s="84"/>
      <c r="AZ730" s="84"/>
      <c r="BV730" s="84"/>
    </row>
    <row r="731">
      <c r="A731" s="84"/>
      <c r="B731" s="84"/>
      <c r="D731" s="84"/>
      <c r="E731" s="84"/>
      <c r="G731" s="84"/>
      <c r="H731" s="84"/>
      <c r="I731" s="84"/>
      <c r="AZ731" s="84"/>
      <c r="BV731" s="84"/>
    </row>
    <row r="732">
      <c r="A732" s="84"/>
      <c r="B732" s="84"/>
      <c r="D732" s="84"/>
      <c r="E732" s="84"/>
      <c r="G732" s="84"/>
      <c r="H732" s="84"/>
      <c r="I732" s="84"/>
      <c r="AZ732" s="84"/>
      <c r="BV732" s="84"/>
    </row>
    <row r="733">
      <c r="A733" s="84"/>
      <c r="B733" s="84"/>
      <c r="D733" s="84"/>
      <c r="E733" s="84"/>
      <c r="G733" s="84"/>
      <c r="H733" s="84"/>
      <c r="I733" s="84"/>
      <c r="AZ733" s="84"/>
      <c r="BV733" s="84"/>
    </row>
    <row r="734">
      <c r="A734" s="84"/>
      <c r="B734" s="84"/>
      <c r="D734" s="84"/>
      <c r="E734" s="84"/>
      <c r="G734" s="84"/>
      <c r="H734" s="84"/>
      <c r="I734" s="84"/>
      <c r="AZ734" s="84"/>
      <c r="BV734" s="84"/>
    </row>
    <row r="735">
      <c r="A735" s="84"/>
      <c r="B735" s="84"/>
      <c r="D735" s="84"/>
      <c r="E735" s="84"/>
      <c r="G735" s="84"/>
      <c r="H735" s="84"/>
      <c r="I735" s="84"/>
      <c r="AZ735" s="84"/>
      <c r="BV735" s="84"/>
    </row>
    <row r="736">
      <c r="A736" s="84"/>
      <c r="B736" s="84"/>
      <c r="D736" s="84"/>
      <c r="E736" s="84"/>
      <c r="G736" s="84"/>
      <c r="H736" s="84"/>
      <c r="I736" s="84"/>
      <c r="AZ736" s="84"/>
      <c r="BV736" s="84"/>
    </row>
    <row r="737">
      <c r="A737" s="84"/>
      <c r="B737" s="84"/>
      <c r="D737" s="84"/>
      <c r="E737" s="84"/>
      <c r="G737" s="84"/>
      <c r="H737" s="84"/>
      <c r="I737" s="84"/>
      <c r="AZ737" s="84"/>
      <c r="BV737" s="84"/>
    </row>
    <row r="738">
      <c r="A738" s="84"/>
      <c r="B738" s="84"/>
      <c r="D738" s="84"/>
      <c r="E738" s="84"/>
      <c r="G738" s="84"/>
      <c r="H738" s="84"/>
      <c r="I738" s="84"/>
      <c r="AZ738" s="84"/>
      <c r="BV738" s="84"/>
    </row>
    <row r="739">
      <c r="A739" s="84"/>
      <c r="B739" s="84"/>
      <c r="D739" s="84"/>
      <c r="E739" s="84"/>
      <c r="G739" s="84"/>
      <c r="H739" s="84"/>
      <c r="I739" s="84"/>
      <c r="AZ739" s="84"/>
      <c r="BV739" s="84"/>
    </row>
    <row r="740">
      <c r="A740" s="84"/>
      <c r="B740" s="84"/>
      <c r="D740" s="84"/>
      <c r="E740" s="84"/>
      <c r="G740" s="84"/>
      <c r="H740" s="84"/>
      <c r="I740" s="84"/>
      <c r="AZ740" s="84"/>
      <c r="BV740" s="84"/>
    </row>
    <row r="741">
      <c r="A741" s="84"/>
      <c r="B741" s="84"/>
      <c r="D741" s="84"/>
      <c r="E741" s="84"/>
      <c r="G741" s="84"/>
      <c r="H741" s="84"/>
      <c r="I741" s="84"/>
      <c r="AZ741" s="84"/>
      <c r="BV741" s="84"/>
    </row>
    <row r="742">
      <c r="A742" s="84"/>
      <c r="B742" s="84"/>
      <c r="D742" s="84"/>
      <c r="E742" s="84"/>
      <c r="G742" s="84"/>
      <c r="H742" s="84"/>
      <c r="I742" s="84"/>
      <c r="AZ742" s="84"/>
      <c r="BV742" s="84"/>
    </row>
    <row r="743">
      <c r="A743" s="84"/>
      <c r="B743" s="84"/>
      <c r="D743" s="84"/>
      <c r="E743" s="84"/>
      <c r="G743" s="84"/>
      <c r="H743" s="84"/>
      <c r="I743" s="84"/>
      <c r="AZ743" s="84"/>
      <c r="BV743" s="84"/>
    </row>
    <row r="744">
      <c r="A744" s="84"/>
      <c r="B744" s="84"/>
      <c r="D744" s="84"/>
      <c r="E744" s="84"/>
      <c r="G744" s="84"/>
      <c r="H744" s="84"/>
      <c r="I744" s="84"/>
      <c r="AZ744" s="84"/>
      <c r="BV744" s="84"/>
    </row>
    <row r="745">
      <c r="A745" s="84"/>
      <c r="B745" s="84"/>
      <c r="D745" s="84"/>
      <c r="E745" s="84"/>
      <c r="G745" s="84"/>
      <c r="H745" s="84"/>
      <c r="I745" s="84"/>
      <c r="AZ745" s="84"/>
      <c r="BV745" s="84"/>
    </row>
    <row r="746">
      <c r="A746" s="84"/>
      <c r="B746" s="84"/>
      <c r="D746" s="84"/>
      <c r="E746" s="84"/>
      <c r="G746" s="84"/>
      <c r="H746" s="84"/>
      <c r="I746" s="84"/>
      <c r="AZ746" s="84"/>
      <c r="BV746" s="84"/>
    </row>
    <row r="747">
      <c r="A747" s="84"/>
      <c r="B747" s="84"/>
      <c r="D747" s="84"/>
      <c r="E747" s="84"/>
      <c r="G747" s="84"/>
      <c r="H747" s="84"/>
      <c r="I747" s="84"/>
      <c r="AZ747" s="84"/>
      <c r="BV747" s="84"/>
    </row>
    <row r="748">
      <c r="A748" s="84"/>
      <c r="B748" s="84"/>
      <c r="D748" s="84"/>
      <c r="E748" s="84"/>
      <c r="G748" s="84"/>
      <c r="H748" s="84"/>
      <c r="I748" s="84"/>
      <c r="AZ748" s="84"/>
      <c r="BV748" s="84"/>
    </row>
    <row r="749">
      <c r="A749" s="84"/>
      <c r="B749" s="84"/>
      <c r="D749" s="84"/>
      <c r="E749" s="84"/>
      <c r="G749" s="84"/>
      <c r="H749" s="84"/>
      <c r="I749" s="84"/>
      <c r="AZ749" s="84"/>
      <c r="BV749" s="84"/>
    </row>
    <row r="750">
      <c r="A750" s="84"/>
      <c r="B750" s="84"/>
      <c r="D750" s="84"/>
      <c r="E750" s="84"/>
      <c r="G750" s="84"/>
      <c r="H750" s="84"/>
      <c r="I750" s="84"/>
      <c r="AZ750" s="84"/>
      <c r="BV750" s="84"/>
    </row>
    <row r="751">
      <c r="A751" s="84"/>
      <c r="B751" s="84"/>
      <c r="D751" s="84"/>
      <c r="E751" s="84"/>
      <c r="G751" s="84"/>
      <c r="H751" s="84"/>
      <c r="I751" s="84"/>
      <c r="AZ751" s="84"/>
      <c r="BV751" s="84"/>
    </row>
    <row r="752">
      <c r="A752" s="84"/>
      <c r="B752" s="84"/>
      <c r="D752" s="84"/>
      <c r="E752" s="84"/>
      <c r="G752" s="84"/>
      <c r="H752" s="84"/>
      <c r="I752" s="84"/>
      <c r="AZ752" s="84"/>
      <c r="BV752" s="84"/>
    </row>
    <row r="753">
      <c r="A753" s="84"/>
      <c r="B753" s="84"/>
      <c r="D753" s="84"/>
      <c r="E753" s="84"/>
      <c r="G753" s="84"/>
      <c r="H753" s="84"/>
      <c r="I753" s="84"/>
      <c r="AZ753" s="84"/>
      <c r="BV753" s="84"/>
    </row>
    <row r="754">
      <c r="A754" s="84"/>
      <c r="B754" s="84"/>
      <c r="D754" s="84"/>
      <c r="E754" s="84"/>
      <c r="G754" s="84"/>
      <c r="H754" s="84"/>
      <c r="I754" s="84"/>
      <c r="AZ754" s="84"/>
      <c r="BV754" s="84"/>
    </row>
    <row r="755">
      <c r="A755" s="84"/>
      <c r="B755" s="84"/>
      <c r="D755" s="84"/>
      <c r="E755" s="84"/>
      <c r="G755" s="84"/>
      <c r="H755" s="84"/>
      <c r="I755" s="84"/>
      <c r="AZ755" s="84"/>
      <c r="BV755" s="84"/>
    </row>
    <row r="756">
      <c r="A756" s="84"/>
      <c r="B756" s="84"/>
      <c r="D756" s="84"/>
      <c r="E756" s="84"/>
      <c r="G756" s="84"/>
      <c r="H756" s="84"/>
      <c r="I756" s="84"/>
      <c r="AZ756" s="84"/>
      <c r="BV756" s="84"/>
    </row>
    <row r="757">
      <c r="A757" s="84"/>
      <c r="B757" s="84"/>
      <c r="D757" s="84"/>
      <c r="E757" s="84"/>
      <c r="G757" s="84"/>
      <c r="H757" s="84"/>
      <c r="I757" s="84"/>
      <c r="AZ757" s="84"/>
      <c r="BV757" s="84"/>
    </row>
    <row r="758">
      <c r="A758" s="84"/>
      <c r="B758" s="84"/>
      <c r="D758" s="84"/>
      <c r="E758" s="84"/>
      <c r="G758" s="84"/>
      <c r="H758" s="84"/>
      <c r="I758" s="84"/>
      <c r="AZ758" s="84"/>
      <c r="BV758" s="84"/>
    </row>
    <row r="759">
      <c r="A759" s="84"/>
      <c r="B759" s="84"/>
      <c r="D759" s="84"/>
      <c r="E759" s="84"/>
      <c r="G759" s="84"/>
      <c r="H759" s="84"/>
      <c r="I759" s="84"/>
      <c r="AZ759" s="84"/>
      <c r="BV759" s="84"/>
    </row>
    <row r="760">
      <c r="A760" s="84"/>
      <c r="B760" s="84"/>
      <c r="D760" s="84"/>
      <c r="E760" s="84"/>
      <c r="G760" s="84"/>
      <c r="H760" s="84"/>
      <c r="I760" s="84"/>
      <c r="AZ760" s="84"/>
      <c r="BV760" s="84"/>
    </row>
    <row r="761">
      <c r="A761" s="84"/>
      <c r="B761" s="84"/>
      <c r="D761" s="84"/>
      <c r="E761" s="84"/>
      <c r="G761" s="84"/>
      <c r="H761" s="84"/>
      <c r="I761" s="84"/>
      <c r="AZ761" s="84"/>
      <c r="BV761" s="84"/>
    </row>
    <row r="762">
      <c r="A762" s="84"/>
      <c r="B762" s="84"/>
      <c r="D762" s="84"/>
      <c r="E762" s="84"/>
      <c r="G762" s="84"/>
      <c r="H762" s="84"/>
      <c r="I762" s="84"/>
      <c r="AZ762" s="84"/>
      <c r="BV762" s="84"/>
    </row>
    <row r="763">
      <c r="A763" s="84"/>
      <c r="B763" s="84"/>
      <c r="D763" s="84"/>
      <c r="E763" s="84"/>
      <c r="G763" s="84"/>
      <c r="H763" s="84"/>
      <c r="I763" s="84"/>
      <c r="AZ763" s="84"/>
      <c r="BV763" s="84"/>
    </row>
    <row r="764">
      <c r="A764" s="84"/>
      <c r="B764" s="84"/>
      <c r="D764" s="84"/>
      <c r="E764" s="84"/>
      <c r="G764" s="84"/>
      <c r="H764" s="84"/>
      <c r="I764" s="84"/>
      <c r="AZ764" s="84"/>
      <c r="BV764" s="84"/>
    </row>
    <row r="765">
      <c r="A765" s="84"/>
      <c r="B765" s="84"/>
      <c r="D765" s="84"/>
      <c r="E765" s="84"/>
      <c r="G765" s="84"/>
      <c r="H765" s="84"/>
      <c r="I765" s="84"/>
      <c r="AZ765" s="84"/>
      <c r="BV765" s="84"/>
    </row>
    <row r="766">
      <c r="A766" s="84"/>
      <c r="B766" s="84"/>
      <c r="D766" s="84"/>
      <c r="E766" s="84"/>
      <c r="G766" s="84"/>
      <c r="H766" s="84"/>
      <c r="I766" s="84"/>
      <c r="AZ766" s="84"/>
      <c r="BV766" s="84"/>
    </row>
    <row r="767">
      <c r="A767" s="84"/>
      <c r="B767" s="84"/>
      <c r="D767" s="84"/>
      <c r="E767" s="84"/>
      <c r="G767" s="84"/>
      <c r="H767" s="84"/>
      <c r="I767" s="84"/>
      <c r="AZ767" s="84"/>
      <c r="BV767" s="84"/>
    </row>
    <row r="768">
      <c r="A768" s="84"/>
      <c r="B768" s="84"/>
      <c r="D768" s="84"/>
      <c r="E768" s="84"/>
      <c r="G768" s="84"/>
      <c r="H768" s="84"/>
      <c r="I768" s="84"/>
      <c r="AZ768" s="84"/>
      <c r="BV768" s="84"/>
    </row>
    <row r="769">
      <c r="A769" s="84"/>
      <c r="B769" s="84"/>
      <c r="D769" s="84"/>
      <c r="E769" s="84"/>
      <c r="G769" s="84"/>
      <c r="H769" s="84"/>
      <c r="I769" s="84"/>
      <c r="AZ769" s="84"/>
      <c r="BV769" s="84"/>
    </row>
    <row r="770">
      <c r="A770" s="84"/>
      <c r="B770" s="84"/>
      <c r="D770" s="84"/>
      <c r="E770" s="84"/>
      <c r="G770" s="84"/>
      <c r="H770" s="84"/>
      <c r="I770" s="84"/>
      <c r="AZ770" s="84"/>
      <c r="BV770" s="84"/>
    </row>
    <row r="771">
      <c r="A771" s="84"/>
      <c r="B771" s="84"/>
      <c r="D771" s="84"/>
      <c r="E771" s="84"/>
      <c r="G771" s="84"/>
      <c r="H771" s="84"/>
      <c r="I771" s="84"/>
      <c r="AZ771" s="84"/>
      <c r="BV771" s="84"/>
    </row>
    <row r="772">
      <c r="A772" s="84"/>
      <c r="B772" s="84"/>
      <c r="D772" s="84"/>
      <c r="E772" s="84"/>
      <c r="G772" s="84"/>
      <c r="H772" s="84"/>
      <c r="I772" s="84"/>
      <c r="AZ772" s="84"/>
      <c r="BV772" s="84"/>
    </row>
    <row r="773">
      <c r="A773" s="84"/>
      <c r="B773" s="84"/>
      <c r="D773" s="84"/>
      <c r="E773" s="84"/>
      <c r="G773" s="84"/>
      <c r="H773" s="84"/>
      <c r="I773" s="84"/>
      <c r="AZ773" s="84"/>
      <c r="BV773" s="84"/>
    </row>
    <row r="774">
      <c r="A774" s="84"/>
      <c r="B774" s="84"/>
      <c r="D774" s="84"/>
      <c r="E774" s="84"/>
      <c r="G774" s="84"/>
      <c r="H774" s="84"/>
      <c r="I774" s="84"/>
      <c r="AZ774" s="84"/>
      <c r="BV774" s="84"/>
    </row>
    <row r="775">
      <c r="A775" s="84"/>
      <c r="B775" s="84"/>
      <c r="D775" s="84"/>
      <c r="E775" s="84"/>
      <c r="G775" s="84"/>
      <c r="H775" s="84"/>
      <c r="I775" s="84"/>
      <c r="AZ775" s="84"/>
      <c r="BV775" s="84"/>
    </row>
    <row r="776">
      <c r="A776" s="84"/>
      <c r="B776" s="84"/>
      <c r="D776" s="84"/>
      <c r="E776" s="84"/>
      <c r="G776" s="84"/>
      <c r="H776" s="84"/>
      <c r="I776" s="84"/>
      <c r="AZ776" s="84"/>
      <c r="BV776" s="84"/>
    </row>
    <row r="777">
      <c r="A777" s="84"/>
      <c r="B777" s="84"/>
      <c r="D777" s="84"/>
      <c r="E777" s="84"/>
      <c r="G777" s="84"/>
      <c r="H777" s="84"/>
      <c r="I777" s="84"/>
      <c r="AZ777" s="84"/>
      <c r="BV777" s="84"/>
    </row>
    <row r="778">
      <c r="A778" s="84"/>
      <c r="B778" s="84"/>
      <c r="D778" s="84"/>
      <c r="E778" s="84"/>
      <c r="G778" s="84"/>
      <c r="H778" s="84"/>
      <c r="I778" s="84"/>
      <c r="AZ778" s="84"/>
      <c r="BV778" s="84"/>
    </row>
    <row r="779">
      <c r="A779" s="84"/>
      <c r="B779" s="84"/>
      <c r="D779" s="84"/>
      <c r="E779" s="84"/>
      <c r="G779" s="84"/>
      <c r="H779" s="84"/>
      <c r="I779" s="84"/>
      <c r="AZ779" s="84"/>
      <c r="BV779" s="84"/>
    </row>
    <row r="780">
      <c r="A780" s="84"/>
      <c r="B780" s="84"/>
      <c r="D780" s="84"/>
      <c r="E780" s="84"/>
      <c r="G780" s="84"/>
      <c r="H780" s="84"/>
      <c r="I780" s="84"/>
      <c r="AZ780" s="84"/>
      <c r="BV780" s="84"/>
    </row>
    <row r="781">
      <c r="A781" s="84"/>
      <c r="B781" s="84"/>
      <c r="D781" s="84"/>
      <c r="E781" s="84"/>
      <c r="G781" s="84"/>
      <c r="H781" s="84"/>
      <c r="I781" s="84"/>
      <c r="AZ781" s="84"/>
      <c r="BV781" s="84"/>
    </row>
    <row r="782">
      <c r="A782" s="84"/>
      <c r="B782" s="84"/>
      <c r="D782" s="84"/>
      <c r="E782" s="84"/>
      <c r="G782" s="84"/>
      <c r="H782" s="84"/>
      <c r="I782" s="84"/>
      <c r="AZ782" s="84"/>
      <c r="BV782" s="84"/>
    </row>
    <row r="783">
      <c r="A783" s="84"/>
      <c r="B783" s="84"/>
      <c r="D783" s="84"/>
      <c r="E783" s="84"/>
      <c r="G783" s="84"/>
      <c r="H783" s="84"/>
      <c r="I783" s="84"/>
      <c r="AZ783" s="84"/>
      <c r="BV783" s="84"/>
    </row>
    <row r="784">
      <c r="A784" s="84"/>
      <c r="B784" s="84"/>
      <c r="D784" s="84"/>
      <c r="E784" s="84"/>
      <c r="G784" s="84"/>
      <c r="H784" s="84"/>
      <c r="I784" s="84"/>
      <c r="AZ784" s="84"/>
      <c r="BV784" s="84"/>
    </row>
    <row r="785">
      <c r="A785" s="84"/>
      <c r="B785" s="84"/>
      <c r="D785" s="84"/>
      <c r="E785" s="84"/>
      <c r="G785" s="84"/>
      <c r="H785" s="84"/>
      <c r="I785" s="84"/>
      <c r="AZ785" s="84"/>
      <c r="BV785" s="84"/>
    </row>
    <row r="786">
      <c r="A786" s="84"/>
      <c r="B786" s="84"/>
      <c r="D786" s="84"/>
      <c r="E786" s="84"/>
      <c r="G786" s="84"/>
      <c r="H786" s="84"/>
      <c r="I786" s="84"/>
      <c r="AZ786" s="84"/>
      <c r="BV786" s="84"/>
    </row>
    <row r="787">
      <c r="A787" s="84"/>
      <c r="B787" s="84"/>
      <c r="D787" s="84"/>
      <c r="E787" s="84"/>
      <c r="G787" s="84"/>
      <c r="H787" s="84"/>
      <c r="I787" s="84"/>
      <c r="AZ787" s="84"/>
      <c r="BV787" s="84"/>
    </row>
    <row r="788">
      <c r="A788" s="84"/>
      <c r="B788" s="84"/>
      <c r="D788" s="84"/>
      <c r="E788" s="84"/>
      <c r="G788" s="84"/>
      <c r="H788" s="84"/>
      <c r="I788" s="84"/>
      <c r="AZ788" s="84"/>
      <c r="BV788" s="84"/>
    </row>
    <row r="789">
      <c r="A789" s="84"/>
      <c r="B789" s="84"/>
      <c r="D789" s="84"/>
      <c r="E789" s="84"/>
      <c r="G789" s="84"/>
      <c r="H789" s="84"/>
      <c r="I789" s="84"/>
      <c r="AZ789" s="84"/>
      <c r="BV789" s="84"/>
    </row>
    <row r="790">
      <c r="A790" s="84"/>
      <c r="B790" s="84"/>
      <c r="D790" s="84"/>
      <c r="E790" s="84"/>
      <c r="G790" s="84"/>
      <c r="H790" s="84"/>
      <c r="I790" s="84"/>
      <c r="AZ790" s="84"/>
      <c r="BV790" s="84"/>
    </row>
    <row r="791">
      <c r="A791" s="84"/>
      <c r="B791" s="84"/>
      <c r="D791" s="84"/>
      <c r="E791" s="84"/>
      <c r="G791" s="84"/>
      <c r="H791" s="84"/>
      <c r="I791" s="84"/>
      <c r="AZ791" s="84"/>
      <c r="BV791" s="84"/>
    </row>
    <row r="792">
      <c r="A792" s="84"/>
      <c r="B792" s="84"/>
      <c r="D792" s="84"/>
      <c r="E792" s="84"/>
      <c r="G792" s="84"/>
      <c r="H792" s="84"/>
      <c r="I792" s="84"/>
      <c r="AZ792" s="84"/>
      <c r="BV792" s="84"/>
    </row>
    <row r="793">
      <c r="A793" s="84"/>
      <c r="B793" s="84"/>
      <c r="D793" s="84"/>
      <c r="E793" s="84"/>
      <c r="G793" s="84"/>
      <c r="H793" s="84"/>
      <c r="I793" s="84"/>
      <c r="AZ793" s="84"/>
      <c r="BV793" s="84"/>
    </row>
    <row r="794">
      <c r="A794" s="84"/>
      <c r="B794" s="84"/>
      <c r="D794" s="84"/>
      <c r="E794" s="84"/>
      <c r="G794" s="84"/>
      <c r="H794" s="84"/>
      <c r="I794" s="84"/>
      <c r="AZ794" s="84"/>
      <c r="BV794" s="84"/>
    </row>
    <row r="795">
      <c r="A795" s="84"/>
      <c r="B795" s="84"/>
      <c r="D795" s="84"/>
      <c r="E795" s="84"/>
      <c r="G795" s="84"/>
      <c r="H795" s="84"/>
      <c r="I795" s="84"/>
      <c r="AZ795" s="84"/>
      <c r="BV795" s="84"/>
    </row>
    <row r="796">
      <c r="A796" s="84"/>
      <c r="B796" s="84"/>
      <c r="D796" s="84"/>
      <c r="E796" s="84"/>
      <c r="G796" s="84"/>
      <c r="H796" s="84"/>
      <c r="I796" s="84"/>
      <c r="AZ796" s="84"/>
      <c r="BV796" s="84"/>
    </row>
    <row r="797">
      <c r="A797" s="84"/>
      <c r="B797" s="84"/>
      <c r="D797" s="84"/>
      <c r="E797" s="84"/>
      <c r="G797" s="84"/>
      <c r="H797" s="84"/>
      <c r="I797" s="84"/>
      <c r="AZ797" s="84"/>
      <c r="BV797" s="84"/>
    </row>
    <row r="798">
      <c r="A798" s="84"/>
      <c r="B798" s="84"/>
      <c r="D798" s="84"/>
      <c r="E798" s="84"/>
      <c r="G798" s="84"/>
      <c r="H798" s="84"/>
      <c r="I798" s="84"/>
      <c r="AZ798" s="84"/>
      <c r="BV798" s="84"/>
    </row>
    <row r="799">
      <c r="A799" s="84"/>
      <c r="B799" s="84"/>
      <c r="D799" s="84"/>
      <c r="E799" s="84"/>
      <c r="G799" s="84"/>
      <c r="H799" s="84"/>
      <c r="I799" s="84"/>
      <c r="AZ799" s="84"/>
      <c r="BV799" s="84"/>
    </row>
    <row r="800">
      <c r="A800" s="84"/>
      <c r="B800" s="84"/>
      <c r="D800" s="84"/>
      <c r="E800" s="84"/>
      <c r="G800" s="84"/>
      <c r="H800" s="84"/>
      <c r="I800" s="84"/>
      <c r="AZ800" s="84"/>
      <c r="BV800" s="84"/>
    </row>
    <row r="801">
      <c r="A801" s="84"/>
      <c r="B801" s="84"/>
      <c r="D801" s="84"/>
      <c r="E801" s="84"/>
      <c r="G801" s="84"/>
      <c r="H801" s="84"/>
      <c r="I801" s="84"/>
      <c r="AZ801" s="84"/>
      <c r="BV801" s="84"/>
    </row>
    <row r="802">
      <c r="A802" s="84"/>
      <c r="B802" s="84"/>
      <c r="D802" s="84"/>
      <c r="E802" s="84"/>
      <c r="G802" s="84"/>
      <c r="H802" s="84"/>
      <c r="I802" s="84"/>
      <c r="AZ802" s="84"/>
      <c r="BV802" s="84"/>
    </row>
    <row r="803">
      <c r="A803" s="84"/>
      <c r="B803" s="84"/>
      <c r="D803" s="84"/>
      <c r="E803" s="84"/>
      <c r="G803" s="84"/>
      <c r="H803" s="84"/>
      <c r="I803" s="84"/>
      <c r="AZ803" s="84"/>
      <c r="BV803" s="84"/>
    </row>
    <row r="804">
      <c r="A804" s="84"/>
      <c r="B804" s="84"/>
      <c r="D804" s="84"/>
      <c r="E804" s="84"/>
      <c r="G804" s="84"/>
      <c r="H804" s="84"/>
      <c r="I804" s="84"/>
      <c r="AZ804" s="84"/>
      <c r="BV804" s="84"/>
    </row>
    <row r="805">
      <c r="A805" s="84"/>
      <c r="B805" s="84"/>
      <c r="D805" s="84"/>
      <c r="E805" s="84"/>
      <c r="G805" s="84"/>
      <c r="H805" s="84"/>
      <c r="I805" s="84"/>
      <c r="AZ805" s="84"/>
      <c r="BV805" s="84"/>
    </row>
    <row r="806">
      <c r="A806" s="84"/>
      <c r="B806" s="84"/>
      <c r="D806" s="84"/>
      <c r="E806" s="84"/>
      <c r="G806" s="84"/>
      <c r="H806" s="84"/>
      <c r="I806" s="84"/>
      <c r="AZ806" s="84"/>
      <c r="BV806" s="84"/>
    </row>
    <row r="807">
      <c r="A807" s="84"/>
      <c r="B807" s="84"/>
      <c r="D807" s="84"/>
      <c r="E807" s="84"/>
      <c r="G807" s="84"/>
      <c r="H807" s="84"/>
      <c r="I807" s="84"/>
      <c r="AZ807" s="84"/>
      <c r="BV807" s="84"/>
    </row>
    <row r="808">
      <c r="A808" s="84"/>
      <c r="B808" s="84"/>
      <c r="D808" s="84"/>
      <c r="E808" s="84"/>
      <c r="G808" s="84"/>
      <c r="H808" s="84"/>
      <c r="I808" s="84"/>
      <c r="AZ808" s="84"/>
      <c r="BV808" s="84"/>
    </row>
    <row r="809">
      <c r="A809" s="84"/>
      <c r="B809" s="84"/>
      <c r="D809" s="84"/>
      <c r="E809" s="84"/>
      <c r="G809" s="84"/>
      <c r="H809" s="84"/>
      <c r="I809" s="84"/>
      <c r="AZ809" s="84"/>
      <c r="BV809" s="84"/>
    </row>
    <row r="810">
      <c r="A810" s="84"/>
      <c r="B810" s="84"/>
      <c r="D810" s="84"/>
      <c r="E810" s="84"/>
      <c r="G810" s="84"/>
      <c r="H810" s="84"/>
      <c r="I810" s="84"/>
      <c r="AZ810" s="84"/>
      <c r="BV810" s="84"/>
    </row>
    <row r="811">
      <c r="A811" s="84"/>
      <c r="B811" s="84"/>
      <c r="D811" s="84"/>
      <c r="E811" s="84"/>
      <c r="G811" s="84"/>
      <c r="H811" s="84"/>
      <c r="I811" s="84"/>
      <c r="AZ811" s="84"/>
      <c r="BV811" s="84"/>
    </row>
    <row r="812">
      <c r="A812" s="84"/>
      <c r="B812" s="84"/>
      <c r="D812" s="84"/>
      <c r="E812" s="84"/>
      <c r="G812" s="84"/>
      <c r="H812" s="84"/>
      <c r="I812" s="84"/>
      <c r="AZ812" s="84"/>
      <c r="BV812" s="84"/>
    </row>
    <row r="813">
      <c r="A813" s="84"/>
      <c r="B813" s="84"/>
      <c r="D813" s="84"/>
      <c r="E813" s="84"/>
      <c r="G813" s="84"/>
      <c r="H813" s="84"/>
      <c r="I813" s="84"/>
      <c r="AZ813" s="84"/>
      <c r="BV813" s="84"/>
    </row>
    <row r="814">
      <c r="A814" s="84"/>
      <c r="B814" s="84"/>
      <c r="D814" s="84"/>
      <c r="E814" s="84"/>
      <c r="G814" s="84"/>
      <c r="H814" s="84"/>
      <c r="I814" s="84"/>
      <c r="AZ814" s="84"/>
      <c r="BV814" s="84"/>
    </row>
    <row r="815">
      <c r="A815" s="84"/>
      <c r="B815" s="84"/>
      <c r="D815" s="84"/>
      <c r="E815" s="84"/>
      <c r="G815" s="84"/>
      <c r="H815" s="84"/>
      <c r="I815" s="84"/>
      <c r="AZ815" s="84"/>
      <c r="BV815" s="84"/>
    </row>
    <row r="816">
      <c r="A816" s="84"/>
      <c r="B816" s="84"/>
      <c r="D816" s="84"/>
      <c r="E816" s="84"/>
      <c r="G816" s="84"/>
      <c r="H816" s="84"/>
      <c r="I816" s="84"/>
      <c r="AZ816" s="84"/>
      <c r="BV816" s="84"/>
    </row>
    <row r="817">
      <c r="A817" s="84"/>
      <c r="B817" s="84"/>
      <c r="D817" s="84"/>
      <c r="E817" s="84"/>
      <c r="G817" s="84"/>
      <c r="H817" s="84"/>
      <c r="I817" s="84"/>
      <c r="AZ817" s="84"/>
      <c r="BV817" s="84"/>
    </row>
    <row r="818">
      <c r="A818" s="84"/>
      <c r="B818" s="84"/>
      <c r="D818" s="84"/>
      <c r="E818" s="84"/>
      <c r="G818" s="84"/>
      <c r="H818" s="84"/>
      <c r="I818" s="84"/>
      <c r="AZ818" s="84"/>
      <c r="BV818" s="84"/>
    </row>
    <row r="819">
      <c r="A819" s="84"/>
      <c r="B819" s="84"/>
      <c r="D819" s="84"/>
      <c r="E819" s="84"/>
      <c r="G819" s="84"/>
      <c r="H819" s="84"/>
      <c r="I819" s="84"/>
      <c r="AZ819" s="84"/>
      <c r="BV819" s="84"/>
    </row>
    <row r="820">
      <c r="A820" s="84"/>
      <c r="B820" s="84"/>
      <c r="D820" s="84"/>
      <c r="E820" s="84"/>
      <c r="G820" s="84"/>
      <c r="H820" s="84"/>
      <c r="I820" s="84"/>
      <c r="AZ820" s="84"/>
      <c r="BV820" s="84"/>
    </row>
    <row r="821">
      <c r="A821" s="84"/>
      <c r="B821" s="84"/>
      <c r="D821" s="84"/>
      <c r="E821" s="84"/>
      <c r="G821" s="84"/>
      <c r="H821" s="84"/>
      <c r="I821" s="84"/>
      <c r="AZ821" s="84"/>
      <c r="BV821" s="84"/>
    </row>
    <row r="822">
      <c r="A822" s="84"/>
      <c r="B822" s="84"/>
      <c r="D822" s="84"/>
      <c r="E822" s="84"/>
      <c r="G822" s="84"/>
      <c r="H822" s="84"/>
      <c r="I822" s="84"/>
      <c r="AZ822" s="84"/>
      <c r="BV822" s="84"/>
    </row>
    <row r="823">
      <c r="A823" s="84"/>
      <c r="B823" s="84"/>
      <c r="D823" s="84"/>
      <c r="E823" s="84"/>
      <c r="G823" s="84"/>
      <c r="H823" s="84"/>
      <c r="I823" s="84"/>
      <c r="AZ823" s="84"/>
      <c r="BV823" s="84"/>
    </row>
    <row r="824">
      <c r="A824" s="84"/>
      <c r="B824" s="84"/>
      <c r="D824" s="84"/>
      <c r="E824" s="84"/>
      <c r="G824" s="84"/>
      <c r="H824" s="84"/>
      <c r="I824" s="84"/>
      <c r="AZ824" s="84"/>
      <c r="BV824" s="84"/>
    </row>
    <row r="825">
      <c r="A825" s="84"/>
      <c r="B825" s="84"/>
      <c r="D825" s="84"/>
      <c r="E825" s="84"/>
      <c r="G825" s="84"/>
      <c r="H825" s="84"/>
      <c r="I825" s="84"/>
      <c r="AZ825" s="84"/>
      <c r="BV825" s="84"/>
    </row>
    <row r="826">
      <c r="A826" s="84"/>
      <c r="B826" s="84"/>
      <c r="D826" s="84"/>
      <c r="E826" s="84"/>
      <c r="G826" s="84"/>
      <c r="H826" s="84"/>
      <c r="I826" s="84"/>
      <c r="AZ826" s="84"/>
      <c r="BV826" s="84"/>
    </row>
    <row r="827">
      <c r="A827" s="84"/>
      <c r="B827" s="84"/>
      <c r="D827" s="84"/>
      <c r="E827" s="84"/>
      <c r="G827" s="84"/>
      <c r="H827" s="84"/>
      <c r="I827" s="84"/>
      <c r="AZ827" s="84"/>
      <c r="BV827" s="84"/>
    </row>
    <row r="828">
      <c r="A828" s="84"/>
      <c r="B828" s="84"/>
      <c r="D828" s="84"/>
      <c r="E828" s="84"/>
      <c r="G828" s="84"/>
      <c r="H828" s="84"/>
      <c r="I828" s="84"/>
      <c r="AZ828" s="84"/>
      <c r="BV828" s="84"/>
    </row>
    <row r="829">
      <c r="A829" s="84"/>
      <c r="B829" s="84"/>
      <c r="D829" s="84"/>
      <c r="E829" s="84"/>
      <c r="G829" s="84"/>
      <c r="H829" s="84"/>
      <c r="I829" s="84"/>
      <c r="AZ829" s="84"/>
      <c r="BV829" s="84"/>
    </row>
    <row r="830">
      <c r="A830" s="84"/>
      <c r="B830" s="84"/>
      <c r="D830" s="84"/>
      <c r="E830" s="84"/>
      <c r="G830" s="84"/>
      <c r="H830" s="84"/>
      <c r="I830" s="84"/>
      <c r="AZ830" s="84"/>
      <c r="BV830" s="84"/>
    </row>
    <row r="831">
      <c r="A831" s="84"/>
      <c r="B831" s="84"/>
      <c r="D831" s="84"/>
      <c r="E831" s="84"/>
      <c r="G831" s="84"/>
      <c r="H831" s="84"/>
      <c r="I831" s="84"/>
      <c r="AZ831" s="84"/>
      <c r="BV831" s="84"/>
    </row>
    <row r="832">
      <c r="A832" s="84"/>
      <c r="B832" s="84"/>
      <c r="D832" s="84"/>
      <c r="E832" s="84"/>
      <c r="G832" s="84"/>
      <c r="H832" s="84"/>
      <c r="I832" s="84"/>
      <c r="AZ832" s="84"/>
      <c r="BV832" s="84"/>
    </row>
    <row r="833">
      <c r="A833" s="84"/>
      <c r="B833" s="84"/>
      <c r="D833" s="84"/>
      <c r="E833" s="84"/>
      <c r="G833" s="84"/>
      <c r="H833" s="84"/>
      <c r="I833" s="84"/>
      <c r="AZ833" s="84"/>
      <c r="BV833" s="84"/>
    </row>
    <row r="834">
      <c r="A834" s="84"/>
      <c r="B834" s="84"/>
      <c r="D834" s="84"/>
      <c r="E834" s="84"/>
      <c r="G834" s="84"/>
      <c r="H834" s="84"/>
      <c r="I834" s="84"/>
      <c r="AZ834" s="84"/>
      <c r="BV834" s="84"/>
    </row>
    <row r="835">
      <c r="A835" s="84"/>
      <c r="B835" s="84"/>
      <c r="D835" s="84"/>
      <c r="E835" s="84"/>
      <c r="G835" s="84"/>
      <c r="H835" s="84"/>
      <c r="I835" s="84"/>
      <c r="AZ835" s="84"/>
      <c r="BV835" s="84"/>
    </row>
    <row r="836">
      <c r="A836" s="84"/>
      <c r="B836" s="84"/>
      <c r="D836" s="84"/>
      <c r="E836" s="84"/>
      <c r="G836" s="84"/>
      <c r="H836" s="84"/>
      <c r="I836" s="84"/>
      <c r="AZ836" s="84"/>
      <c r="BV836" s="84"/>
    </row>
    <row r="837">
      <c r="A837" s="84"/>
      <c r="B837" s="84"/>
      <c r="D837" s="84"/>
      <c r="E837" s="84"/>
      <c r="G837" s="84"/>
      <c r="H837" s="84"/>
      <c r="I837" s="84"/>
      <c r="AZ837" s="84"/>
      <c r="BV837" s="84"/>
    </row>
    <row r="838">
      <c r="A838" s="84"/>
      <c r="B838" s="84"/>
      <c r="D838" s="84"/>
      <c r="E838" s="84"/>
      <c r="G838" s="84"/>
      <c r="H838" s="84"/>
      <c r="I838" s="84"/>
      <c r="AZ838" s="84"/>
      <c r="BV838" s="84"/>
    </row>
    <row r="839">
      <c r="A839" s="84"/>
      <c r="B839" s="84"/>
      <c r="D839" s="84"/>
      <c r="E839" s="84"/>
      <c r="G839" s="84"/>
      <c r="H839" s="84"/>
      <c r="I839" s="84"/>
      <c r="AZ839" s="84"/>
      <c r="BV839" s="84"/>
    </row>
    <row r="840">
      <c r="A840" s="84"/>
      <c r="B840" s="84"/>
      <c r="D840" s="84"/>
      <c r="E840" s="84"/>
      <c r="G840" s="84"/>
      <c r="H840" s="84"/>
      <c r="I840" s="84"/>
      <c r="AZ840" s="84"/>
      <c r="BV840" s="84"/>
    </row>
    <row r="841">
      <c r="A841" s="84"/>
      <c r="B841" s="84"/>
      <c r="D841" s="84"/>
      <c r="E841" s="84"/>
      <c r="G841" s="84"/>
      <c r="H841" s="84"/>
      <c r="I841" s="84"/>
      <c r="AZ841" s="84"/>
      <c r="BV841" s="84"/>
    </row>
    <row r="842">
      <c r="A842" s="84"/>
      <c r="B842" s="84"/>
      <c r="D842" s="84"/>
      <c r="E842" s="84"/>
      <c r="G842" s="84"/>
      <c r="H842" s="84"/>
      <c r="I842" s="84"/>
      <c r="AZ842" s="84"/>
      <c r="BV842" s="84"/>
    </row>
    <row r="843">
      <c r="A843" s="84"/>
      <c r="B843" s="84"/>
      <c r="D843" s="84"/>
      <c r="E843" s="84"/>
      <c r="G843" s="84"/>
      <c r="H843" s="84"/>
      <c r="I843" s="84"/>
      <c r="AZ843" s="84"/>
      <c r="BV843" s="84"/>
    </row>
    <row r="844">
      <c r="A844" s="84"/>
      <c r="B844" s="84"/>
      <c r="D844" s="84"/>
      <c r="E844" s="84"/>
      <c r="G844" s="84"/>
      <c r="H844" s="84"/>
      <c r="I844" s="84"/>
      <c r="AZ844" s="84"/>
      <c r="BV844" s="84"/>
    </row>
    <row r="845">
      <c r="A845" s="84"/>
      <c r="B845" s="84"/>
      <c r="D845" s="84"/>
      <c r="E845" s="84"/>
      <c r="G845" s="84"/>
      <c r="H845" s="84"/>
      <c r="I845" s="84"/>
      <c r="AZ845" s="84"/>
      <c r="BV845" s="84"/>
    </row>
    <row r="846">
      <c r="A846" s="84"/>
      <c r="B846" s="84"/>
      <c r="D846" s="84"/>
      <c r="E846" s="84"/>
      <c r="G846" s="84"/>
      <c r="H846" s="84"/>
      <c r="I846" s="84"/>
      <c r="AZ846" s="84"/>
      <c r="BV846" s="84"/>
    </row>
    <row r="847">
      <c r="A847" s="84"/>
      <c r="B847" s="84"/>
      <c r="D847" s="84"/>
      <c r="E847" s="84"/>
      <c r="G847" s="84"/>
      <c r="H847" s="84"/>
      <c r="I847" s="84"/>
      <c r="AZ847" s="84"/>
      <c r="BV847" s="84"/>
    </row>
    <row r="848">
      <c r="A848" s="84"/>
      <c r="B848" s="84"/>
      <c r="D848" s="84"/>
      <c r="E848" s="84"/>
      <c r="G848" s="84"/>
      <c r="H848" s="84"/>
      <c r="I848" s="84"/>
      <c r="AZ848" s="84"/>
      <c r="BV848" s="84"/>
    </row>
    <row r="849">
      <c r="A849" s="84"/>
      <c r="B849" s="84"/>
      <c r="D849" s="84"/>
      <c r="E849" s="84"/>
      <c r="G849" s="84"/>
      <c r="H849" s="84"/>
      <c r="I849" s="84"/>
      <c r="AZ849" s="84"/>
      <c r="BV849" s="84"/>
    </row>
    <row r="850">
      <c r="A850" s="84"/>
      <c r="B850" s="84"/>
      <c r="D850" s="84"/>
      <c r="E850" s="84"/>
      <c r="G850" s="84"/>
      <c r="H850" s="84"/>
      <c r="I850" s="84"/>
      <c r="AZ850" s="84"/>
      <c r="BV850" s="84"/>
    </row>
    <row r="851">
      <c r="A851" s="84"/>
      <c r="B851" s="84"/>
      <c r="D851" s="84"/>
      <c r="E851" s="84"/>
      <c r="G851" s="84"/>
      <c r="H851" s="84"/>
      <c r="I851" s="84"/>
      <c r="AZ851" s="84"/>
      <c r="BV851" s="84"/>
    </row>
    <row r="852">
      <c r="A852" s="84"/>
      <c r="B852" s="84"/>
      <c r="D852" s="84"/>
      <c r="E852" s="84"/>
      <c r="G852" s="84"/>
      <c r="H852" s="84"/>
      <c r="I852" s="84"/>
      <c r="AZ852" s="84"/>
      <c r="BV852" s="84"/>
    </row>
    <row r="853">
      <c r="A853" s="84"/>
      <c r="B853" s="84"/>
      <c r="D853" s="84"/>
      <c r="E853" s="84"/>
      <c r="G853" s="84"/>
      <c r="H853" s="84"/>
      <c r="I853" s="84"/>
      <c r="AZ853" s="84"/>
      <c r="BV853" s="84"/>
    </row>
    <row r="854">
      <c r="A854" s="84"/>
      <c r="B854" s="84"/>
      <c r="D854" s="84"/>
      <c r="E854" s="84"/>
      <c r="G854" s="84"/>
      <c r="H854" s="84"/>
      <c r="I854" s="84"/>
      <c r="AZ854" s="84"/>
      <c r="BV854" s="84"/>
    </row>
    <row r="855">
      <c r="A855" s="84"/>
      <c r="B855" s="84"/>
      <c r="D855" s="84"/>
      <c r="E855" s="84"/>
      <c r="G855" s="84"/>
      <c r="H855" s="84"/>
      <c r="I855" s="84"/>
      <c r="AZ855" s="84"/>
      <c r="BV855" s="84"/>
    </row>
    <row r="856">
      <c r="A856" s="84"/>
      <c r="B856" s="84"/>
      <c r="D856" s="84"/>
      <c r="E856" s="84"/>
      <c r="G856" s="84"/>
      <c r="H856" s="84"/>
      <c r="I856" s="84"/>
      <c r="AZ856" s="84"/>
      <c r="BV856" s="84"/>
    </row>
    <row r="857">
      <c r="A857" s="84"/>
      <c r="B857" s="84"/>
      <c r="D857" s="84"/>
      <c r="E857" s="84"/>
      <c r="G857" s="84"/>
      <c r="H857" s="84"/>
      <c r="I857" s="84"/>
      <c r="AZ857" s="84"/>
      <c r="BV857" s="84"/>
    </row>
    <row r="858">
      <c r="A858" s="84"/>
      <c r="B858" s="84"/>
      <c r="D858" s="84"/>
      <c r="E858" s="84"/>
      <c r="G858" s="84"/>
      <c r="H858" s="84"/>
      <c r="I858" s="84"/>
      <c r="AZ858" s="84"/>
      <c r="BV858" s="84"/>
    </row>
    <row r="859">
      <c r="A859" s="84"/>
      <c r="B859" s="84"/>
      <c r="D859" s="84"/>
      <c r="E859" s="84"/>
      <c r="G859" s="84"/>
      <c r="H859" s="84"/>
      <c r="I859" s="84"/>
      <c r="AZ859" s="84"/>
      <c r="BV859" s="84"/>
    </row>
    <row r="860">
      <c r="A860" s="84"/>
      <c r="B860" s="84"/>
      <c r="D860" s="84"/>
      <c r="E860" s="84"/>
      <c r="G860" s="84"/>
      <c r="H860" s="84"/>
      <c r="I860" s="84"/>
      <c r="AZ860" s="84"/>
      <c r="BV860" s="84"/>
    </row>
    <row r="861">
      <c r="A861" s="84"/>
      <c r="B861" s="84"/>
      <c r="D861" s="84"/>
      <c r="E861" s="84"/>
      <c r="G861" s="84"/>
      <c r="H861" s="84"/>
      <c r="I861" s="84"/>
      <c r="AZ861" s="84"/>
      <c r="BV861" s="84"/>
    </row>
    <row r="862">
      <c r="A862" s="84"/>
      <c r="B862" s="84"/>
      <c r="D862" s="84"/>
      <c r="E862" s="84"/>
      <c r="G862" s="84"/>
      <c r="H862" s="84"/>
      <c r="I862" s="84"/>
      <c r="AZ862" s="84"/>
      <c r="BV862" s="84"/>
    </row>
    <row r="863">
      <c r="A863" s="84"/>
      <c r="B863" s="84"/>
      <c r="D863" s="84"/>
      <c r="E863" s="84"/>
      <c r="G863" s="84"/>
      <c r="H863" s="84"/>
      <c r="I863" s="84"/>
      <c r="AZ863" s="84"/>
      <c r="BV863" s="84"/>
    </row>
    <row r="864">
      <c r="A864" s="84"/>
      <c r="B864" s="84"/>
      <c r="D864" s="84"/>
      <c r="E864" s="84"/>
      <c r="G864" s="84"/>
      <c r="H864" s="84"/>
      <c r="I864" s="84"/>
      <c r="AZ864" s="84"/>
      <c r="BV864" s="84"/>
    </row>
    <row r="865">
      <c r="A865" s="84"/>
      <c r="B865" s="84"/>
      <c r="D865" s="84"/>
      <c r="E865" s="84"/>
      <c r="G865" s="84"/>
      <c r="H865" s="84"/>
      <c r="I865" s="84"/>
      <c r="AZ865" s="84"/>
      <c r="BV865" s="84"/>
    </row>
    <row r="866">
      <c r="A866" s="84"/>
      <c r="B866" s="84"/>
      <c r="D866" s="84"/>
      <c r="E866" s="84"/>
      <c r="G866" s="84"/>
      <c r="H866" s="84"/>
      <c r="I866" s="84"/>
      <c r="AZ866" s="84"/>
      <c r="BV866" s="84"/>
    </row>
    <row r="867">
      <c r="A867" s="84"/>
      <c r="B867" s="84"/>
      <c r="D867" s="84"/>
      <c r="E867" s="84"/>
      <c r="G867" s="84"/>
      <c r="H867" s="84"/>
      <c r="I867" s="84"/>
      <c r="AZ867" s="84"/>
      <c r="BV867" s="84"/>
    </row>
    <row r="868">
      <c r="A868" s="84"/>
      <c r="B868" s="84"/>
      <c r="D868" s="84"/>
      <c r="E868" s="84"/>
      <c r="G868" s="84"/>
      <c r="H868" s="84"/>
      <c r="I868" s="84"/>
      <c r="AZ868" s="84"/>
      <c r="BV868" s="84"/>
    </row>
    <row r="869">
      <c r="A869" s="84"/>
      <c r="B869" s="84"/>
      <c r="D869" s="84"/>
      <c r="E869" s="84"/>
      <c r="G869" s="84"/>
      <c r="H869" s="84"/>
      <c r="I869" s="84"/>
      <c r="AZ869" s="84"/>
      <c r="BV869" s="84"/>
    </row>
    <row r="870">
      <c r="A870" s="84"/>
      <c r="B870" s="84"/>
      <c r="D870" s="84"/>
      <c r="E870" s="84"/>
      <c r="G870" s="84"/>
      <c r="H870" s="84"/>
      <c r="I870" s="84"/>
      <c r="AZ870" s="84"/>
      <c r="BV870" s="84"/>
    </row>
    <row r="871">
      <c r="A871" s="84"/>
      <c r="B871" s="84"/>
      <c r="D871" s="84"/>
      <c r="E871" s="84"/>
      <c r="G871" s="84"/>
      <c r="H871" s="84"/>
      <c r="I871" s="84"/>
      <c r="AZ871" s="84"/>
      <c r="BV871" s="84"/>
    </row>
    <row r="872">
      <c r="A872" s="84"/>
      <c r="B872" s="84"/>
      <c r="D872" s="84"/>
      <c r="E872" s="84"/>
      <c r="G872" s="84"/>
      <c r="H872" s="84"/>
      <c r="I872" s="84"/>
      <c r="AZ872" s="84"/>
      <c r="BV872" s="84"/>
    </row>
    <row r="873">
      <c r="A873" s="84"/>
      <c r="B873" s="84"/>
      <c r="D873" s="84"/>
      <c r="E873" s="84"/>
      <c r="G873" s="84"/>
      <c r="H873" s="84"/>
      <c r="I873" s="84"/>
      <c r="AZ873" s="84"/>
      <c r="BV873" s="84"/>
    </row>
    <row r="874">
      <c r="A874" s="84"/>
      <c r="B874" s="84"/>
      <c r="D874" s="84"/>
      <c r="E874" s="84"/>
      <c r="G874" s="84"/>
      <c r="H874" s="84"/>
      <c r="I874" s="84"/>
      <c r="AZ874" s="84"/>
      <c r="BV874" s="84"/>
    </row>
    <row r="875">
      <c r="A875" s="84"/>
      <c r="B875" s="84"/>
      <c r="D875" s="84"/>
      <c r="E875" s="84"/>
      <c r="G875" s="84"/>
      <c r="H875" s="84"/>
      <c r="I875" s="84"/>
      <c r="AZ875" s="84"/>
      <c r="BV875" s="84"/>
    </row>
    <row r="876">
      <c r="A876" s="84"/>
      <c r="B876" s="84"/>
      <c r="D876" s="84"/>
      <c r="E876" s="84"/>
      <c r="G876" s="84"/>
      <c r="H876" s="84"/>
      <c r="I876" s="84"/>
      <c r="AZ876" s="84"/>
      <c r="BV876" s="84"/>
    </row>
    <row r="877">
      <c r="A877" s="84"/>
      <c r="B877" s="84"/>
      <c r="D877" s="84"/>
      <c r="E877" s="84"/>
      <c r="G877" s="84"/>
      <c r="H877" s="84"/>
      <c r="I877" s="84"/>
      <c r="AZ877" s="84"/>
      <c r="BV877" s="84"/>
    </row>
    <row r="878">
      <c r="A878" s="84"/>
      <c r="B878" s="84"/>
      <c r="D878" s="84"/>
      <c r="E878" s="84"/>
      <c r="G878" s="84"/>
      <c r="H878" s="84"/>
      <c r="I878" s="84"/>
      <c r="AZ878" s="84"/>
      <c r="BV878" s="84"/>
    </row>
    <row r="879">
      <c r="A879" s="84"/>
      <c r="B879" s="84"/>
      <c r="D879" s="84"/>
      <c r="E879" s="84"/>
      <c r="G879" s="84"/>
      <c r="H879" s="84"/>
      <c r="I879" s="84"/>
      <c r="AZ879" s="84"/>
      <c r="BV879" s="84"/>
    </row>
    <row r="880">
      <c r="A880" s="84"/>
      <c r="B880" s="84"/>
      <c r="D880" s="84"/>
      <c r="E880" s="84"/>
      <c r="G880" s="84"/>
      <c r="H880" s="84"/>
      <c r="I880" s="84"/>
      <c r="AZ880" s="84"/>
      <c r="BV880" s="84"/>
    </row>
    <row r="881">
      <c r="A881" s="84"/>
      <c r="B881" s="84"/>
      <c r="D881" s="84"/>
      <c r="E881" s="84"/>
      <c r="G881" s="84"/>
      <c r="H881" s="84"/>
      <c r="I881" s="84"/>
      <c r="AZ881" s="84"/>
      <c r="BV881" s="84"/>
    </row>
    <row r="882">
      <c r="A882" s="84"/>
      <c r="B882" s="84"/>
      <c r="D882" s="84"/>
      <c r="E882" s="84"/>
      <c r="G882" s="84"/>
      <c r="H882" s="84"/>
      <c r="I882" s="84"/>
      <c r="AZ882" s="84"/>
      <c r="BV882" s="84"/>
    </row>
    <row r="883">
      <c r="A883" s="84"/>
      <c r="B883" s="84"/>
      <c r="D883" s="84"/>
      <c r="E883" s="84"/>
      <c r="G883" s="84"/>
      <c r="H883" s="84"/>
      <c r="I883" s="84"/>
      <c r="AZ883" s="84"/>
      <c r="BV883" s="84"/>
    </row>
    <row r="884">
      <c r="A884" s="84"/>
      <c r="B884" s="84"/>
      <c r="D884" s="84"/>
      <c r="E884" s="84"/>
      <c r="G884" s="84"/>
      <c r="H884" s="84"/>
      <c r="I884" s="84"/>
      <c r="AZ884" s="84"/>
      <c r="BV884" s="84"/>
    </row>
    <row r="885">
      <c r="A885" s="84"/>
      <c r="B885" s="84"/>
      <c r="D885" s="84"/>
      <c r="E885" s="84"/>
      <c r="G885" s="84"/>
      <c r="H885" s="84"/>
      <c r="I885" s="84"/>
      <c r="AZ885" s="84"/>
      <c r="BV885" s="84"/>
    </row>
    <row r="886">
      <c r="A886" s="84"/>
      <c r="B886" s="84"/>
      <c r="D886" s="84"/>
      <c r="E886" s="84"/>
      <c r="G886" s="84"/>
      <c r="H886" s="84"/>
      <c r="I886" s="84"/>
      <c r="AZ886" s="84"/>
      <c r="BV886" s="84"/>
    </row>
    <row r="887">
      <c r="A887" s="84"/>
      <c r="B887" s="84"/>
      <c r="D887" s="84"/>
      <c r="E887" s="84"/>
      <c r="G887" s="84"/>
      <c r="H887" s="84"/>
      <c r="I887" s="84"/>
      <c r="AZ887" s="84"/>
      <c r="BV887" s="84"/>
    </row>
    <row r="888">
      <c r="A888" s="84"/>
      <c r="B888" s="84"/>
      <c r="D888" s="84"/>
      <c r="E888" s="84"/>
      <c r="G888" s="84"/>
      <c r="H888" s="84"/>
      <c r="I888" s="84"/>
      <c r="AZ888" s="84"/>
      <c r="BV888" s="84"/>
    </row>
    <row r="889">
      <c r="A889" s="84"/>
      <c r="B889" s="84"/>
      <c r="D889" s="84"/>
      <c r="E889" s="84"/>
      <c r="G889" s="84"/>
      <c r="H889" s="84"/>
      <c r="I889" s="84"/>
      <c r="AZ889" s="84"/>
      <c r="BV889" s="84"/>
    </row>
    <row r="890">
      <c r="A890" s="84"/>
      <c r="B890" s="84"/>
      <c r="D890" s="84"/>
      <c r="E890" s="84"/>
      <c r="G890" s="84"/>
      <c r="H890" s="84"/>
      <c r="I890" s="84"/>
      <c r="AZ890" s="84"/>
      <c r="BV890" s="84"/>
    </row>
    <row r="891">
      <c r="A891" s="84"/>
      <c r="B891" s="84"/>
      <c r="D891" s="84"/>
      <c r="E891" s="84"/>
      <c r="G891" s="84"/>
      <c r="H891" s="84"/>
      <c r="I891" s="84"/>
      <c r="AZ891" s="84"/>
      <c r="BV891" s="84"/>
    </row>
    <row r="892">
      <c r="A892" s="84"/>
      <c r="B892" s="84"/>
      <c r="D892" s="84"/>
      <c r="E892" s="84"/>
      <c r="G892" s="84"/>
      <c r="H892" s="84"/>
      <c r="I892" s="84"/>
      <c r="AZ892" s="84"/>
      <c r="BV892" s="84"/>
    </row>
    <row r="893">
      <c r="A893" s="84"/>
      <c r="B893" s="84"/>
      <c r="D893" s="84"/>
      <c r="E893" s="84"/>
      <c r="G893" s="84"/>
      <c r="H893" s="84"/>
      <c r="I893" s="84"/>
      <c r="AZ893" s="84"/>
      <c r="BV893" s="84"/>
    </row>
    <row r="894">
      <c r="A894" s="84"/>
      <c r="B894" s="84"/>
      <c r="D894" s="84"/>
      <c r="E894" s="84"/>
      <c r="G894" s="84"/>
      <c r="H894" s="84"/>
      <c r="I894" s="84"/>
      <c r="AZ894" s="84"/>
      <c r="BV894" s="84"/>
    </row>
    <row r="895">
      <c r="A895" s="84"/>
      <c r="B895" s="84"/>
      <c r="D895" s="84"/>
      <c r="E895" s="84"/>
      <c r="G895" s="84"/>
      <c r="H895" s="84"/>
      <c r="I895" s="84"/>
      <c r="AZ895" s="84"/>
      <c r="BV895" s="84"/>
    </row>
    <row r="896">
      <c r="A896" s="84"/>
      <c r="B896" s="84"/>
      <c r="D896" s="84"/>
      <c r="E896" s="84"/>
      <c r="G896" s="84"/>
      <c r="H896" s="84"/>
      <c r="I896" s="84"/>
      <c r="AZ896" s="84"/>
      <c r="BV896" s="84"/>
    </row>
    <row r="897">
      <c r="A897" s="84"/>
      <c r="B897" s="84"/>
      <c r="D897" s="84"/>
      <c r="E897" s="84"/>
      <c r="G897" s="84"/>
      <c r="H897" s="84"/>
      <c r="I897" s="84"/>
      <c r="AZ897" s="84"/>
      <c r="BV897" s="84"/>
    </row>
    <row r="898">
      <c r="A898" s="84"/>
      <c r="B898" s="84"/>
      <c r="D898" s="84"/>
      <c r="E898" s="84"/>
      <c r="G898" s="84"/>
      <c r="H898" s="84"/>
      <c r="I898" s="84"/>
      <c r="AZ898" s="84"/>
      <c r="BV898" s="84"/>
    </row>
    <row r="899">
      <c r="A899" s="84"/>
      <c r="B899" s="84"/>
      <c r="D899" s="84"/>
      <c r="E899" s="84"/>
      <c r="G899" s="84"/>
      <c r="H899" s="84"/>
      <c r="I899" s="84"/>
      <c r="AZ899" s="84"/>
      <c r="BV899" s="84"/>
    </row>
    <row r="900">
      <c r="A900" s="84"/>
      <c r="B900" s="84"/>
      <c r="D900" s="84"/>
      <c r="E900" s="84"/>
      <c r="G900" s="84"/>
      <c r="H900" s="84"/>
      <c r="I900" s="84"/>
      <c r="AZ900" s="84"/>
      <c r="BV900" s="84"/>
    </row>
    <row r="901">
      <c r="A901" s="84"/>
      <c r="B901" s="84"/>
      <c r="D901" s="84"/>
      <c r="E901" s="84"/>
      <c r="G901" s="84"/>
      <c r="H901" s="84"/>
      <c r="I901" s="84"/>
      <c r="AZ901" s="84"/>
      <c r="BV901" s="84"/>
    </row>
    <row r="902">
      <c r="A902" s="84"/>
      <c r="B902" s="84"/>
      <c r="D902" s="84"/>
      <c r="E902" s="84"/>
      <c r="G902" s="84"/>
      <c r="H902" s="84"/>
      <c r="I902" s="84"/>
      <c r="AZ902" s="84"/>
      <c r="BV902" s="84"/>
    </row>
    <row r="903">
      <c r="A903" s="84"/>
      <c r="B903" s="84"/>
      <c r="D903" s="84"/>
      <c r="E903" s="84"/>
      <c r="G903" s="84"/>
      <c r="H903" s="84"/>
      <c r="I903" s="84"/>
      <c r="AZ903" s="84"/>
      <c r="BV903" s="84"/>
    </row>
    <row r="904">
      <c r="A904" s="84"/>
      <c r="B904" s="84"/>
      <c r="D904" s="84"/>
      <c r="E904" s="84"/>
      <c r="G904" s="84"/>
      <c r="H904" s="84"/>
      <c r="I904" s="84"/>
      <c r="AZ904" s="84"/>
      <c r="BV904" s="84"/>
    </row>
    <row r="905">
      <c r="A905" s="84"/>
      <c r="B905" s="84"/>
      <c r="D905" s="84"/>
      <c r="E905" s="84"/>
      <c r="G905" s="84"/>
      <c r="H905" s="84"/>
      <c r="I905" s="84"/>
      <c r="AZ905" s="84"/>
      <c r="BV905" s="84"/>
    </row>
    <row r="906">
      <c r="A906" s="84"/>
      <c r="B906" s="84"/>
      <c r="D906" s="84"/>
      <c r="E906" s="84"/>
      <c r="G906" s="84"/>
      <c r="H906" s="84"/>
      <c r="I906" s="84"/>
      <c r="AZ906" s="84"/>
      <c r="BV906" s="84"/>
    </row>
    <row r="907">
      <c r="A907" s="84"/>
      <c r="B907" s="84"/>
      <c r="D907" s="84"/>
      <c r="E907" s="84"/>
      <c r="G907" s="84"/>
      <c r="H907" s="84"/>
      <c r="I907" s="84"/>
      <c r="AZ907" s="84"/>
      <c r="BV907" s="84"/>
    </row>
    <row r="908">
      <c r="A908" s="84"/>
      <c r="B908" s="84"/>
      <c r="D908" s="84"/>
      <c r="E908" s="84"/>
      <c r="G908" s="84"/>
      <c r="H908" s="84"/>
      <c r="I908" s="84"/>
      <c r="AZ908" s="84"/>
      <c r="BV908" s="84"/>
    </row>
    <row r="909">
      <c r="A909" s="84"/>
      <c r="B909" s="84"/>
      <c r="D909" s="84"/>
      <c r="E909" s="84"/>
      <c r="G909" s="84"/>
      <c r="H909" s="84"/>
      <c r="I909" s="84"/>
      <c r="AZ909" s="84"/>
      <c r="BV909" s="84"/>
    </row>
    <row r="910">
      <c r="A910" s="84"/>
      <c r="B910" s="84"/>
      <c r="D910" s="84"/>
      <c r="E910" s="84"/>
      <c r="G910" s="84"/>
      <c r="H910" s="84"/>
      <c r="I910" s="84"/>
      <c r="AZ910" s="84"/>
      <c r="BV910" s="84"/>
    </row>
    <row r="911">
      <c r="A911" s="84"/>
      <c r="B911" s="84"/>
      <c r="D911" s="84"/>
      <c r="E911" s="84"/>
      <c r="G911" s="84"/>
      <c r="H911" s="84"/>
      <c r="I911" s="84"/>
      <c r="AZ911" s="84"/>
      <c r="BV911" s="84"/>
    </row>
    <row r="912">
      <c r="A912" s="84"/>
      <c r="B912" s="84"/>
      <c r="D912" s="84"/>
      <c r="E912" s="84"/>
      <c r="G912" s="84"/>
      <c r="H912" s="84"/>
      <c r="I912" s="84"/>
      <c r="AZ912" s="84"/>
      <c r="BV912" s="84"/>
    </row>
    <row r="913">
      <c r="A913" s="84"/>
      <c r="B913" s="84"/>
      <c r="D913" s="84"/>
      <c r="E913" s="84"/>
      <c r="G913" s="84"/>
      <c r="H913" s="84"/>
      <c r="I913" s="84"/>
      <c r="AZ913" s="84"/>
      <c r="BV913" s="84"/>
    </row>
    <row r="914">
      <c r="A914" s="84"/>
      <c r="B914" s="84"/>
      <c r="D914" s="84"/>
      <c r="E914" s="84"/>
      <c r="G914" s="84"/>
      <c r="H914" s="84"/>
      <c r="I914" s="84"/>
      <c r="AZ914" s="84"/>
      <c r="BV914" s="84"/>
    </row>
    <row r="915">
      <c r="A915" s="84"/>
      <c r="B915" s="84"/>
      <c r="D915" s="84"/>
      <c r="E915" s="84"/>
      <c r="G915" s="84"/>
      <c r="H915" s="84"/>
      <c r="I915" s="84"/>
      <c r="AZ915" s="84"/>
      <c r="BV915" s="84"/>
    </row>
    <row r="916">
      <c r="A916" s="84"/>
      <c r="B916" s="84"/>
      <c r="D916" s="84"/>
      <c r="E916" s="84"/>
      <c r="G916" s="84"/>
      <c r="H916" s="84"/>
      <c r="I916" s="84"/>
      <c r="AZ916" s="84"/>
      <c r="BV916" s="84"/>
    </row>
    <row r="917">
      <c r="A917" s="84"/>
      <c r="B917" s="84"/>
      <c r="D917" s="84"/>
      <c r="E917" s="84"/>
      <c r="G917" s="84"/>
      <c r="H917" s="84"/>
      <c r="I917" s="84"/>
      <c r="AZ917" s="84"/>
      <c r="BV917" s="84"/>
    </row>
    <row r="918">
      <c r="A918" s="84"/>
      <c r="B918" s="84"/>
      <c r="D918" s="84"/>
      <c r="E918" s="84"/>
      <c r="G918" s="84"/>
      <c r="H918" s="84"/>
      <c r="I918" s="84"/>
      <c r="AZ918" s="84"/>
      <c r="BV918" s="84"/>
    </row>
    <row r="919">
      <c r="A919" s="84"/>
      <c r="B919" s="84"/>
      <c r="D919" s="84"/>
      <c r="E919" s="84"/>
      <c r="G919" s="84"/>
      <c r="H919" s="84"/>
      <c r="I919" s="84"/>
      <c r="AZ919" s="84"/>
      <c r="BV919" s="84"/>
    </row>
    <row r="920">
      <c r="A920" s="84"/>
      <c r="B920" s="84"/>
      <c r="D920" s="84"/>
      <c r="E920" s="84"/>
      <c r="G920" s="84"/>
      <c r="H920" s="84"/>
      <c r="I920" s="84"/>
      <c r="AZ920" s="84"/>
      <c r="BV920" s="84"/>
    </row>
    <row r="921">
      <c r="A921" s="84"/>
      <c r="B921" s="84"/>
      <c r="D921" s="84"/>
      <c r="E921" s="84"/>
      <c r="G921" s="84"/>
      <c r="H921" s="84"/>
      <c r="I921" s="84"/>
      <c r="AZ921" s="84"/>
      <c r="BV921" s="84"/>
    </row>
    <row r="922">
      <c r="A922" s="84"/>
      <c r="B922" s="84"/>
      <c r="D922" s="84"/>
      <c r="E922" s="84"/>
      <c r="G922" s="84"/>
      <c r="H922" s="84"/>
      <c r="I922" s="84"/>
      <c r="AZ922" s="84"/>
      <c r="BV922" s="84"/>
    </row>
    <row r="923">
      <c r="A923" s="84"/>
      <c r="B923" s="84"/>
      <c r="D923" s="84"/>
      <c r="E923" s="84"/>
      <c r="G923" s="84"/>
      <c r="H923" s="84"/>
      <c r="I923" s="84"/>
      <c r="AZ923" s="84"/>
      <c r="BV923" s="84"/>
    </row>
    <row r="924">
      <c r="A924" s="84"/>
      <c r="B924" s="84"/>
      <c r="D924" s="84"/>
      <c r="E924" s="84"/>
      <c r="G924" s="84"/>
      <c r="H924" s="84"/>
      <c r="I924" s="84"/>
      <c r="AZ924" s="84"/>
      <c r="BV924" s="84"/>
    </row>
    <row r="925">
      <c r="A925" s="84"/>
      <c r="B925" s="84"/>
      <c r="D925" s="84"/>
      <c r="E925" s="84"/>
      <c r="G925" s="84"/>
      <c r="H925" s="84"/>
      <c r="I925" s="84"/>
      <c r="AZ925" s="84"/>
      <c r="BV925" s="84"/>
    </row>
    <row r="926">
      <c r="A926" s="84"/>
      <c r="B926" s="84"/>
      <c r="D926" s="84"/>
      <c r="E926" s="84"/>
      <c r="G926" s="84"/>
      <c r="H926" s="84"/>
      <c r="I926" s="84"/>
      <c r="AZ926" s="84"/>
      <c r="BV926" s="84"/>
    </row>
    <row r="927">
      <c r="A927" s="84"/>
      <c r="B927" s="84"/>
      <c r="D927" s="84"/>
      <c r="E927" s="84"/>
      <c r="G927" s="84"/>
      <c r="H927" s="84"/>
      <c r="I927" s="84"/>
      <c r="AZ927" s="84"/>
      <c r="BV927" s="84"/>
    </row>
    <row r="928">
      <c r="A928" s="84"/>
      <c r="B928" s="84"/>
      <c r="D928" s="84"/>
      <c r="E928" s="84"/>
      <c r="G928" s="84"/>
      <c r="H928" s="84"/>
      <c r="I928" s="84"/>
      <c r="AZ928" s="84"/>
      <c r="BV928" s="84"/>
    </row>
    <row r="929">
      <c r="A929" s="84"/>
      <c r="B929" s="84"/>
      <c r="D929" s="84"/>
      <c r="E929" s="84"/>
      <c r="G929" s="84"/>
      <c r="H929" s="84"/>
      <c r="I929" s="84"/>
      <c r="AZ929" s="84"/>
      <c r="BV929" s="84"/>
    </row>
    <row r="930">
      <c r="A930" s="84"/>
      <c r="B930" s="84"/>
      <c r="D930" s="84"/>
      <c r="E930" s="84"/>
      <c r="G930" s="84"/>
      <c r="H930" s="84"/>
      <c r="I930" s="84"/>
      <c r="AZ930" s="84"/>
      <c r="BV930" s="84"/>
    </row>
    <row r="931">
      <c r="A931" s="84"/>
      <c r="B931" s="84"/>
      <c r="D931" s="84"/>
      <c r="E931" s="84"/>
      <c r="G931" s="84"/>
      <c r="H931" s="84"/>
      <c r="I931" s="84"/>
      <c r="AZ931" s="84"/>
      <c r="BV931" s="84"/>
    </row>
    <row r="932">
      <c r="A932" s="84"/>
      <c r="B932" s="84"/>
      <c r="D932" s="84"/>
      <c r="E932" s="84"/>
      <c r="G932" s="84"/>
      <c r="H932" s="84"/>
      <c r="I932" s="84"/>
      <c r="AZ932" s="84"/>
      <c r="BV932" s="84"/>
    </row>
    <row r="933">
      <c r="A933" s="84"/>
      <c r="B933" s="84"/>
      <c r="D933" s="84"/>
      <c r="E933" s="84"/>
      <c r="G933" s="84"/>
      <c r="H933" s="84"/>
      <c r="I933" s="84"/>
      <c r="AZ933" s="84"/>
      <c r="BV933" s="84"/>
    </row>
    <row r="934">
      <c r="A934" s="84"/>
      <c r="B934" s="84"/>
      <c r="D934" s="84"/>
      <c r="E934" s="84"/>
      <c r="G934" s="84"/>
      <c r="H934" s="84"/>
      <c r="I934" s="84"/>
      <c r="AZ934" s="84"/>
      <c r="BV934" s="84"/>
    </row>
    <row r="935">
      <c r="A935" s="84"/>
      <c r="B935" s="84"/>
      <c r="D935" s="84"/>
      <c r="E935" s="84"/>
      <c r="G935" s="84"/>
      <c r="H935" s="84"/>
      <c r="I935" s="84"/>
      <c r="AZ935" s="84"/>
      <c r="BV935" s="84"/>
    </row>
    <row r="936">
      <c r="A936" s="84"/>
      <c r="B936" s="84"/>
      <c r="D936" s="84"/>
      <c r="E936" s="84"/>
      <c r="G936" s="84"/>
      <c r="H936" s="84"/>
      <c r="I936" s="84"/>
      <c r="AZ936" s="84"/>
      <c r="BV936" s="84"/>
    </row>
    <row r="937">
      <c r="A937" s="84"/>
      <c r="B937" s="84"/>
      <c r="D937" s="84"/>
      <c r="E937" s="84"/>
      <c r="G937" s="84"/>
      <c r="H937" s="84"/>
      <c r="I937" s="84"/>
      <c r="AZ937" s="84"/>
      <c r="BV937" s="84"/>
    </row>
    <row r="938">
      <c r="A938" s="84"/>
      <c r="B938" s="84"/>
      <c r="D938" s="84"/>
      <c r="E938" s="84"/>
      <c r="G938" s="84"/>
      <c r="H938" s="84"/>
      <c r="I938" s="84"/>
      <c r="AZ938" s="84"/>
      <c r="BV938" s="84"/>
    </row>
    <row r="939">
      <c r="A939" s="84"/>
      <c r="B939" s="84"/>
      <c r="D939" s="84"/>
      <c r="E939" s="84"/>
      <c r="G939" s="84"/>
      <c r="H939" s="84"/>
      <c r="I939" s="84"/>
      <c r="AZ939" s="84"/>
      <c r="BV939" s="84"/>
    </row>
    <row r="940">
      <c r="A940" s="84"/>
      <c r="B940" s="84"/>
      <c r="D940" s="84"/>
      <c r="E940" s="84"/>
      <c r="G940" s="84"/>
      <c r="H940" s="84"/>
      <c r="I940" s="84"/>
      <c r="AZ940" s="84"/>
      <c r="BV940" s="84"/>
    </row>
    <row r="941">
      <c r="A941" s="84"/>
      <c r="B941" s="84"/>
      <c r="D941" s="84"/>
      <c r="E941" s="84"/>
      <c r="G941" s="84"/>
      <c r="H941" s="84"/>
      <c r="I941" s="84"/>
      <c r="AZ941" s="84"/>
      <c r="BV941" s="84"/>
    </row>
    <row r="942">
      <c r="A942" s="84"/>
      <c r="B942" s="84"/>
      <c r="D942" s="84"/>
      <c r="E942" s="84"/>
      <c r="G942" s="84"/>
      <c r="H942" s="84"/>
      <c r="I942" s="84"/>
      <c r="AZ942" s="84"/>
      <c r="BV942" s="84"/>
    </row>
    <row r="943">
      <c r="A943" s="84"/>
      <c r="B943" s="84"/>
      <c r="D943" s="84"/>
      <c r="E943" s="84"/>
      <c r="G943" s="84"/>
      <c r="H943" s="84"/>
      <c r="I943" s="84"/>
      <c r="AZ943" s="84"/>
      <c r="BV943" s="84"/>
    </row>
    <row r="944">
      <c r="A944" s="84"/>
      <c r="B944" s="84"/>
      <c r="D944" s="84"/>
      <c r="E944" s="84"/>
      <c r="G944" s="84"/>
      <c r="H944" s="84"/>
      <c r="I944" s="84"/>
      <c r="AZ944" s="84"/>
      <c r="BV944" s="84"/>
    </row>
    <row r="945">
      <c r="A945" s="84"/>
      <c r="B945" s="84"/>
      <c r="D945" s="84"/>
      <c r="E945" s="84"/>
      <c r="G945" s="84"/>
      <c r="H945" s="84"/>
      <c r="I945" s="84"/>
      <c r="AZ945" s="84"/>
      <c r="BV945" s="84"/>
    </row>
    <row r="946">
      <c r="A946" s="84"/>
      <c r="B946" s="84"/>
      <c r="D946" s="84"/>
      <c r="E946" s="84"/>
      <c r="G946" s="84"/>
      <c r="H946" s="84"/>
      <c r="I946" s="84"/>
      <c r="AZ946" s="84"/>
      <c r="BV946" s="84"/>
    </row>
    <row r="947">
      <c r="A947" s="84"/>
      <c r="B947" s="84"/>
      <c r="D947" s="84"/>
      <c r="E947" s="84"/>
      <c r="G947" s="84"/>
      <c r="H947" s="84"/>
      <c r="I947" s="84"/>
      <c r="AZ947" s="84"/>
      <c r="BV947" s="84"/>
    </row>
    <row r="948">
      <c r="A948" s="84"/>
      <c r="B948" s="84"/>
      <c r="D948" s="84"/>
      <c r="E948" s="84"/>
      <c r="G948" s="84"/>
      <c r="H948" s="84"/>
      <c r="I948" s="84"/>
      <c r="AZ948" s="84"/>
      <c r="BV948" s="84"/>
    </row>
    <row r="949">
      <c r="A949" s="84"/>
      <c r="B949" s="84"/>
      <c r="D949" s="84"/>
      <c r="E949" s="84"/>
      <c r="G949" s="84"/>
      <c r="H949" s="84"/>
      <c r="I949" s="84"/>
      <c r="AZ949" s="84"/>
      <c r="BV949" s="84"/>
    </row>
    <row r="950">
      <c r="A950" s="84"/>
      <c r="B950" s="84"/>
      <c r="D950" s="84"/>
      <c r="E950" s="84"/>
      <c r="G950" s="84"/>
      <c r="H950" s="84"/>
      <c r="I950" s="84"/>
      <c r="AZ950" s="84"/>
      <c r="BV950" s="84"/>
    </row>
    <row r="951">
      <c r="A951" s="84"/>
      <c r="B951" s="84"/>
      <c r="D951" s="84"/>
      <c r="E951" s="84"/>
      <c r="G951" s="84"/>
      <c r="H951" s="84"/>
      <c r="I951" s="84"/>
      <c r="AZ951" s="84"/>
      <c r="BV951" s="84"/>
    </row>
    <row r="952">
      <c r="A952" s="84"/>
      <c r="B952" s="84"/>
      <c r="D952" s="84"/>
      <c r="E952" s="84"/>
      <c r="G952" s="84"/>
      <c r="H952" s="84"/>
      <c r="I952" s="84"/>
      <c r="AZ952" s="84"/>
      <c r="BV952" s="84"/>
    </row>
    <row r="953">
      <c r="A953" s="84"/>
      <c r="B953" s="84"/>
      <c r="D953" s="84"/>
      <c r="E953" s="84"/>
      <c r="G953" s="84"/>
      <c r="H953" s="84"/>
      <c r="I953" s="84"/>
      <c r="AZ953" s="84"/>
      <c r="BV953" s="84"/>
    </row>
    <row r="954">
      <c r="A954" s="84"/>
      <c r="B954" s="84"/>
      <c r="D954" s="84"/>
      <c r="E954" s="84"/>
      <c r="G954" s="84"/>
      <c r="H954" s="84"/>
      <c r="I954" s="84"/>
      <c r="AZ954" s="84"/>
      <c r="BV954" s="84"/>
    </row>
    <row r="955">
      <c r="A955" s="84"/>
      <c r="B955" s="84"/>
      <c r="D955" s="84"/>
      <c r="E955" s="84"/>
      <c r="G955" s="84"/>
      <c r="H955" s="84"/>
      <c r="I955" s="84"/>
      <c r="AZ955" s="84"/>
      <c r="BV955" s="84"/>
    </row>
    <row r="956">
      <c r="A956" s="84"/>
      <c r="B956" s="84"/>
      <c r="D956" s="84"/>
      <c r="E956" s="84"/>
      <c r="G956" s="84"/>
      <c r="H956" s="84"/>
      <c r="I956" s="84"/>
      <c r="AZ956" s="84"/>
      <c r="BV956" s="84"/>
    </row>
    <row r="957">
      <c r="A957" s="84"/>
      <c r="B957" s="84"/>
      <c r="D957" s="84"/>
      <c r="E957" s="84"/>
      <c r="G957" s="84"/>
      <c r="H957" s="84"/>
      <c r="I957" s="84"/>
      <c r="AZ957" s="84"/>
      <c r="BV957" s="84"/>
    </row>
    <row r="958">
      <c r="A958" s="84"/>
      <c r="B958" s="84"/>
      <c r="D958" s="84"/>
      <c r="E958" s="84"/>
      <c r="G958" s="84"/>
      <c r="H958" s="84"/>
      <c r="I958" s="84"/>
      <c r="AZ958" s="84"/>
      <c r="BV958" s="84"/>
    </row>
    <row r="959">
      <c r="A959" s="84"/>
      <c r="B959" s="84"/>
      <c r="D959" s="84"/>
      <c r="E959" s="84"/>
      <c r="G959" s="84"/>
      <c r="H959" s="84"/>
      <c r="I959" s="84"/>
      <c r="AZ959" s="84"/>
      <c r="BV959" s="84"/>
    </row>
    <row r="960">
      <c r="A960" s="84"/>
      <c r="B960" s="84"/>
      <c r="D960" s="84"/>
      <c r="E960" s="84"/>
      <c r="G960" s="84"/>
      <c r="H960" s="84"/>
      <c r="I960" s="84"/>
      <c r="AZ960" s="84"/>
      <c r="BV960" s="84"/>
    </row>
    <row r="961">
      <c r="A961" s="84"/>
      <c r="B961" s="84"/>
      <c r="D961" s="84"/>
      <c r="E961" s="84"/>
      <c r="G961" s="84"/>
      <c r="H961" s="84"/>
      <c r="I961" s="84"/>
      <c r="AZ961" s="84"/>
      <c r="BV961" s="84"/>
    </row>
    <row r="962">
      <c r="A962" s="84"/>
      <c r="B962" s="84"/>
      <c r="D962" s="84"/>
      <c r="E962" s="84"/>
      <c r="G962" s="84"/>
      <c r="H962" s="84"/>
      <c r="I962" s="84"/>
      <c r="AZ962" s="84"/>
      <c r="BV962" s="84"/>
    </row>
    <row r="963">
      <c r="A963" s="84"/>
      <c r="B963" s="84"/>
      <c r="D963" s="84"/>
      <c r="E963" s="84"/>
      <c r="G963" s="84"/>
      <c r="H963" s="84"/>
      <c r="I963" s="84"/>
      <c r="AZ963" s="84"/>
      <c r="BV963" s="84"/>
    </row>
    <row r="964">
      <c r="A964" s="84"/>
      <c r="B964" s="84"/>
      <c r="D964" s="84"/>
      <c r="E964" s="84"/>
      <c r="G964" s="84"/>
      <c r="H964" s="84"/>
      <c r="I964" s="84"/>
      <c r="AZ964" s="84"/>
      <c r="BV964" s="84"/>
    </row>
    <row r="965">
      <c r="A965" s="84"/>
      <c r="B965" s="84"/>
      <c r="D965" s="84"/>
      <c r="E965" s="84"/>
      <c r="G965" s="84"/>
      <c r="H965" s="84"/>
      <c r="I965" s="84"/>
      <c r="AZ965" s="84"/>
      <c r="BV965" s="84"/>
    </row>
    <row r="966">
      <c r="A966" s="84"/>
      <c r="B966" s="84"/>
      <c r="D966" s="84"/>
      <c r="E966" s="84"/>
      <c r="G966" s="84"/>
      <c r="H966" s="84"/>
      <c r="I966" s="84"/>
      <c r="AZ966" s="84"/>
      <c r="BV966" s="84"/>
    </row>
    <row r="967">
      <c r="A967" s="84"/>
      <c r="B967" s="84"/>
      <c r="D967" s="84"/>
      <c r="E967" s="84"/>
      <c r="G967" s="84"/>
      <c r="H967" s="84"/>
      <c r="I967" s="84"/>
      <c r="AZ967" s="84"/>
      <c r="BV967" s="84"/>
    </row>
    <row r="968">
      <c r="A968" s="84"/>
      <c r="B968" s="84"/>
      <c r="D968" s="84"/>
      <c r="E968" s="84"/>
      <c r="G968" s="84"/>
      <c r="H968" s="84"/>
      <c r="I968" s="84"/>
      <c r="AZ968" s="84"/>
      <c r="BV968" s="84"/>
    </row>
    <row r="969">
      <c r="A969" s="84"/>
      <c r="B969" s="84"/>
      <c r="D969" s="84"/>
      <c r="E969" s="84"/>
      <c r="G969" s="84"/>
      <c r="H969" s="84"/>
      <c r="I969" s="84"/>
      <c r="AZ969" s="84"/>
      <c r="BV969" s="84"/>
    </row>
    <row r="970">
      <c r="A970" s="84"/>
      <c r="B970" s="84"/>
      <c r="D970" s="84"/>
      <c r="E970" s="84"/>
      <c r="G970" s="84"/>
      <c r="H970" s="84"/>
      <c r="I970" s="84"/>
      <c r="AZ970" s="84"/>
      <c r="BV970" s="84"/>
    </row>
    <row r="971">
      <c r="A971" s="84"/>
      <c r="B971" s="84"/>
      <c r="D971" s="84"/>
      <c r="E971" s="84"/>
      <c r="G971" s="84"/>
      <c r="H971" s="84"/>
      <c r="I971" s="84"/>
      <c r="AZ971" s="84"/>
      <c r="BV971" s="84"/>
    </row>
    <row r="972">
      <c r="A972" s="84"/>
      <c r="B972" s="84"/>
      <c r="D972" s="84"/>
      <c r="E972" s="84"/>
      <c r="G972" s="84"/>
      <c r="H972" s="84"/>
      <c r="I972" s="84"/>
      <c r="AZ972" s="84"/>
      <c r="BV972" s="84"/>
    </row>
    <row r="973">
      <c r="A973" s="84"/>
      <c r="B973" s="84"/>
      <c r="D973" s="84"/>
      <c r="E973" s="84"/>
      <c r="G973" s="84"/>
      <c r="H973" s="84"/>
      <c r="I973" s="84"/>
      <c r="AZ973" s="84"/>
      <c r="BV973" s="84"/>
    </row>
    <row r="974">
      <c r="A974" s="84"/>
      <c r="B974" s="84"/>
      <c r="D974" s="84"/>
      <c r="E974" s="84"/>
      <c r="G974" s="84"/>
      <c r="H974" s="84"/>
      <c r="I974" s="84"/>
      <c r="AZ974" s="84"/>
      <c r="BV974" s="84"/>
    </row>
    <row r="975">
      <c r="A975" s="84"/>
      <c r="B975" s="84"/>
      <c r="D975" s="84"/>
      <c r="E975" s="84"/>
      <c r="G975" s="84"/>
      <c r="H975" s="84"/>
      <c r="I975" s="84"/>
      <c r="AZ975" s="84"/>
      <c r="BV975" s="84"/>
    </row>
    <row r="976">
      <c r="A976" s="84"/>
      <c r="B976" s="84"/>
      <c r="D976" s="84"/>
      <c r="E976" s="84"/>
      <c r="G976" s="84"/>
      <c r="H976" s="84"/>
      <c r="I976" s="84"/>
      <c r="AZ976" s="84"/>
      <c r="BV976" s="84"/>
    </row>
    <row r="977">
      <c r="A977" s="84"/>
      <c r="B977" s="84"/>
      <c r="D977" s="84"/>
      <c r="E977" s="84"/>
      <c r="G977" s="84"/>
      <c r="H977" s="84"/>
      <c r="I977" s="84"/>
      <c r="AZ977" s="84"/>
      <c r="BV977" s="84"/>
    </row>
    <row r="978">
      <c r="A978" s="84"/>
      <c r="B978" s="84"/>
      <c r="D978" s="84"/>
      <c r="E978" s="84"/>
      <c r="G978" s="84"/>
      <c r="H978" s="84"/>
      <c r="I978" s="84"/>
      <c r="AZ978" s="84"/>
      <c r="BV978" s="84"/>
    </row>
    <row r="979">
      <c r="A979" s="84"/>
      <c r="B979" s="84"/>
      <c r="D979" s="84"/>
      <c r="E979" s="84"/>
      <c r="G979" s="84"/>
      <c r="H979" s="84"/>
      <c r="I979" s="84"/>
      <c r="AZ979" s="84"/>
      <c r="BV979" s="84"/>
    </row>
    <row r="980">
      <c r="A980" s="84"/>
      <c r="B980" s="84"/>
      <c r="D980" s="84"/>
      <c r="E980" s="84"/>
      <c r="G980" s="84"/>
      <c r="H980" s="84"/>
      <c r="I980" s="84"/>
      <c r="AZ980" s="84"/>
      <c r="BV980" s="84"/>
    </row>
    <row r="981">
      <c r="A981" s="84"/>
      <c r="B981" s="84"/>
      <c r="D981" s="84"/>
      <c r="E981" s="84"/>
      <c r="G981" s="84"/>
      <c r="H981" s="84"/>
      <c r="I981" s="84"/>
      <c r="AZ981" s="84"/>
      <c r="BV981" s="84"/>
    </row>
    <row r="982">
      <c r="A982" s="84"/>
      <c r="B982" s="84"/>
      <c r="D982" s="84"/>
      <c r="E982" s="84"/>
      <c r="G982" s="84"/>
      <c r="H982" s="84"/>
      <c r="I982" s="84"/>
      <c r="AZ982" s="84"/>
      <c r="BV982" s="84"/>
    </row>
    <row r="983">
      <c r="A983" s="84"/>
      <c r="B983" s="84"/>
      <c r="D983" s="84"/>
      <c r="E983" s="84"/>
      <c r="G983" s="84"/>
      <c r="H983" s="84"/>
      <c r="I983" s="84"/>
      <c r="AZ983" s="84"/>
      <c r="BV983" s="84"/>
    </row>
    <row r="984">
      <c r="A984" s="84"/>
      <c r="B984" s="84"/>
      <c r="D984" s="84"/>
      <c r="E984" s="84"/>
      <c r="G984" s="84"/>
      <c r="H984" s="84"/>
      <c r="I984" s="84"/>
      <c r="AZ984" s="84"/>
      <c r="BV984" s="84"/>
    </row>
    <row r="985">
      <c r="A985" s="84"/>
      <c r="B985" s="84"/>
      <c r="D985" s="84"/>
      <c r="E985" s="84"/>
      <c r="G985" s="84"/>
      <c r="H985" s="84"/>
      <c r="I985" s="84"/>
      <c r="AZ985" s="84"/>
      <c r="BV985" s="84"/>
    </row>
    <row r="986">
      <c r="A986" s="84"/>
      <c r="B986" s="84"/>
      <c r="D986" s="84"/>
      <c r="E986" s="84"/>
      <c r="G986" s="84"/>
      <c r="H986" s="84"/>
      <c r="I986" s="84"/>
      <c r="AZ986" s="84"/>
      <c r="BV986" s="84"/>
    </row>
    <row r="987">
      <c r="A987" s="84"/>
      <c r="B987" s="84"/>
      <c r="D987" s="84"/>
      <c r="E987" s="84"/>
      <c r="G987" s="84"/>
      <c r="H987" s="84"/>
      <c r="I987" s="84"/>
      <c r="AZ987" s="84"/>
      <c r="BV987" s="84"/>
    </row>
    <row r="988">
      <c r="A988" s="84"/>
      <c r="B988" s="84"/>
      <c r="D988" s="84"/>
      <c r="E988" s="84"/>
      <c r="G988" s="84"/>
      <c r="H988" s="84"/>
      <c r="I988" s="84"/>
      <c r="AZ988" s="84"/>
      <c r="BV988" s="84"/>
    </row>
    <row r="989">
      <c r="A989" s="84"/>
      <c r="B989" s="84"/>
      <c r="D989" s="84"/>
      <c r="E989" s="84"/>
      <c r="G989" s="84"/>
      <c r="H989" s="84"/>
      <c r="I989" s="84"/>
      <c r="AZ989" s="84"/>
      <c r="BV989" s="84"/>
    </row>
    <row r="990">
      <c r="A990" s="84"/>
      <c r="B990" s="84"/>
      <c r="D990" s="84"/>
      <c r="E990" s="84"/>
      <c r="G990" s="84"/>
      <c r="H990" s="84"/>
      <c r="I990" s="84"/>
      <c r="AZ990" s="84"/>
      <c r="BV990" s="84"/>
    </row>
    <row r="991">
      <c r="A991" s="84"/>
      <c r="B991" s="84"/>
      <c r="D991" s="84"/>
      <c r="E991" s="84"/>
      <c r="G991" s="84"/>
      <c r="H991" s="84"/>
      <c r="I991" s="84"/>
      <c r="AZ991" s="84"/>
      <c r="BV991" s="84"/>
    </row>
    <row r="992">
      <c r="A992" s="84"/>
      <c r="B992" s="84"/>
      <c r="D992" s="84"/>
      <c r="E992" s="84"/>
      <c r="G992" s="84"/>
      <c r="H992" s="84"/>
      <c r="I992" s="84"/>
      <c r="AZ992" s="84"/>
      <c r="BV992" s="84"/>
    </row>
    <row r="993">
      <c r="A993" s="84"/>
      <c r="B993" s="84"/>
      <c r="D993" s="84"/>
      <c r="E993" s="84"/>
      <c r="G993" s="84"/>
      <c r="H993" s="84"/>
      <c r="I993" s="84"/>
      <c r="AZ993" s="84"/>
      <c r="BV993" s="84"/>
    </row>
    <row r="994">
      <c r="A994" s="84"/>
      <c r="B994" s="84"/>
      <c r="D994" s="84"/>
      <c r="E994" s="84"/>
      <c r="G994" s="84"/>
      <c r="H994" s="84"/>
      <c r="I994" s="84"/>
      <c r="AZ994" s="84"/>
      <c r="BV994" s="84"/>
    </row>
    <row r="995">
      <c r="A995" s="84"/>
      <c r="B995" s="84"/>
      <c r="D995" s="84"/>
      <c r="E995" s="84"/>
      <c r="G995" s="84"/>
      <c r="H995" s="84"/>
      <c r="I995" s="84"/>
      <c r="AZ995" s="84"/>
      <c r="BV995" s="84"/>
    </row>
    <row r="996">
      <c r="A996" s="84"/>
      <c r="B996" s="84"/>
      <c r="D996" s="84"/>
      <c r="E996" s="84"/>
      <c r="G996" s="84"/>
      <c r="H996" s="84"/>
      <c r="I996" s="84"/>
      <c r="AZ996" s="84"/>
      <c r="BV996" s="84"/>
    </row>
    <row r="997">
      <c r="A997" s="84"/>
      <c r="B997" s="84"/>
      <c r="D997" s="84"/>
      <c r="E997" s="84"/>
      <c r="G997" s="84"/>
      <c r="H997" s="84"/>
      <c r="I997" s="84"/>
      <c r="AZ997" s="84"/>
      <c r="BV997" s="84"/>
    </row>
    <row r="998">
      <c r="A998" s="84"/>
      <c r="B998" s="84"/>
      <c r="D998" s="84"/>
      <c r="E998" s="84"/>
      <c r="G998" s="84"/>
      <c r="H998" s="84"/>
      <c r="I998" s="84"/>
      <c r="AZ998" s="84"/>
      <c r="BV998" s="84"/>
    </row>
    <row r="999">
      <c r="A999" s="84"/>
      <c r="B999" s="84"/>
      <c r="D999" s="84"/>
      <c r="E999" s="84"/>
      <c r="G999" s="84"/>
      <c r="H999" s="84"/>
      <c r="I999" s="84"/>
      <c r="AZ999" s="84"/>
      <c r="BV999" s="84"/>
    </row>
    <row r="1000">
      <c r="A1000" s="84"/>
      <c r="B1000" s="84"/>
      <c r="D1000" s="84"/>
      <c r="E1000" s="84"/>
      <c r="G1000" s="84"/>
      <c r="H1000" s="84"/>
      <c r="I1000" s="84"/>
      <c r="AZ1000" s="84"/>
      <c r="BV1000" s="84"/>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00FFFF"/>
    <outlinePr summaryBelow="0" summaryRight="0"/>
  </sheetPr>
  <sheetViews>
    <sheetView showGridLines="0" workbookViewId="0"/>
  </sheetViews>
  <sheetFormatPr customHeight="1" defaultColWidth="14.43" defaultRowHeight="15.0"/>
  <cols>
    <col customWidth="1" min="1" max="1" width="3.0"/>
    <col customWidth="1" min="2" max="2" width="20.43"/>
    <col customWidth="1" min="3" max="3" width="11.29"/>
    <col customWidth="1" min="4" max="4" width="4.29"/>
    <col customWidth="1" min="5" max="5" width="18.0"/>
    <col customWidth="1" min="6" max="6" width="3.29"/>
    <col customWidth="1" min="7" max="7" width="15.14"/>
    <col customWidth="1" min="8" max="8" width="3.29"/>
    <col customWidth="1" min="9" max="9" width="18.0"/>
    <col customWidth="1" min="10" max="10" width="3.29"/>
    <col customWidth="1" min="11" max="11" width="16.57"/>
    <col customWidth="1" min="12" max="12" width="3.29"/>
    <col customWidth="1" min="13" max="13" width="17.71"/>
    <col customWidth="1" min="14" max="14" width="3.29"/>
    <col customWidth="1" min="15" max="15" width="19.0"/>
    <col customWidth="1" min="16" max="16" width="3.29"/>
    <col customWidth="1" min="17" max="42" width="2.86"/>
  </cols>
  <sheetData>
    <row r="1" ht="15.75" customHeight="1">
      <c r="A1" s="10" t="s">
        <v>131</v>
      </c>
      <c r="B1" s="11"/>
      <c r="C1" s="12" t="s">
        <v>142</v>
      </c>
      <c r="D1" s="11"/>
      <c r="E1" s="13" t="s">
        <v>148</v>
      </c>
      <c r="F1" s="14" t="s">
        <v>152</v>
      </c>
      <c r="G1" s="11"/>
      <c r="H1" s="11"/>
      <c r="I1" s="16" t="s">
        <v>160</v>
      </c>
      <c r="J1" s="11"/>
      <c r="K1" s="18" t="s">
        <v>164</v>
      </c>
      <c r="L1" s="20"/>
      <c r="M1" s="22">
        <v>10000.0</v>
      </c>
      <c r="N1" s="23"/>
      <c r="O1" s="24" t="s">
        <v>176</v>
      </c>
      <c r="P1" s="25" t="s">
        <v>182</v>
      </c>
      <c r="Q1" s="20"/>
      <c r="R1" s="20"/>
      <c r="S1" s="26"/>
      <c r="AD1" s="27"/>
      <c r="AE1" s="27"/>
      <c r="AF1" s="27"/>
      <c r="AG1" s="27"/>
      <c r="AH1" s="27"/>
      <c r="AI1" s="27"/>
      <c r="AJ1" s="27"/>
      <c r="AK1" s="27"/>
      <c r="AL1" s="27"/>
      <c r="AM1" s="27"/>
      <c r="AN1" s="27"/>
      <c r="AO1" s="27"/>
      <c r="AP1" s="27" t="s">
        <v>195</v>
      </c>
    </row>
    <row r="2" ht="9.75" customHeight="1">
      <c r="A2" s="30"/>
      <c r="C2" s="32" t="s">
        <v>204</v>
      </c>
      <c r="E2" s="34" t="s">
        <v>148</v>
      </c>
      <c r="F2" s="30"/>
      <c r="K2" s="36" t="s">
        <v>212</v>
      </c>
      <c r="L2" s="38"/>
      <c r="M2" s="40">
        <v>1.0E-8</v>
      </c>
      <c r="N2" s="42"/>
      <c r="O2" s="44" t="s">
        <v>235</v>
      </c>
      <c r="P2" s="46" t="s">
        <v>182</v>
      </c>
      <c r="Q2" s="38"/>
      <c r="R2" s="38"/>
      <c r="S2" s="48"/>
      <c r="Y2" s="49"/>
      <c r="Z2" s="49"/>
      <c r="AA2" s="49"/>
      <c r="AB2" s="49"/>
      <c r="AC2" s="49"/>
      <c r="AD2" s="50"/>
      <c r="AE2" s="50"/>
      <c r="AF2" s="50"/>
      <c r="AG2" s="50"/>
      <c r="AH2" s="50"/>
      <c r="AI2" s="50"/>
      <c r="AJ2" s="50"/>
      <c r="AK2" s="50"/>
      <c r="AL2" s="50"/>
      <c r="AM2" s="50"/>
      <c r="AN2" s="50"/>
      <c r="AO2" s="50"/>
      <c r="AP2" s="50" t="s">
        <v>274</v>
      </c>
    </row>
    <row r="3">
      <c r="A3" s="30"/>
      <c r="C3" s="32" t="s">
        <v>275</v>
      </c>
      <c r="E3" s="34" t="s">
        <v>148</v>
      </c>
      <c r="F3" s="30"/>
      <c r="K3" s="36" t="s">
        <v>277</v>
      </c>
      <c r="L3" s="38"/>
      <c r="M3" s="40">
        <v>0.48</v>
      </c>
      <c r="N3" s="42"/>
      <c r="O3" s="44" t="s">
        <v>281</v>
      </c>
      <c r="P3" s="46" t="s">
        <v>182</v>
      </c>
      <c r="Q3" s="38"/>
      <c r="R3" s="38"/>
      <c r="S3" s="48"/>
      <c r="X3" s="53"/>
      <c r="Y3" s="49"/>
      <c r="Z3" s="49"/>
      <c r="AA3" s="49"/>
      <c r="AB3" s="49"/>
      <c r="AC3" s="49"/>
      <c r="AD3" s="55"/>
      <c r="AE3" s="55"/>
      <c r="AF3" s="55"/>
      <c r="AG3" s="55"/>
      <c r="AH3" s="55"/>
      <c r="AI3" s="55"/>
      <c r="AJ3" s="55"/>
      <c r="AK3" s="57"/>
      <c r="AL3" s="57"/>
      <c r="AM3" s="57"/>
      <c r="AN3" s="57"/>
      <c r="AO3" s="57"/>
      <c r="AP3" s="57" t="s">
        <v>292</v>
      </c>
    </row>
    <row r="4" ht="13.5" customHeight="1">
      <c r="A4" s="30"/>
      <c r="C4" s="32" t="s">
        <v>293</v>
      </c>
      <c r="E4" s="34" t="s">
        <v>148</v>
      </c>
      <c r="F4" s="30"/>
      <c r="K4" s="36" t="s">
        <v>294</v>
      </c>
      <c r="L4" s="38"/>
      <c r="M4" s="58" t="s">
        <v>297</v>
      </c>
      <c r="N4" s="42"/>
      <c r="O4" s="44" t="s">
        <v>302</v>
      </c>
      <c r="P4" s="46" t="s">
        <v>182</v>
      </c>
      <c r="Q4" s="38"/>
      <c r="R4" s="38"/>
      <c r="S4" s="48"/>
      <c r="T4" s="60" t="s">
        <v>305</v>
      </c>
      <c r="Y4" s="49"/>
      <c r="Z4" s="49"/>
      <c r="AA4" s="49"/>
      <c r="AB4" s="49"/>
      <c r="AC4" s="49"/>
      <c r="AD4" s="55"/>
      <c r="AE4" s="55"/>
      <c r="AF4" s="55"/>
      <c r="AG4" s="55"/>
      <c r="AH4" s="55"/>
      <c r="AI4" s="55"/>
      <c r="AJ4" s="55"/>
      <c r="AK4" s="57"/>
      <c r="AL4" s="57"/>
      <c r="AM4" s="57"/>
      <c r="AN4" s="57"/>
      <c r="AO4" s="57"/>
      <c r="AP4" s="57"/>
    </row>
    <row r="5">
      <c r="A5" s="30"/>
      <c r="C5" s="32" t="s">
        <v>310</v>
      </c>
      <c r="E5" s="34" t="s">
        <v>148</v>
      </c>
      <c r="F5" s="30"/>
      <c r="K5" s="36" t="s">
        <v>311</v>
      </c>
      <c r="L5" s="38"/>
      <c r="M5" s="62" t="s">
        <v>318</v>
      </c>
      <c r="N5" s="42"/>
      <c r="O5" s="44"/>
      <c r="P5" s="46"/>
      <c r="Q5" s="38"/>
      <c r="R5" s="38"/>
      <c r="S5" s="48"/>
      <c r="T5" s="63" t="s">
        <v>321</v>
      </c>
      <c r="U5" s="64"/>
      <c r="Z5" s="49"/>
      <c r="AA5" s="49"/>
      <c r="AB5" s="49"/>
      <c r="AC5" s="49"/>
      <c r="AD5" s="55"/>
      <c r="AE5" s="55"/>
      <c r="AF5" s="55"/>
      <c r="AG5" s="55"/>
      <c r="AH5" s="55"/>
      <c r="AI5" s="55"/>
      <c r="AJ5" s="55"/>
      <c r="AL5" s="53"/>
      <c r="AM5" s="65" t="s">
        <v>327</v>
      </c>
      <c r="AN5" s="66"/>
      <c r="AO5" s="66"/>
      <c r="AP5" s="67"/>
    </row>
    <row r="6" ht="13.5" customHeight="1">
      <c r="A6" s="30"/>
      <c r="C6" s="69" t="s">
        <v>334</v>
      </c>
      <c r="E6" s="71" t="s">
        <v>148</v>
      </c>
      <c r="F6" s="30"/>
      <c r="K6" s="72" t="s">
        <v>345</v>
      </c>
      <c r="L6" s="73"/>
      <c r="M6" s="74" t="s">
        <v>318</v>
      </c>
      <c r="N6" s="75"/>
      <c r="O6" s="76"/>
      <c r="P6" s="77"/>
      <c r="AL6" s="78" t="s">
        <v>352</v>
      </c>
      <c r="AM6" s="79" t="s">
        <v>318</v>
      </c>
      <c r="AN6" s="66"/>
      <c r="AO6" s="66"/>
      <c r="AP6" s="67"/>
    </row>
    <row r="7" ht="12.75" customHeight="1">
      <c r="A7" s="80"/>
      <c r="B7" s="81"/>
      <c r="C7" s="82" t="s">
        <v>361</v>
      </c>
      <c r="D7" s="83"/>
      <c r="E7" s="85" t="s">
        <v>278</v>
      </c>
      <c r="F7" s="80"/>
      <c r="G7" s="81"/>
      <c r="H7" s="81"/>
      <c r="K7" s="80"/>
      <c r="L7" s="81"/>
      <c r="M7" s="81"/>
      <c r="N7" s="86"/>
      <c r="O7" s="87"/>
      <c r="P7" s="87"/>
    </row>
    <row r="8" ht="15.75" customHeight="1">
      <c r="A8" s="88" t="str">
        <f>"Ranking Best for: " &amp; I1</f>
        <v>Ranking Best for: SC Damage</v>
      </c>
      <c r="C8" s="89" t="s">
        <v>364</v>
      </c>
      <c r="D8" s="90" t="s">
        <v>365</v>
      </c>
      <c r="E8" s="91" t="s">
        <v>366</v>
      </c>
      <c r="F8" s="92"/>
      <c r="G8" s="92"/>
      <c r="I8" s="94">
        <f>(O8)-SUM(I9,O9,I28,O28)</f>
        <v>426</v>
      </c>
      <c r="J8" s="95"/>
      <c r="K8" s="96" t="s">
        <v>367</v>
      </c>
      <c r="L8" s="81"/>
      <c r="M8" s="81"/>
      <c r="N8" s="81"/>
      <c r="O8" s="97">
        <v>1923.0</v>
      </c>
      <c r="P8" s="98"/>
    </row>
    <row r="9">
      <c r="A9" s="99"/>
      <c r="B9" s="99"/>
      <c r="C9" s="100"/>
      <c r="E9" s="101" t="s">
        <v>376</v>
      </c>
      <c r="F9" s="11"/>
      <c r="G9" s="11"/>
      <c r="H9" s="11"/>
      <c r="I9" s="103">
        <f>SUM(O70:O78)</f>
        <v>198</v>
      </c>
      <c r="J9" s="20"/>
      <c r="K9" s="105" t="s">
        <v>380</v>
      </c>
      <c r="O9" s="107">
        <f>SUM(O79:O87)</f>
        <v>104</v>
      </c>
      <c r="P9" s="109"/>
      <c r="R9" s="110"/>
      <c r="S9" s="113" t="s">
        <v>382</v>
      </c>
      <c r="T9" s="114"/>
      <c r="U9" s="114"/>
      <c r="V9" s="114"/>
      <c r="W9" s="114"/>
      <c r="X9" s="114"/>
      <c r="Y9" s="114"/>
      <c r="Z9" s="114"/>
      <c r="AA9" s="114"/>
      <c r="AB9" s="114"/>
      <c r="AC9" s="114"/>
      <c r="AD9" s="114"/>
      <c r="AE9" s="114"/>
      <c r="AF9" s="114"/>
      <c r="AG9" s="114"/>
      <c r="AH9" s="114"/>
      <c r="AI9" s="114"/>
      <c r="AJ9" s="114"/>
      <c r="AK9" s="114"/>
      <c r="AL9" s="114"/>
      <c r="AM9" s="115"/>
    </row>
    <row r="10">
      <c r="A10" s="117" t="str">
        <f>IFERROR(__xludf.DUMMYFUNCTION("FILTER(A70:A104,C10:C44&lt;&gt;"""")"),"")</f>
        <v/>
      </c>
      <c r="B10" s="110" t="str">
        <f>IFERROR(__xludf.DUMMYFUNCTION("IFERROR(FILTER(B70:B104,C10:C44&lt;&gt;""""),""&gt;&gt;&gt;No SP&lt;&lt;&lt;"")"),"Spoils of War")</f>
        <v>Spoils of War</v>
      </c>
      <c r="C10" s="119">
        <f>IFERROR(__xludf.DUMMYFUNCTION("FILTER(C70:C104,C70:C104&gt;C69)"),1.1660540585885437)</f>
        <v>1.166054059</v>
      </c>
      <c r="D10" s="121">
        <f>IFERROR(__xludf.DUMMYFUNCTION("FILTER(D70:D104,C70:C104&gt;C69)"),5.0)</f>
        <v>5</v>
      </c>
      <c r="E10" s="30"/>
      <c r="I10" s="122"/>
      <c r="J10" s="122"/>
      <c r="K10" s="30"/>
      <c r="O10" s="123"/>
      <c r="P10" s="124"/>
      <c r="R10" s="110"/>
      <c r="S10" s="125" t="s">
        <v>384</v>
      </c>
      <c r="V10" s="126"/>
      <c r="W10" s="126"/>
      <c r="X10" s="126"/>
      <c r="Y10" s="126"/>
      <c r="Z10" s="126"/>
      <c r="AA10" s="126"/>
      <c r="AB10" s="126"/>
      <c r="AC10" s="129" t="str">
        <f> I1 &amp;" "&amp;E7 &amp; " " &amp;(O8-I8) &amp; "sp "</f>
        <v>SC Damage Fairy 1497sp </v>
      </c>
      <c r="AM10" s="130"/>
    </row>
    <row r="11">
      <c r="A11" s="117" t="str">
        <f>IFERROR(__xludf.DUMMYFUNCTION("""COMPUTED_VALUE"""),"")</f>
        <v/>
      </c>
      <c r="B11" s="110" t="str">
        <f>IFERROR(__xludf.DUMMYFUNCTION("""COMPUTED_VALUE"""),"Summon Inferno")</f>
        <v>Summon Inferno</v>
      </c>
      <c r="C11" s="119">
        <f>IFERROR(__xludf.DUMMYFUNCTION("""COMPUTED_VALUE"""),1.1250932237405635)</f>
        <v>1.125093224</v>
      </c>
      <c r="D11" s="121">
        <f>IFERROR(__xludf.DUMMYFUNCTION("""COMPUTED_VALUE"""),2.0)</f>
        <v>2</v>
      </c>
      <c r="E11" s="132"/>
      <c r="F11" s="134"/>
      <c r="G11" s="135" t="str">
        <f>G70</f>
        <v>Knight's Valor</v>
      </c>
      <c r="H11" s="136" t="s">
        <v>148</v>
      </c>
      <c r="I11" s="134"/>
      <c r="K11" s="134"/>
      <c r="M11" s="135" t="str">
        <f>G79</f>
        <v>Master Commander</v>
      </c>
      <c r="N11" s="136" t="s">
        <v>148</v>
      </c>
      <c r="O11" s="134"/>
      <c r="R11" s="110"/>
      <c r="S11" s="138"/>
      <c r="T11" s="126"/>
      <c r="U11" s="126"/>
      <c r="V11" s="126"/>
      <c r="W11" s="126"/>
      <c r="X11" s="126"/>
      <c r="Y11" s="126"/>
      <c r="Z11" s="126"/>
      <c r="AA11" s="126"/>
      <c r="AB11" s="126"/>
      <c r="AC11" s="126"/>
      <c r="AD11" s="126"/>
      <c r="AE11" s="126"/>
      <c r="AF11" s="126"/>
      <c r="AG11" s="126"/>
      <c r="AH11" s="126"/>
      <c r="AI11" s="126"/>
      <c r="AJ11" s="126"/>
      <c r="AK11" s="140"/>
      <c r="AM11" s="130"/>
    </row>
    <row r="12">
      <c r="A12" s="117" t="str">
        <f>IFERROR(__xludf.DUMMYFUNCTION("""COMPUTED_VALUE"""),"")</f>
        <v/>
      </c>
      <c r="B12" s="110" t="str">
        <f>IFERROR(__xludf.DUMMYFUNCTION("""COMPUTED_VALUE"""),"Tactical Insight")</f>
        <v>Tactical Insight</v>
      </c>
      <c r="C12" s="119">
        <f>IFERROR(__xludf.DUMMYFUNCTION("""COMPUTED_VALUE"""),1.12093579169158)</f>
        <v>1.120935792</v>
      </c>
      <c r="D12" s="121">
        <f>IFERROR(__xludf.DUMMYFUNCTION("""COMPUTED_VALUE"""),14.0)</f>
        <v>14</v>
      </c>
      <c r="E12" s="142" t="s">
        <v>391</v>
      </c>
      <c r="G12" s="143">
        <v>7.0</v>
      </c>
      <c r="H12" s="144"/>
      <c r="I12" s="145" t="s">
        <v>393</v>
      </c>
      <c r="K12" s="142" t="s">
        <v>391</v>
      </c>
      <c r="M12" s="146">
        <v>2.0</v>
      </c>
      <c r="N12" s="144"/>
      <c r="O12" s="147" t="s">
        <v>394</v>
      </c>
      <c r="R12" s="110"/>
      <c r="S12" s="138"/>
      <c r="T12" s="126"/>
      <c r="U12" s="126"/>
      <c r="V12" s="126"/>
      <c r="W12" s="148" t="str">
        <f>IMAGE(AK70)</f>
        <v/>
      </c>
      <c r="X12" s="150">
        <f>G12</f>
        <v>7</v>
      </c>
      <c r="Y12" s="126"/>
      <c r="Z12" s="126"/>
      <c r="AA12" s="152">
        <f>I9</f>
        <v>198</v>
      </c>
      <c r="AB12" s="153"/>
      <c r="AC12" s="154"/>
      <c r="AD12" s="126"/>
      <c r="AE12" s="126"/>
      <c r="AF12" s="126"/>
      <c r="AG12" s="148" t="str">
        <f>IMAGE(AK79)</f>
        <v/>
      </c>
      <c r="AH12" s="155">
        <f>M12</f>
        <v>2</v>
      </c>
      <c r="AI12" s="126"/>
      <c r="AJ12" s="126"/>
      <c r="AK12" s="157">
        <f>O9</f>
        <v>104</v>
      </c>
      <c r="AL12" s="153"/>
      <c r="AM12" s="130"/>
    </row>
    <row r="13">
      <c r="A13" s="117" t="str">
        <f>IFERROR(__xludf.DUMMYFUNCTION("""COMPUTED_VALUE"""),"")</f>
        <v/>
      </c>
      <c r="B13" s="110" t="str">
        <f>IFERROR(__xludf.DUMMYFUNCTION("""COMPUTED_VALUE"""),"Master Commander")</f>
        <v>Master Commander</v>
      </c>
      <c r="C13" s="119">
        <f>IFERROR(__xludf.DUMMYFUNCTION("""COMPUTED_VALUE"""),1.1111765023613986)</f>
        <v>1.111176502</v>
      </c>
      <c r="D13" s="121">
        <f>IFERROR(__xludf.DUMMYFUNCTION("""COMPUTED_VALUE"""),2.0)</f>
        <v>2</v>
      </c>
      <c r="E13" s="134" t="s">
        <v>399</v>
      </c>
      <c r="G13" s="160">
        <f>R70</f>
        <v>1.081061239</v>
      </c>
      <c r="H13" s="161"/>
      <c r="I13" s="134" t="s">
        <v>399</v>
      </c>
      <c r="K13" s="134" t="s">
        <v>399</v>
      </c>
      <c r="M13" s="162">
        <f>R79</f>
        <v>1.111176502</v>
      </c>
      <c r="N13" s="161"/>
      <c r="O13" s="134" t="s">
        <v>399</v>
      </c>
      <c r="R13" s="110"/>
      <c r="S13" s="138"/>
      <c r="T13" s="148" t="str">
        <f>IMAGE(AK71)</f>
        <v/>
      </c>
      <c r="U13" s="150">
        <f>E16</f>
        <v>1</v>
      </c>
      <c r="V13" s="126"/>
      <c r="W13" s="148" t="str">
        <f>IMAGE(AK72)</f>
        <v/>
      </c>
      <c r="X13" s="150">
        <f>G16</f>
        <v>1</v>
      </c>
      <c r="Y13" s="126"/>
      <c r="Z13" s="148" t="str">
        <f>IMAGE(AK73)</f>
        <v/>
      </c>
      <c r="AA13" s="163">
        <f>I16</f>
        <v>0</v>
      </c>
      <c r="AB13" s="126"/>
      <c r="AC13" s="126"/>
      <c r="AD13" s="148" t="str">
        <f>IMAGE(AK80)</f>
        <v/>
      </c>
      <c r="AE13" s="155">
        <f>K16</f>
        <v>7</v>
      </c>
      <c r="AF13" s="126"/>
      <c r="AG13" s="148" t="str">
        <f>IMAGE(AK81)</f>
        <v/>
      </c>
      <c r="AH13" s="155">
        <f>M16</f>
        <v>1</v>
      </c>
      <c r="AI13" s="126"/>
      <c r="AJ13" s="148" t="str">
        <f>IMAGE(AK82)</f>
        <v/>
      </c>
      <c r="AK13" s="164">
        <f>O16</f>
        <v>0</v>
      </c>
      <c r="AM13" s="130"/>
    </row>
    <row r="14">
      <c r="A14" s="117" t="str">
        <f>IFERROR(__xludf.DUMMYFUNCTION("""COMPUTED_VALUE"""),"")</f>
        <v/>
      </c>
      <c r="B14" s="110" t="str">
        <f>IFERROR(__xludf.DUMMYFUNCTION("""COMPUTED_VALUE"""),"Heroic Might")</f>
        <v>Heroic Might</v>
      </c>
      <c r="C14" s="119">
        <f>IFERROR(__xludf.DUMMYFUNCTION("""COMPUTED_VALUE"""),1.1109295102044778)</f>
        <v>1.11092951</v>
      </c>
      <c r="D14" s="121">
        <f>IFERROR(__xludf.DUMMYFUNCTION("""COMPUTED_VALUE"""),2.0)</f>
        <v>2</v>
      </c>
      <c r="E14" s="134" t="s">
        <v>399</v>
      </c>
      <c r="G14" s="134" t="str">
        <f>IF(AND(I9 &lt; 3,I9 &gt; 0),CONCATENATE(3-I9," SP REQ"),"|||")</f>
        <v>|||</v>
      </c>
      <c r="I14" s="134" t="s">
        <v>399</v>
      </c>
      <c r="K14" s="134" t="s">
        <v>399</v>
      </c>
      <c r="M14" s="134" t="str">
        <f>IF(AND(O9 &lt; 3,O9 &gt; 0),CONCATENATE(3-O9," SP REQ"),"|||")</f>
        <v>|||</v>
      </c>
      <c r="O14" s="134" t="s">
        <v>399</v>
      </c>
      <c r="R14" s="110"/>
      <c r="S14" s="138"/>
      <c r="T14" s="148" t="str">
        <f>IMAGE(AK74)</f>
        <v/>
      </c>
      <c r="U14" s="166">
        <f>E20</f>
        <v>19</v>
      </c>
      <c r="V14" s="126"/>
      <c r="W14" s="148" t="str">
        <f>IMAGE(AK75)</f>
        <v/>
      </c>
      <c r="X14" s="150">
        <f>G20</f>
        <v>1</v>
      </c>
      <c r="Y14" s="126"/>
      <c r="Z14" s="148" t="str">
        <f>IMAGE(AK76)</f>
        <v/>
      </c>
      <c r="AA14" s="150">
        <f>I20</f>
        <v>0</v>
      </c>
      <c r="AB14" s="126"/>
      <c r="AC14" s="126"/>
      <c r="AD14" s="148" t="str">
        <f>IMAGE(AK83)</f>
        <v/>
      </c>
      <c r="AE14" s="155">
        <f>K20</f>
        <v>14</v>
      </c>
      <c r="AF14" s="126"/>
      <c r="AG14" s="148" t="str">
        <f>IMAGE(AK84)</f>
        <v/>
      </c>
      <c r="AH14" s="155">
        <f>M20</f>
        <v>1</v>
      </c>
      <c r="AI14" s="126"/>
      <c r="AJ14" s="148" t="str">
        <f>IMAGE(AK85)</f>
        <v/>
      </c>
      <c r="AK14" s="155">
        <f>O20</f>
        <v>0</v>
      </c>
      <c r="AM14" s="130"/>
    </row>
    <row r="15">
      <c r="A15" s="117" t="str">
        <f>IFERROR(__xludf.DUMMYFUNCTION("""COMPUTED_VALUE"""),"")</f>
        <v/>
      </c>
      <c r="B15" s="110" t="str">
        <f>IFERROR(__xludf.DUMMYFUNCTION("""COMPUTED_VALUE"""),"Master Thief")</f>
        <v>Master Thief</v>
      </c>
      <c r="C15" s="119">
        <f>IFERROR(__xludf.DUMMYFUNCTION("""COMPUTED_VALUE"""),1.1061914730916649)</f>
        <v>1.106191473</v>
      </c>
      <c r="D15" s="121">
        <f>IFERROR(__xludf.DUMMYFUNCTION("""COMPUTED_VALUE"""),8.0)</f>
        <v>8</v>
      </c>
      <c r="E15" s="167" t="str">
        <f>G71</f>
        <v>Chivalric Order</v>
      </c>
      <c r="F15" s="136" t="s">
        <v>148</v>
      </c>
      <c r="G15" s="167" t="str">
        <f>G72</f>
        <v>Pet Evolution</v>
      </c>
      <c r="H15" s="136" t="s">
        <v>148</v>
      </c>
      <c r="I15" s="135" t="str">
        <f>G73</f>
        <v>Heart of Midas</v>
      </c>
      <c r="J15" s="136" t="s">
        <v>148</v>
      </c>
      <c r="K15" s="167" t="str">
        <f>G80</f>
        <v>Spoils of War</v>
      </c>
      <c r="L15" s="136" t="s">
        <v>148</v>
      </c>
      <c r="M15" s="167" t="str">
        <f>G81</f>
        <v>Heroic Might</v>
      </c>
      <c r="N15" s="136" t="s">
        <v>148</v>
      </c>
      <c r="O15" s="167" t="str">
        <f>G82</f>
        <v>Aerial Assault</v>
      </c>
      <c r="P15" s="136" t="s">
        <v>406</v>
      </c>
      <c r="R15" s="110"/>
      <c r="S15" s="138"/>
      <c r="T15" s="148" t="str">
        <f>IMAGE(AK77)</f>
        <v/>
      </c>
      <c r="U15" s="150">
        <f>E24</f>
        <v>0</v>
      </c>
      <c r="V15" s="126"/>
      <c r="W15" s="168"/>
      <c r="X15" s="126"/>
      <c r="Y15" s="126"/>
      <c r="Z15" s="148" t="str">
        <f>IMAGE(AK78)</f>
        <v/>
      </c>
      <c r="AA15" s="150">
        <f>I24</f>
        <v>0</v>
      </c>
      <c r="AB15" s="126"/>
      <c r="AC15" s="126"/>
      <c r="AD15" s="148" t="str">
        <f>IMAGE(AK86)</f>
        <v/>
      </c>
      <c r="AE15" s="155">
        <f>K24</f>
        <v>0</v>
      </c>
      <c r="AF15" s="126"/>
      <c r="AG15" s="168"/>
      <c r="AH15" s="126"/>
      <c r="AI15" s="126"/>
      <c r="AJ15" s="148" t="str">
        <f>IMAGE(AK87)</f>
        <v/>
      </c>
      <c r="AK15" s="155">
        <f>O24</f>
        <v>0</v>
      </c>
      <c r="AM15" s="130"/>
    </row>
    <row r="16">
      <c r="A16" s="117" t="str">
        <f>IFERROR(__xludf.DUMMYFUNCTION("""COMPUTED_VALUE"""),"")</f>
        <v/>
      </c>
      <c r="B16" s="110" t="str">
        <f>IFERROR(__xludf.DUMMYFUNCTION("""COMPUTED_VALUE"""),"Shadow Assassin")</f>
        <v>Shadow Assassin</v>
      </c>
      <c r="C16" s="119">
        <f>IFERROR(__xludf.DUMMYFUNCTION("""COMPUTED_VALUE"""),1.1037205338828775)</f>
        <v>1.103720534</v>
      </c>
      <c r="D16" s="121">
        <f>IFERROR(__xludf.DUMMYFUNCTION("""COMPUTED_VALUE"""),5.0)</f>
        <v>5</v>
      </c>
      <c r="E16" s="143">
        <v>1.0</v>
      </c>
      <c r="F16" s="144"/>
      <c r="G16" s="143">
        <v>1.0</v>
      </c>
      <c r="H16" s="144"/>
      <c r="I16" s="143">
        <v>0.0</v>
      </c>
      <c r="J16" s="144"/>
      <c r="K16" s="146">
        <v>7.0</v>
      </c>
      <c r="L16" s="144"/>
      <c r="M16" s="146">
        <v>1.0</v>
      </c>
      <c r="N16" s="144"/>
      <c r="O16" s="146">
        <v>0.0</v>
      </c>
      <c r="P16" s="144"/>
      <c r="R16" s="110"/>
      <c r="S16" s="138"/>
      <c r="T16" s="168"/>
      <c r="U16" s="126"/>
      <c r="V16" s="126"/>
      <c r="W16" s="168"/>
      <c r="X16" s="126"/>
      <c r="Y16" s="126"/>
      <c r="Z16" s="168"/>
      <c r="AA16" s="126"/>
      <c r="AB16" s="126"/>
      <c r="AC16" s="126"/>
      <c r="AD16" s="168"/>
      <c r="AE16" s="126"/>
      <c r="AF16" s="126"/>
      <c r="AG16" s="168"/>
      <c r="AH16" s="126"/>
      <c r="AI16" s="126"/>
      <c r="AJ16" s="168"/>
      <c r="AK16" s="126"/>
      <c r="AM16" s="130"/>
    </row>
    <row r="17">
      <c r="A17" s="117" t="str">
        <f>IFERROR(__xludf.DUMMYFUNCTION("""COMPUTED_VALUE"""),"")</f>
        <v/>
      </c>
      <c r="B17" s="110" t="str">
        <f>IFERROR(__xludf.DUMMYFUNCTION("""COMPUTED_VALUE"""),"Assassinate")</f>
        <v>Assassinate</v>
      </c>
      <c r="C17" s="119">
        <f>IFERROR(__xludf.DUMMYFUNCTION("""COMPUTED_VALUE"""),1.100128507514435)</f>
        <v>1.100128508</v>
      </c>
      <c r="D17" s="121">
        <f>IFERROR(__xludf.DUMMYFUNCTION("""COMPUTED_VALUE"""),6.0)</f>
        <v>6</v>
      </c>
      <c r="E17" s="173">
        <f>R71</f>
        <v>1.021154724</v>
      </c>
      <c r="F17" s="161"/>
      <c r="G17" s="162">
        <f>R72</f>
        <v>1</v>
      </c>
      <c r="H17" s="161"/>
      <c r="I17" s="173">
        <f>R73</f>
        <v>1</v>
      </c>
      <c r="J17" s="161"/>
      <c r="K17" s="174">
        <f>R80</f>
        <v>1.166054059</v>
      </c>
      <c r="L17" s="161"/>
      <c r="M17" s="173">
        <f>R81</f>
        <v>1.11092951</v>
      </c>
      <c r="N17" s="161"/>
      <c r="O17" s="173">
        <f>R82</f>
        <v>1</v>
      </c>
      <c r="P17" s="161"/>
      <c r="R17" s="110"/>
      <c r="S17" s="138"/>
      <c r="T17" s="168"/>
      <c r="U17" s="126"/>
      <c r="V17" s="126"/>
      <c r="W17" s="148" t="str">
        <f>IMAGE(AK88)</f>
        <v/>
      </c>
      <c r="X17" s="175">
        <f>G31</f>
        <v>2</v>
      </c>
      <c r="Y17" s="126"/>
      <c r="Z17" s="168"/>
      <c r="AA17" s="177">
        <f>I28</f>
        <v>1108</v>
      </c>
      <c r="AB17" s="153"/>
      <c r="AC17" s="178"/>
      <c r="AD17" s="168"/>
      <c r="AE17" s="126"/>
      <c r="AF17" s="126"/>
      <c r="AG17" s="148" t="str">
        <f>IMAGE(AK98)</f>
        <v/>
      </c>
      <c r="AH17" s="179">
        <f>M31</f>
        <v>11</v>
      </c>
      <c r="AI17" s="126"/>
      <c r="AJ17" s="168"/>
      <c r="AK17" s="181">
        <f>O28</f>
        <v>87</v>
      </c>
      <c r="AL17" s="153"/>
      <c r="AM17" s="130"/>
    </row>
    <row r="18">
      <c r="A18" s="117" t="str">
        <f>IFERROR(__xludf.DUMMYFUNCTION("""COMPUTED_VALUE"""),"")</f>
        <v/>
      </c>
      <c r="B18" s="110" t="str">
        <f>IFERROR(__xludf.DUMMYFUNCTION("""COMPUTED_VALUE"""),"Cleaving Strike")</f>
        <v>Cleaving Strike</v>
      </c>
      <c r="C18" s="119">
        <f>IFERROR(__xludf.DUMMYFUNCTION("""COMPUTED_VALUE"""),1.0983444867994714)</f>
        <v>1.098344487</v>
      </c>
      <c r="D18" s="121">
        <f>IFERROR(__xludf.DUMMYFUNCTION("""COMPUTED_VALUE"""),28.0)</f>
        <v>28</v>
      </c>
      <c r="E18" s="134" t="s">
        <v>399</v>
      </c>
      <c r="G18" s="134" t="str">
        <f>IF(AND(I9 &lt; 20,I9 &gt; 0),CONCATENATE(20-I9," SP REQ"),"|||")</f>
        <v>|||</v>
      </c>
      <c r="I18" s="134" t="s">
        <v>399</v>
      </c>
      <c r="K18" s="134" t="s">
        <v>399</v>
      </c>
      <c r="M18" s="134" t="str">
        <f>IF(AND(O9 &lt; 20,O9 &gt; 0),CONCATENATE(20-O9," SP REQ"),"|||")</f>
        <v>|||</v>
      </c>
      <c r="O18" s="134" t="s">
        <v>399</v>
      </c>
      <c r="R18" s="110"/>
      <c r="S18" s="138"/>
      <c r="T18" s="148" t="str">
        <f>IMAGE(AK89)</f>
        <v/>
      </c>
      <c r="U18" s="175">
        <f>E35</f>
        <v>20</v>
      </c>
      <c r="V18" s="126"/>
      <c r="W18" s="148" t="str">
        <f>IMAGE(AK90)</f>
        <v/>
      </c>
      <c r="X18" s="175">
        <f>G35</f>
        <v>0</v>
      </c>
      <c r="Y18" s="126"/>
      <c r="Z18" s="148" t="str">
        <f>IMAGE(AK91)</f>
        <v/>
      </c>
      <c r="AA18" s="184">
        <f>I35</f>
        <v>25</v>
      </c>
      <c r="AB18" s="126"/>
      <c r="AC18" s="126"/>
      <c r="AD18" s="148" t="str">
        <f>IMAGE(AK99)</f>
        <v/>
      </c>
      <c r="AE18" s="179">
        <f>K35</f>
        <v>9</v>
      </c>
      <c r="AF18" s="126"/>
      <c r="AG18" s="148" t="str">
        <f>IMAGE(AK100)</f>
        <v/>
      </c>
      <c r="AH18" s="179">
        <f>M35</f>
        <v>0</v>
      </c>
      <c r="AI18" s="126"/>
      <c r="AJ18" s="148" t="str">
        <f>IMAGE(AK101)</f>
        <v/>
      </c>
      <c r="AK18" s="185">
        <f>O35</f>
        <v>1</v>
      </c>
      <c r="AM18" s="130"/>
    </row>
    <row r="19">
      <c r="A19" s="117" t="str">
        <f>IFERROR(__xludf.DUMMYFUNCTION("""COMPUTED_VALUE"""),"")</f>
        <v/>
      </c>
      <c r="B19" s="110" t="str">
        <f>IFERROR(__xludf.DUMMYFUNCTION("""COMPUTED_VALUE"""),"Midas Ultimate")</f>
        <v>Midas Ultimate</v>
      </c>
      <c r="C19" s="119">
        <f>IFERROR(__xludf.DUMMYFUNCTION("""COMPUTED_VALUE"""),1.0881920727909524)</f>
        <v>1.088192073</v>
      </c>
      <c r="D19" s="121">
        <f>IFERROR(__xludf.DUMMYFUNCTION("""COMPUTED_VALUE"""),28.0)</f>
        <v>28</v>
      </c>
      <c r="E19" s="135" t="str">
        <f>G74</f>
        <v>Cleaving Strike</v>
      </c>
      <c r="F19" s="136" t="s">
        <v>148</v>
      </c>
      <c r="G19" s="167" t="str">
        <f>G75</f>
        <v>Summon Inferno</v>
      </c>
      <c r="H19" s="136" t="s">
        <v>148</v>
      </c>
      <c r="I19" s="186" t="str">
        <f>IF(I20&gt;1,"LightBur count:"&amp;L76,G76)</f>
        <v>Lightning Burst</v>
      </c>
      <c r="J19" s="187" t="s">
        <v>148</v>
      </c>
      <c r="K19" s="135" t="str">
        <f>G83</f>
        <v>Tactical Insight</v>
      </c>
      <c r="L19" s="136" t="s">
        <v>148</v>
      </c>
      <c r="M19" s="188" t="s">
        <v>208</v>
      </c>
      <c r="N19" s="136" t="s">
        <v>148</v>
      </c>
      <c r="O19" s="167" t="str">
        <f>G85</f>
        <v>Coordinated Offensive</v>
      </c>
      <c r="P19" s="136" t="s">
        <v>406</v>
      </c>
      <c r="S19" s="138"/>
      <c r="T19" s="148" t="str">
        <f>IMAGE(AK92)</f>
        <v/>
      </c>
      <c r="U19" s="175">
        <f>E39</f>
        <v>1</v>
      </c>
      <c r="V19" s="126"/>
      <c r="W19" s="148" t="str">
        <f>IMAGE(AK93)</f>
        <v/>
      </c>
      <c r="X19" s="175">
        <f>G39</f>
        <v>0</v>
      </c>
      <c r="Y19" s="126"/>
      <c r="Z19" s="148" t="str">
        <f>IMAGE(AK94)</f>
        <v/>
      </c>
      <c r="AA19" s="175">
        <f>I39</f>
        <v>1</v>
      </c>
      <c r="AB19" s="126"/>
      <c r="AC19" s="126"/>
      <c r="AD19" s="148" t="str">
        <f>IMAGE(AK102)</f>
        <v/>
      </c>
      <c r="AE19" s="179">
        <f>K39</f>
        <v>0</v>
      </c>
      <c r="AF19" s="126"/>
      <c r="AG19" s="148" t="str">
        <f>IMAGE(AK103)</f>
        <v/>
      </c>
      <c r="AH19" s="179">
        <f>M39</f>
        <v>0</v>
      </c>
      <c r="AI19" s="126"/>
      <c r="AJ19" s="148" t="str">
        <f>IMAGE(AK104)</f>
        <v/>
      </c>
      <c r="AK19" s="179">
        <f>O39</f>
        <v>6</v>
      </c>
      <c r="AM19" s="130"/>
    </row>
    <row r="20">
      <c r="A20" s="117" t="str">
        <f>IFERROR(__xludf.DUMMYFUNCTION("""COMPUTED_VALUE"""),"")</f>
        <v/>
      </c>
      <c r="B20" s="110" t="str">
        <f>IFERROR(__xludf.DUMMYFUNCTION("""COMPUTED_VALUE"""),"Knight's Valor")</f>
        <v>Knight's Valor</v>
      </c>
      <c r="C20" s="119">
        <f>IFERROR(__xludf.DUMMYFUNCTION("""COMPUTED_VALUE"""),1.0810612385608838)</f>
        <v>1.081061239</v>
      </c>
      <c r="D20" s="121">
        <f>IFERROR(__xludf.DUMMYFUNCTION("""COMPUTED_VALUE"""),5.0)</f>
        <v>5</v>
      </c>
      <c r="E20" s="143">
        <v>19.0</v>
      </c>
      <c r="F20" s="73"/>
      <c r="G20" s="143">
        <v>1.0</v>
      </c>
      <c r="H20" s="144"/>
      <c r="I20" s="143">
        <v>0.0</v>
      </c>
      <c r="J20" s="144"/>
      <c r="K20" s="146">
        <v>14.0</v>
      </c>
      <c r="L20" s="144"/>
      <c r="M20" s="146">
        <v>1.0</v>
      </c>
      <c r="N20" s="144"/>
      <c r="O20" s="146">
        <v>0.0</v>
      </c>
      <c r="P20" s="144"/>
      <c r="S20" s="138"/>
      <c r="T20" s="148" t="str">
        <f>IMAGE(AK95)</f>
        <v/>
      </c>
      <c r="U20" s="175">
        <f>E43</f>
        <v>0</v>
      </c>
      <c r="V20" s="126"/>
      <c r="W20" s="148" t="str">
        <f>IMAGE(AK96)</f>
        <v/>
      </c>
      <c r="X20" s="175">
        <f>G43</f>
        <v>0</v>
      </c>
      <c r="Y20" s="126"/>
      <c r="Z20" s="148" t="str">
        <f>IMAGE(AK97)</f>
        <v/>
      </c>
      <c r="AA20" s="175">
        <f>I43</f>
        <v>15</v>
      </c>
      <c r="AB20" s="126"/>
      <c r="AC20" s="126"/>
      <c r="AD20" s="126"/>
      <c r="AE20" s="126"/>
      <c r="AF20" s="126"/>
      <c r="AG20" s="126"/>
      <c r="AH20" s="126"/>
      <c r="AI20" s="126"/>
      <c r="AJ20" s="126"/>
      <c r="AK20" s="126"/>
      <c r="AM20" s="130"/>
    </row>
    <row r="21" ht="10.5" customHeight="1">
      <c r="A21" s="117" t="str">
        <f>IFERROR(__xludf.DUMMYFUNCTION("""COMPUTED_VALUE"""),"")</f>
        <v/>
      </c>
      <c r="B21" s="110" t="str">
        <f>IFERROR(__xludf.DUMMYFUNCTION("""COMPUTED_VALUE"""),"Fairy Charm")</f>
        <v>Fairy Charm</v>
      </c>
      <c r="C21" s="119">
        <f>IFERROR(__xludf.DUMMYFUNCTION("""COMPUTED_VALUE"""),1.0717734625362931)</f>
        <v>1.071773463</v>
      </c>
      <c r="D21" s="121">
        <f>IFERROR(__xludf.DUMMYFUNCTION("""COMPUTED_VALUE"""),2.0)</f>
        <v>2</v>
      </c>
      <c r="E21" s="173">
        <f>R74</f>
        <v>1.098344487</v>
      </c>
      <c r="F21" s="161"/>
      <c r="G21" s="173">
        <f>R75</f>
        <v>1.125093224</v>
      </c>
      <c r="H21" s="161"/>
      <c r="I21" s="173">
        <f>R76</f>
        <v>1</v>
      </c>
      <c r="J21" s="161"/>
      <c r="K21" s="173">
        <f>R83</f>
        <v>1.120935792</v>
      </c>
      <c r="L21" s="161"/>
      <c r="M21" s="173">
        <f>R84</f>
        <v>1.048841932</v>
      </c>
      <c r="N21" s="161"/>
      <c r="O21" s="173">
        <f>R85</f>
        <v>1</v>
      </c>
      <c r="P21" s="161"/>
      <c r="S21" s="191"/>
      <c r="T21" s="192"/>
      <c r="U21" s="192"/>
      <c r="V21" s="192"/>
      <c r="W21" s="192"/>
      <c r="X21" s="192"/>
      <c r="Y21" s="192"/>
      <c r="Z21" s="192"/>
      <c r="AA21" s="192"/>
      <c r="AB21" s="192"/>
      <c r="AC21" s="192"/>
      <c r="AD21" s="192"/>
      <c r="AE21" s="192"/>
      <c r="AF21" s="192"/>
      <c r="AG21" s="192"/>
      <c r="AH21" s="192"/>
      <c r="AI21" s="192"/>
      <c r="AJ21" s="192"/>
      <c r="AK21" s="192"/>
      <c r="AL21" s="192"/>
      <c r="AM21" s="193" t="s">
        <v>424</v>
      </c>
    </row>
    <row r="22">
      <c r="A22" s="117" t="str">
        <f>IFERROR(__xludf.DUMMYFUNCTION("""COMPUTED_VALUE"""),"")</f>
        <v/>
      </c>
      <c r="B22" s="110" t="str">
        <f>IFERROR(__xludf.DUMMYFUNCTION("""COMPUTED_VALUE"""),"Searing Light")</f>
        <v>Searing Light</v>
      </c>
      <c r="C22" s="119">
        <f>IFERROR(__xludf.DUMMYFUNCTION("""COMPUTED_VALUE"""),1.0488419318853408)</f>
        <v>1.048841932</v>
      </c>
      <c r="D22" s="121">
        <f>IFERROR(__xludf.DUMMYFUNCTION("""COMPUTED_VALUE"""),2.0)</f>
        <v>2</v>
      </c>
      <c r="E22" s="134" t="s">
        <v>399</v>
      </c>
      <c r="G22" s="132" t="str">
        <f>IF(AND(I9 &lt; 50,I9 &gt; 0),CONCATENATE(50-I9," SP REQ"),"")</f>
        <v/>
      </c>
      <c r="I22" s="134" t="s">
        <v>399</v>
      </c>
      <c r="K22" s="134" t="s">
        <v>399</v>
      </c>
      <c r="M22" s="132" t="str">
        <f>IF(AND(O9 &lt; 50,O9 &gt; 0),CONCATENATE(50-O9," SP REQ"),"")</f>
        <v/>
      </c>
      <c r="O22" s="134" t="s">
        <v>399</v>
      </c>
    </row>
    <row r="23">
      <c r="A23" s="117" t="str">
        <f>IFERROR(__xludf.DUMMYFUNCTION("""COMPUTED_VALUE"""),"")</f>
        <v/>
      </c>
      <c r="B23" s="110" t="str">
        <f>IFERROR(__xludf.DUMMYFUNCTION("""COMPUTED_VALUE"""),"Eternal Darkness")</f>
        <v>Eternal Darkness</v>
      </c>
      <c r="C23" s="119">
        <f>IFERROR(__xludf.DUMMYFUNCTION("""COMPUTED_VALUE"""),1.0468802349768656)</f>
        <v>1.046880235</v>
      </c>
      <c r="D23" s="121">
        <f>IFERROR(__xludf.DUMMYFUNCTION("""COMPUTED_VALUE"""),2.0)</f>
        <v>2</v>
      </c>
      <c r="E23" s="167" t="str">
        <f>G77</f>
        <v>Barbaric Fury</v>
      </c>
      <c r="F23" s="136" t="s">
        <v>406</v>
      </c>
      <c r="G23" s="132"/>
      <c r="I23" s="167" t="str">
        <f>G78</f>
        <v>Flash Zip</v>
      </c>
      <c r="J23" s="136" t="s">
        <v>148</v>
      </c>
      <c r="K23" s="167" t="str">
        <f>G86</f>
        <v>Astral Awakening</v>
      </c>
      <c r="L23" s="136" t="s">
        <v>406</v>
      </c>
      <c r="M23" s="132"/>
      <c r="O23" s="167" t="str">
        <f>G87</f>
        <v>Anchoring Shot</v>
      </c>
      <c r="P23" s="136" t="s">
        <v>406</v>
      </c>
      <c r="R23" s="3"/>
      <c r="S23" s="113" t="s">
        <v>428</v>
      </c>
      <c r="T23" s="114"/>
      <c r="U23" s="114"/>
      <c r="V23" s="114"/>
      <c r="W23" s="114"/>
      <c r="X23" s="114"/>
      <c r="Y23" s="114"/>
      <c r="Z23" s="114"/>
      <c r="AA23" s="114"/>
      <c r="AB23" s="114"/>
      <c r="AC23" s="114"/>
      <c r="AD23" s="114"/>
      <c r="AE23" s="114"/>
      <c r="AF23" s="114"/>
      <c r="AG23" s="114"/>
      <c r="AH23" s="114"/>
      <c r="AI23" s="114"/>
      <c r="AJ23" s="114"/>
      <c r="AK23" s="114"/>
      <c r="AL23" s="114"/>
      <c r="AM23" s="115"/>
      <c r="AN23" s="195"/>
      <c r="AO23" s="195"/>
      <c r="AP23" s="195"/>
    </row>
    <row r="24">
      <c r="A24" s="117" t="str">
        <f>IFERROR(__xludf.DUMMYFUNCTION("""COMPUTED_VALUE"""),"")</f>
        <v/>
      </c>
      <c r="B24" s="110" t="str">
        <f>IFERROR(__xludf.DUMMYFUNCTION("""COMPUTED_VALUE"""),"Ambush")</f>
        <v>Ambush</v>
      </c>
      <c r="C24" s="119">
        <f>IFERROR(__xludf.DUMMYFUNCTION("""COMPUTED_VALUE"""),1.0352649238413776)</f>
        <v>1.035264924</v>
      </c>
      <c r="D24" s="121">
        <f>IFERROR(__xludf.DUMMYFUNCTION("""COMPUTED_VALUE"""),2.0)</f>
        <v>2</v>
      </c>
      <c r="E24" s="143">
        <v>0.0</v>
      </c>
      <c r="F24" s="144"/>
      <c r="G24" s="197"/>
      <c r="I24" s="143">
        <v>0.0</v>
      </c>
      <c r="J24" s="144"/>
      <c r="K24" s="146">
        <v>0.0</v>
      </c>
      <c r="L24" s="144"/>
      <c r="M24" s="197"/>
      <c r="O24" s="146">
        <v>0.0</v>
      </c>
      <c r="P24" s="144"/>
      <c r="R24" s="3"/>
      <c r="S24" s="198" t="str">
        <f>I106</f>
        <v>7KV/1COr/1EV/19CS/1SI/2MC/7SoW/1HM/14TI/1SL/2LB/20MU/25PV/1FC/1ED/15DSh/11MT/9AS/1AM/6SA/</v>
      </c>
      <c r="AM24" s="130"/>
      <c r="AN24" s="195"/>
      <c r="AO24" s="195"/>
      <c r="AP24" s="195"/>
    </row>
    <row r="25">
      <c r="A25" s="117" t="str">
        <f>IFERROR(__xludf.DUMMYFUNCTION("""COMPUTED_VALUE"""),"")</f>
        <v/>
      </c>
      <c r="B25" s="110" t="str">
        <f>IFERROR(__xludf.DUMMYFUNCTION("""COMPUTED_VALUE"""),"Manni Mana")</f>
        <v>Manni Mana</v>
      </c>
      <c r="C25" s="119">
        <f>IFERROR(__xludf.DUMMYFUNCTION("""COMPUTED_VALUE"""),1.023373891996775)</f>
        <v>1.023373892</v>
      </c>
      <c r="D25" s="121">
        <f>IFERROR(__xludf.DUMMYFUNCTION("""COMPUTED_VALUE"""),3.0)</f>
        <v>3</v>
      </c>
      <c r="E25" s="173">
        <f>R77</f>
        <v>1</v>
      </c>
      <c r="F25" s="161"/>
      <c r="I25" s="173">
        <f>R78</f>
        <v>1</v>
      </c>
      <c r="J25" s="161"/>
      <c r="K25" s="173">
        <f>R86</f>
        <v>1</v>
      </c>
      <c r="L25" s="161"/>
      <c r="O25" s="173">
        <f>R87</f>
        <v>1</v>
      </c>
      <c r="P25" s="161"/>
      <c r="R25" s="3"/>
      <c r="S25" s="199"/>
      <c r="AM25" s="130"/>
      <c r="AN25" s="195"/>
      <c r="AO25" s="195"/>
      <c r="AP25" s="195"/>
    </row>
    <row r="26">
      <c r="A26" s="117" t="str">
        <f>IFERROR(__xludf.DUMMYFUNCTION("""COMPUTED_VALUE"""),"")</f>
        <v/>
      </c>
      <c r="B26" s="110" t="str">
        <f>IFERROR(__xludf.DUMMYFUNCTION("""COMPUTED_VALUE"""),"Chivalric Order")</f>
        <v>Chivalric Order</v>
      </c>
      <c r="C26" s="200">
        <f>IFERROR(__xludf.DUMMYFUNCTION("""COMPUTED_VALUE"""),1.0211547235292064)</f>
        <v>1.021154724</v>
      </c>
      <c r="D26" s="201">
        <f>IFERROR(__xludf.DUMMYFUNCTION("""COMPUTED_VALUE"""),2.0)</f>
        <v>2</v>
      </c>
      <c r="J26" s="76"/>
      <c r="O26" s="202" t="str">
        <f>if(I1="Ship Damage","First three ranks of AS will not boost dmg, recommend r5-r9",)</f>
        <v/>
      </c>
      <c r="Q26" s="1"/>
      <c r="R26" s="203"/>
      <c r="S26" s="204"/>
      <c r="T26" s="192"/>
      <c r="U26" s="192"/>
      <c r="V26" s="192"/>
      <c r="W26" s="192"/>
      <c r="X26" s="192"/>
      <c r="Y26" s="192"/>
      <c r="Z26" s="192"/>
      <c r="AA26" s="192"/>
      <c r="AB26" s="192"/>
      <c r="AC26" s="192"/>
      <c r="AD26" s="192"/>
      <c r="AE26" s="192"/>
      <c r="AF26" s="192"/>
      <c r="AG26" s="192"/>
      <c r="AH26" s="192"/>
      <c r="AI26" s="192"/>
      <c r="AJ26" s="192"/>
      <c r="AK26" s="192"/>
      <c r="AL26" s="192"/>
      <c r="AM26" s="205"/>
      <c r="AN26" s="3"/>
      <c r="AO26" s="3"/>
      <c r="AP26" s="3"/>
    </row>
    <row r="27">
      <c r="A27" s="117" t="str">
        <f>IFERROR(__xludf.DUMMYFUNCTION("""COMPUTED_VALUE"""),"")</f>
        <v/>
      </c>
      <c r="B27" s="110" t="str">
        <f>IFERROR(__xludf.DUMMYFUNCTION("""COMPUTED_VALUE"""),"Limit Break")</f>
        <v>Limit Break</v>
      </c>
      <c r="C27" s="200">
        <f>IFERROR(__xludf.DUMMYFUNCTION("""COMPUTED_VALUE"""),1.0101881773459105)</f>
        <v>1.010188177</v>
      </c>
      <c r="D27" s="201">
        <f>IFERROR(__xludf.DUMMYFUNCTION("""COMPUTED_VALUE"""),2.0)</f>
        <v>2</v>
      </c>
      <c r="Q27" s="1"/>
      <c r="R27" s="203"/>
      <c r="S27" s="3"/>
      <c r="T27" s="3"/>
      <c r="U27" s="3"/>
      <c r="V27" s="3"/>
      <c r="W27" s="3"/>
      <c r="X27" s="3"/>
      <c r="Y27" s="195"/>
      <c r="Z27" s="195"/>
      <c r="AA27" s="195"/>
      <c r="AB27" s="195"/>
      <c r="AC27" s="195"/>
      <c r="AD27" s="195"/>
      <c r="AE27" s="195"/>
      <c r="AF27" s="3"/>
      <c r="AG27" s="3"/>
      <c r="AH27" s="206"/>
      <c r="AI27" s="195"/>
      <c r="AJ27" s="195"/>
      <c r="AK27" s="195"/>
      <c r="AL27" s="3"/>
      <c r="AM27" s="3"/>
      <c r="AN27" s="3"/>
      <c r="AO27" s="3"/>
      <c r="AP27" s="3"/>
    </row>
    <row r="28">
      <c r="A28" s="117"/>
      <c r="B28" s="110"/>
      <c r="C28" s="200"/>
      <c r="D28" s="201"/>
      <c r="E28" s="207" t="s">
        <v>434</v>
      </c>
      <c r="F28" s="11"/>
      <c r="G28" s="11"/>
      <c r="H28" s="11"/>
      <c r="I28" s="209">
        <f>SUM(O88:O97)</f>
        <v>1108</v>
      </c>
      <c r="J28" s="20"/>
      <c r="K28" s="211" t="s">
        <v>436</v>
      </c>
      <c r="L28" s="11"/>
      <c r="M28" s="11"/>
      <c r="N28" s="11"/>
      <c r="O28" s="213">
        <f>SUM(O98:O104)</f>
        <v>87</v>
      </c>
      <c r="P28" s="26"/>
      <c r="Q28" s="214"/>
      <c r="R28" s="215" t="s">
        <v>439</v>
      </c>
      <c r="S28" s="216"/>
      <c r="T28" s="216"/>
      <c r="U28" s="216"/>
      <c r="V28" s="216"/>
      <c r="W28" s="216"/>
      <c r="X28" s="216"/>
      <c r="Y28" s="216"/>
      <c r="Z28" s="216"/>
      <c r="AA28" s="216"/>
      <c r="AB28" s="216"/>
      <c r="AC28" s="216"/>
      <c r="AD28" s="216"/>
      <c r="AE28" s="216"/>
      <c r="AF28" s="216"/>
      <c r="AG28" s="216"/>
      <c r="AH28" s="216"/>
      <c r="AI28" s="216"/>
      <c r="AJ28" s="216"/>
      <c r="AK28" s="216"/>
      <c r="AL28" s="216"/>
      <c r="AM28" s="216"/>
      <c r="AN28" s="216"/>
      <c r="AO28" s="216"/>
      <c r="AP28" s="217"/>
    </row>
    <row r="29">
      <c r="A29" s="117"/>
      <c r="B29" s="110"/>
      <c r="C29" s="200"/>
      <c r="D29" s="201"/>
      <c r="E29" s="30"/>
      <c r="I29" s="218"/>
      <c r="K29" s="30"/>
      <c r="O29" s="219"/>
      <c r="P29" s="124"/>
      <c r="Q29" s="1"/>
      <c r="R29" s="220" t="s">
        <v>440</v>
      </c>
      <c r="X29" s="221" t="s">
        <v>443</v>
      </c>
      <c r="AC29" s="124"/>
      <c r="AD29" s="223" t="s">
        <v>445</v>
      </c>
      <c r="AH29" s="224" t="s">
        <v>443</v>
      </c>
    </row>
    <row r="30">
      <c r="A30" s="117"/>
      <c r="B30" s="110"/>
      <c r="C30" s="200"/>
      <c r="D30" s="201"/>
      <c r="E30" s="132"/>
      <c r="G30" s="135" t="str">
        <f>G88</f>
        <v>Limit Break</v>
      </c>
      <c r="H30" s="136" t="s">
        <v>148</v>
      </c>
      <c r="I30" s="134"/>
      <c r="K30" s="132"/>
      <c r="M30" s="135" t="str">
        <f>G98</f>
        <v>Master Thief</v>
      </c>
      <c r="N30" s="136" t="s">
        <v>148</v>
      </c>
      <c r="O30" s="134"/>
      <c r="Q30" s="1"/>
      <c r="R30" s="225"/>
      <c r="S30" s="226"/>
      <c r="T30" s="226"/>
      <c r="U30" s="227">
        <f>MATCH(X29,MyBuilds!A:A,0)</f>
        <v>11</v>
      </c>
      <c r="V30" s="226"/>
      <c r="W30" s="226"/>
      <c r="AC30" s="124"/>
      <c r="AD30" s="228" t="str">
        <f>"--------------------&gt;
click here to save you're current skill tree as: " &amp;AH29</f>
        <v>--------------------&gt;
click here to save you're current skill tree as: PetFairy</v>
      </c>
      <c r="AK30" s="227"/>
      <c r="AL30" s="226"/>
      <c r="AM30" s="230"/>
      <c r="AP30" s="124"/>
    </row>
    <row r="31">
      <c r="A31" s="117"/>
      <c r="B31" s="110"/>
      <c r="C31" s="200"/>
      <c r="D31" s="201"/>
      <c r="E31" s="142" t="s">
        <v>391</v>
      </c>
      <c r="G31" s="231">
        <v>2.0</v>
      </c>
      <c r="H31" s="144"/>
      <c r="I31" s="145" t="s">
        <v>449</v>
      </c>
      <c r="K31" s="142" t="s">
        <v>391</v>
      </c>
      <c r="M31" s="233">
        <v>11.0</v>
      </c>
      <c r="N31" s="144"/>
      <c r="O31" s="145" t="s">
        <v>450</v>
      </c>
      <c r="Q31" s="1"/>
      <c r="R31" s="225"/>
      <c r="S31" s="226"/>
      <c r="T31" s="226"/>
      <c r="U31" s="226"/>
      <c r="V31" s="226"/>
      <c r="W31" s="226"/>
      <c r="AC31" s="124"/>
      <c r="AK31" s="227"/>
      <c r="AL31" s="226"/>
      <c r="AM31" s="226"/>
      <c r="AN31" s="226"/>
      <c r="AO31" s="226"/>
      <c r="AP31" s="235"/>
    </row>
    <row r="32">
      <c r="A32" s="117"/>
      <c r="B32" s="110"/>
      <c r="C32" s="200"/>
      <c r="D32" s="201"/>
      <c r="E32" s="134" t="s">
        <v>399</v>
      </c>
      <c r="G32" s="173">
        <f>R88</f>
        <v>1.010188177</v>
      </c>
      <c r="H32" s="161"/>
      <c r="I32" s="134" t="s">
        <v>399</v>
      </c>
      <c r="K32" s="134" t="s">
        <v>399</v>
      </c>
      <c r="M32" s="173">
        <f>R98</f>
        <v>1.106191473</v>
      </c>
      <c r="N32" s="161"/>
      <c r="O32" s="134" t="s">
        <v>399</v>
      </c>
      <c r="Q32" s="1"/>
      <c r="R32" s="225"/>
      <c r="S32" s="226"/>
      <c r="T32" s="226"/>
      <c r="U32" s="226"/>
      <c r="V32" s="226"/>
      <c r="W32" s="226"/>
      <c r="AC32" s="124"/>
      <c r="AK32" s="227"/>
      <c r="AL32" s="226"/>
      <c r="AM32" s="226"/>
      <c r="AN32" s="226"/>
      <c r="AO32" s="226"/>
      <c r="AP32" s="235"/>
    </row>
    <row r="33">
      <c r="A33" s="117"/>
      <c r="B33" s="110"/>
      <c r="C33" s="200"/>
      <c r="D33" s="201"/>
      <c r="E33" s="134" t="s">
        <v>399</v>
      </c>
      <c r="G33" s="134" t="str">
        <f>IF(AND(I28 &lt; 3,I28 &gt; 0),CONCATENATE(3-I28," SP REQ"),"|||")</f>
        <v>|||</v>
      </c>
      <c r="I33" s="134" t="s">
        <v>399</v>
      </c>
      <c r="K33" s="134" t="s">
        <v>399</v>
      </c>
      <c r="M33" s="134" t="str">
        <f>IF(AND(O28 &lt; 3,O28 &gt; 0),CONCATENATE(3-O28," SP REQ"),"|||")</f>
        <v>|||</v>
      </c>
      <c r="O33" s="134" t="s">
        <v>451</v>
      </c>
      <c r="P33" s="237" t="s">
        <v>452</v>
      </c>
      <c r="Q33" s="238"/>
      <c r="R33" s="239"/>
      <c r="S33" s="240" t="s">
        <v>453</v>
      </c>
      <c r="T33" s="241"/>
      <c r="U33" s="241"/>
      <c r="V33" s="241"/>
      <c r="W33" s="241"/>
      <c r="X33" s="241"/>
      <c r="Y33" s="243"/>
      <c r="Z33" s="243"/>
      <c r="AA33" s="243"/>
      <c r="AB33" s="243"/>
      <c r="AC33" s="244"/>
      <c r="AD33" s="81"/>
      <c r="AE33" s="81"/>
      <c r="AF33" s="81"/>
      <c r="AG33" s="81"/>
      <c r="AH33" s="81"/>
      <c r="AI33" s="81"/>
      <c r="AJ33" s="81"/>
      <c r="AK33" s="243"/>
      <c r="AL33" s="241"/>
      <c r="AM33" s="241"/>
      <c r="AN33" s="241"/>
      <c r="AO33" s="241"/>
      <c r="AP33" s="245"/>
    </row>
    <row r="34" ht="13.5" customHeight="1">
      <c r="A34" s="117"/>
      <c r="B34" s="110"/>
      <c r="C34" s="200"/>
      <c r="D34" s="201"/>
      <c r="E34" s="167" t="str">
        <f>G89</f>
        <v>Midas Ultimate</v>
      </c>
      <c r="F34" s="136" t="s">
        <v>148</v>
      </c>
      <c r="G34" s="167" t="str">
        <f>IF(G35&gt;1,"AngRad skip:"&amp;L90,G90)</f>
        <v>Angelic Radiance</v>
      </c>
      <c r="H34" s="136" t="s">
        <v>148</v>
      </c>
      <c r="I34" s="167" t="str">
        <f>G91</f>
        <v>Phantom Vengeance</v>
      </c>
      <c r="J34" s="136" t="s">
        <v>148</v>
      </c>
      <c r="K34" s="167" t="str">
        <f>G99</f>
        <v>Assassinate</v>
      </c>
      <c r="L34" s="136" t="s">
        <v>148</v>
      </c>
      <c r="M34" s="167" t="str">
        <f>G100</f>
        <v>Silent March</v>
      </c>
      <c r="N34" s="136" t="s">
        <v>148</v>
      </c>
      <c r="O34" s="167" t="str">
        <f>G101</f>
        <v>Ambush</v>
      </c>
      <c r="P34" s="136" t="s">
        <v>148</v>
      </c>
      <c r="Q34" s="214" t="s">
        <v>457</v>
      </c>
      <c r="R34" s="6"/>
      <c r="Y34" s="249"/>
      <c r="Z34" s="249"/>
      <c r="AA34" s="249"/>
      <c r="AB34" s="249"/>
      <c r="AC34" s="249"/>
      <c r="AD34" s="249"/>
      <c r="AE34" s="249"/>
      <c r="AH34" s="250"/>
      <c r="AI34" s="249"/>
      <c r="AJ34" s="249"/>
      <c r="AK34" s="249"/>
      <c r="AP34" s="251" t="s">
        <v>458</v>
      </c>
    </row>
    <row r="35">
      <c r="A35" s="252"/>
      <c r="B35" s="110"/>
      <c r="C35" s="200"/>
      <c r="D35" s="201"/>
      <c r="E35" s="231">
        <v>20.0</v>
      </c>
      <c r="F35" s="144"/>
      <c r="G35" s="231">
        <v>0.0</v>
      </c>
      <c r="H35" s="144"/>
      <c r="I35" s="231">
        <v>25.0</v>
      </c>
      <c r="J35" s="144"/>
      <c r="K35" s="233">
        <v>9.0</v>
      </c>
      <c r="L35" s="144"/>
      <c r="M35" s="233">
        <v>0.0</v>
      </c>
      <c r="N35" s="144"/>
      <c r="O35" s="233">
        <v>1.0</v>
      </c>
      <c r="P35" s="144"/>
      <c r="Q35" s="214" t="s">
        <v>460</v>
      </c>
      <c r="R35" s="6"/>
      <c r="Y35" s="249"/>
      <c r="Z35" s="249"/>
      <c r="AA35" s="249"/>
      <c r="AB35" s="249"/>
      <c r="AD35" s="249"/>
      <c r="AE35" s="249"/>
      <c r="AH35" s="250"/>
      <c r="AI35" s="249"/>
      <c r="AJ35" s="249"/>
      <c r="AK35" s="249"/>
      <c r="AP35" s="251"/>
    </row>
    <row r="36">
      <c r="A36" s="117"/>
      <c r="B36" s="110"/>
      <c r="C36" s="254"/>
      <c r="D36" s="201"/>
      <c r="E36" s="174">
        <f>R89</f>
        <v>1.088192073</v>
      </c>
      <c r="F36" s="161"/>
      <c r="G36" s="174">
        <f>R90</f>
        <v>1</v>
      </c>
      <c r="H36" s="161"/>
      <c r="I36" s="174">
        <f>R91</f>
        <v>1</v>
      </c>
      <c r="J36" s="161"/>
      <c r="K36" s="173">
        <f>R99</f>
        <v>1.100128508</v>
      </c>
      <c r="L36" s="161"/>
      <c r="M36" s="173">
        <f>R100</f>
        <v>1</v>
      </c>
      <c r="N36" s="161"/>
      <c r="O36" s="174">
        <f>R101</f>
        <v>1.035264924</v>
      </c>
      <c r="P36" s="161"/>
      <c r="Q36" s="1"/>
      <c r="R36" s="6"/>
      <c r="Y36" s="249"/>
      <c r="Z36" s="249"/>
      <c r="AA36" s="249"/>
      <c r="AB36" s="249"/>
      <c r="AC36" s="249"/>
      <c r="AD36" s="249"/>
      <c r="AE36" s="249"/>
      <c r="AH36" s="250"/>
      <c r="AI36" s="249"/>
      <c r="AJ36" s="249"/>
      <c r="AK36" s="249"/>
    </row>
    <row r="37">
      <c r="A37" s="252"/>
      <c r="B37" s="110"/>
      <c r="C37" s="200"/>
      <c r="D37" s="201"/>
      <c r="E37" s="134" t="s">
        <v>399</v>
      </c>
      <c r="G37" s="134" t="str">
        <f>IF(AND(I28 &lt; 20,I28 &gt; 0),CONCATENATE(20-I28," SP REQ"),"|||")</f>
        <v>|||</v>
      </c>
      <c r="I37" s="134" t="s">
        <v>399</v>
      </c>
      <c r="K37" s="134" t="s">
        <v>399</v>
      </c>
      <c r="M37" s="134" t="str">
        <f>IF(AND(O28 &lt; 20,O28 &gt; 0),CONCATENATE(20-O28," SP REQ"),"|||")</f>
        <v>|||</v>
      </c>
      <c r="O37" s="134" t="s">
        <v>399</v>
      </c>
      <c r="Q37" s="1"/>
      <c r="R37" s="6"/>
      <c r="Y37" s="257"/>
      <c r="Z37" s="249"/>
      <c r="AA37" s="249"/>
      <c r="AB37" s="249"/>
      <c r="AC37" s="249"/>
      <c r="AD37" s="249"/>
      <c r="AE37" s="249"/>
      <c r="AH37" s="250"/>
      <c r="AI37" s="249"/>
      <c r="AJ37" s="249"/>
      <c r="AK37" s="249"/>
    </row>
    <row r="38">
      <c r="A38" s="117"/>
      <c r="B38" s="110"/>
      <c r="C38" s="200"/>
      <c r="D38" s="201"/>
      <c r="E38" s="135" t="str">
        <f>G92</f>
        <v>Fairy Charm</v>
      </c>
      <c r="F38" s="136" t="s">
        <v>148</v>
      </c>
      <c r="G38" s="167" t="str">
        <f>G93</f>
        <v>Mana Siphon</v>
      </c>
      <c r="H38" s="136" t="s">
        <v>148</v>
      </c>
      <c r="I38" s="167" t="str">
        <f>IF(I39&gt;1,"EterDark skip:"&amp;L94,G94)</f>
        <v>Eternal Darkness</v>
      </c>
      <c r="J38" s="136" t="s">
        <v>148</v>
      </c>
      <c r="K38" s="135" t="str">
        <f>G102</f>
        <v>Twilight's Veil</v>
      </c>
      <c r="L38" s="136" t="s">
        <v>148</v>
      </c>
      <c r="M38" s="167" t="str">
        <f>G103</f>
        <v>Ghost Ship</v>
      </c>
      <c r="N38" s="136" t="s">
        <v>148</v>
      </c>
      <c r="O38" s="167" t="str">
        <f>G104</f>
        <v>Shadow Assassin</v>
      </c>
      <c r="P38" s="136" t="s">
        <v>148</v>
      </c>
      <c r="Q38" s="214" t="s">
        <v>464</v>
      </c>
      <c r="R38" s="6"/>
      <c r="Y38" s="249"/>
      <c r="Z38" s="249"/>
      <c r="AA38" s="249"/>
      <c r="AB38" s="249"/>
      <c r="AC38" s="249"/>
      <c r="AD38" s="249"/>
      <c r="AE38" s="249"/>
      <c r="AH38" s="250"/>
      <c r="AI38" s="249"/>
      <c r="AJ38" s="249"/>
      <c r="AK38" s="249"/>
    </row>
    <row r="39">
      <c r="A39" s="117"/>
      <c r="B39" s="110"/>
      <c r="C39" s="200"/>
      <c r="D39" s="201"/>
      <c r="E39" s="231">
        <v>1.0</v>
      </c>
      <c r="F39" s="144"/>
      <c r="G39" s="231">
        <v>0.0</v>
      </c>
      <c r="H39" s="144"/>
      <c r="I39" s="231">
        <v>1.0</v>
      </c>
      <c r="J39" s="144"/>
      <c r="K39" s="233">
        <v>0.0</v>
      </c>
      <c r="L39" s="144"/>
      <c r="M39" s="233">
        <v>0.0</v>
      </c>
      <c r="N39" s="144"/>
      <c r="O39" s="233">
        <v>6.0</v>
      </c>
      <c r="P39" s="144"/>
      <c r="Q39" s="214" t="s">
        <v>467</v>
      </c>
      <c r="R39" s="260"/>
      <c r="Y39" s="249"/>
      <c r="Z39" s="249"/>
      <c r="AA39" s="249"/>
      <c r="AB39" s="249"/>
      <c r="AC39" s="249"/>
      <c r="AD39" s="249"/>
      <c r="AE39" s="249"/>
      <c r="AH39" s="250"/>
      <c r="AI39" s="249"/>
      <c r="AJ39" s="249"/>
      <c r="AK39" s="249"/>
    </row>
    <row r="40">
      <c r="A40" s="117"/>
      <c r="B40" s="110"/>
      <c r="C40" s="200"/>
      <c r="D40" s="201"/>
      <c r="E40" s="173">
        <f>R92</f>
        <v>1.071773463</v>
      </c>
      <c r="F40" s="161"/>
      <c r="G40" s="173">
        <f>R93</f>
        <v>0.683830552</v>
      </c>
      <c r="H40" s="161"/>
      <c r="I40" s="173">
        <f>R94</f>
        <v>1.046880235</v>
      </c>
      <c r="J40" s="161"/>
      <c r="K40" s="261">
        <f>R102</f>
        <v>1</v>
      </c>
      <c r="L40" s="161"/>
      <c r="M40" s="261">
        <f>R103</f>
        <v>1</v>
      </c>
      <c r="N40" s="161"/>
      <c r="O40" s="261">
        <f>R104</f>
        <v>1.103720534</v>
      </c>
      <c r="P40" s="161"/>
      <c r="Q40" s="214" t="s">
        <v>471</v>
      </c>
      <c r="R40" s="260"/>
      <c r="Y40" s="249"/>
      <c r="AA40" s="249"/>
      <c r="AB40" s="249"/>
      <c r="AC40" s="249"/>
      <c r="AD40" s="249"/>
      <c r="AE40" s="249"/>
      <c r="AH40" s="250"/>
      <c r="AI40" s="249"/>
      <c r="AJ40" s="249"/>
      <c r="AK40" s="249"/>
    </row>
    <row r="41">
      <c r="A41" s="117"/>
      <c r="B41" s="110"/>
      <c r="C41" s="200"/>
      <c r="D41" s="201"/>
      <c r="E41" s="134" t="s">
        <v>399</v>
      </c>
      <c r="G41" s="134" t="str">
        <f>IF(AND(I28 &lt; 50,I28 &gt; 0),CONCATENATE(50-I28," SP REQ"),"|||")</f>
        <v>|||</v>
      </c>
      <c r="I41" s="134" t="s">
        <v>399</v>
      </c>
      <c r="K41" s="132"/>
      <c r="L41" s="132"/>
      <c r="M41" s="1"/>
      <c r="O41" s="6"/>
      <c r="Q41" s="1"/>
      <c r="Y41" s="249"/>
      <c r="Z41" s="249"/>
      <c r="AA41" s="249"/>
      <c r="AB41" s="249"/>
      <c r="AC41" s="249"/>
      <c r="AD41" s="249"/>
      <c r="AE41" s="249"/>
      <c r="AH41" s="250"/>
      <c r="AI41" s="249"/>
      <c r="AJ41" s="249"/>
      <c r="AK41" s="249"/>
    </row>
    <row r="42">
      <c r="A42" s="117"/>
      <c r="B42" s="110"/>
      <c r="C42" s="200"/>
      <c r="D42" s="201"/>
      <c r="E42" s="167" t="str">
        <f>G95</f>
        <v>Manni Mana</v>
      </c>
      <c r="F42" s="136" t="s">
        <v>148</v>
      </c>
      <c r="G42" s="167" t="str">
        <f>G96</f>
        <v>Lightning Strike</v>
      </c>
      <c r="H42" s="136" t="s">
        <v>148</v>
      </c>
      <c r="I42" s="167" t="str">
        <f>G97</f>
        <v>Dimensional Shift</v>
      </c>
      <c r="J42" s="136" t="s">
        <v>148</v>
      </c>
      <c r="K42" s="132"/>
      <c r="L42" s="263"/>
      <c r="AI42" s="264"/>
      <c r="AJ42" s="264"/>
      <c r="AK42" s="264"/>
    </row>
    <row r="43">
      <c r="A43" s="117"/>
      <c r="B43" s="110"/>
      <c r="C43" s="200"/>
      <c r="D43" s="201"/>
      <c r="E43" s="231">
        <v>0.0</v>
      </c>
      <c r="F43" s="144"/>
      <c r="G43" s="231">
        <v>0.0</v>
      </c>
      <c r="H43" s="144"/>
      <c r="I43" s="231">
        <v>15.0</v>
      </c>
      <c r="J43" s="144"/>
      <c r="AI43" s="249"/>
      <c r="AJ43" s="249"/>
      <c r="AK43" s="249"/>
    </row>
    <row r="44">
      <c r="A44" s="117"/>
      <c r="B44" s="110"/>
      <c r="C44" s="110"/>
      <c r="D44" s="265"/>
      <c r="E44" s="173">
        <f>R95</f>
        <v>1.023373892</v>
      </c>
      <c r="F44" s="161"/>
      <c r="G44" s="173">
        <f>R96</f>
        <v>0.4641588834</v>
      </c>
      <c r="H44" s="161"/>
      <c r="I44" s="173">
        <f>R97</f>
        <v>1</v>
      </c>
      <c r="J44" s="161"/>
      <c r="AI44" s="249"/>
      <c r="AJ44" s="249"/>
      <c r="AK44" s="249"/>
    </row>
    <row r="45">
      <c r="A45" s="60"/>
      <c r="P45" s="1" t="s">
        <v>476</v>
      </c>
      <c r="AI45" s="249"/>
      <c r="AJ45" s="249"/>
      <c r="AK45" s="249"/>
    </row>
    <row r="46">
      <c r="AJ46" s="250"/>
      <c r="AK46" s="249"/>
      <c r="AL46" s="249"/>
      <c r="AM46" s="249"/>
      <c r="AN46" s="249"/>
      <c r="AO46" s="249"/>
      <c r="AP46" s="249"/>
    </row>
    <row r="47">
      <c r="AJ47" s="250"/>
      <c r="AK47" s="249"/>
      <c r="AL47" s="249"/>
      <c r="AM47" s="249"/>
      <c r="AN47" s="249"/>
      <c r="AO47" s="249"/>
      <c r="AP47" s="249"/>
    </row>
    <row r="48" ht="17.25" customHeight="1"/>
    <row r="63">
      <c r="AA63" s="249"/>
      <c r="AB63" s="249"/>
      <c r="AC63" s="249"/>
      <c r="AD63" s="249"/>
      <c r="AE63" s="249"/>
      <c r="AF63" s="249"/>
      <c r="AG63" s="249"/>
      <c r="AH63" s="249"/>
      <c r="AI63" s="249"/>
      <c r="AJ63" s="266"/>
      <c r="AK63" s="249"/>
      <c r="AL63" s="249"/>
      <c r="AM63" s="249"/>
      <c r="AN63" s="249"/>
      <c r="AO63" s="249"/>
      <c r="AP63" s="249"/>
    </row>
    <row r="64">
      <c r="AA64" s="249"/>
      <c r="AB64" s="249"/>
      <c r="AC64" s="249"/>
      <c r="AD64" s="249"/>
      <c r="AE64" s="249"/>
      <c r="AF64" s="249"/>
      <c r="AG64" s="249"/>
      <c r="AH64" s="249"/>
      <c r="AI64" s="249"/>
      <c r="AJ64" s="266"/>
      <c r="AK64" s="249"/>
      <c r="AL64" s="249"/>
      <c r="AM64" s="249"/>
      <c r="AN64" s="249"/>
      <c r="AO64" s="249"/>
      <c r="AP64" s="249"/>
    </row>
    <row r="65">
      <c r="AA65" s="249"/>
      <c r="AB65" s="249"/>
      <c r="AC65" s="249"/>
      <c r="AD65" s="249"/>
      <c r="AE65" s="249"/>
      <c r="AF65" s="249"/>
      <c r="AG65" s="249"/>
      <c r="AH65" s="249"/>
      <c r="AI65" s="249"/>
      <c r="AJ65" s="266"/>
      <c r="AK65" s="249"/>
      <c r="AL65" s="249"/>
      <c r="AM65" s="249"/>
      <c r="AN65" s="249"/>
      <c r="AO65" s="249"/>
      <c r="AP65" s="249"/>
    </row>
    <row r="66">
      <c r="AA66" s="249"/>
      <c r="AB66" s="249"/>
      <c r="AC66" s="249"/>
      <c r="AD66" s="249"/>
      <c r="AE66" s="249"/>
      <c r="AF66" s="249"/>
      <c r="AG66" s="249"/>
      <c r="AH66" s="249"/>
      <c r="AI66" s="249"/>
      <c r="AJ66" s="266"/>
      <c r="AK66" s="249"/>
      <c r="AL66" s="249"/>
      <c r="AM66" s="249"/>
      <c r="AN66" s="249"/>
      <c r="AO66" s="249"/>
      <c r="AP66" s="249"/>
    </row>
    <row r="67">
      <c r="AH67" s="250"/>
    </row>
    <row r="68">
      <c r="A68" s="267" t="s">
        <v>148</v>
      </c>
      <c r="B68" s="1" t="str">
        <f>char(10006)</f>
        <v>✖</v>
      </c>
      <c r="C68" s="268" t="s">
        <v>345</v>
      </c>
      <c r="D68" s="268" t="s">
        <v>478</v>
      </c>
      <c r="E68" s="268"/>
      <c r="F68" s="268" t="s">
        <v>479</v>
      </c>
      <c r="G68" s="268" t="s">
        <v>6</v>
      </c>
      <c r="H68" s="268" t="s">
        <v>480</v>
      </c>
      <c r="I68" s="268" t="s">
        <v>481</v>
      </c>
      <c r="J68" s="268" t="s">
        <v>482</v>
      </c>
      <c r="K68" s="268" t="s">
        <v>483</v>
      </c>
      <c r="L68" s="268" t="s">
        <v>484</v>
      </c>
      <c r="M68" s="268" t="s">
        <v>485</v>
      </c>
      <c r="N68" s="268" t="s">
        <v>486</v>
      </c>
      <c r="O68" s="268" t="s">
        <v>487</v>
      </c>
      <c r="P68" s="268" t="s">
        <v>488</v>
      </c>
      <c r="Q68" s="1" t="s">
        <v>489</v>
      </c>
      <c r="R68" s="1" t="s">
        <v>490</v>
      </c>
      <c r="S68" s="1" t="s">
        <v>491</v>
      </c>
      <c r="T68" s="1" t="s">
        <v>492</v>
      </c>
      <c r="U68" s="269"/>
      <c r="V68" s="269"/>
      <c r="W68" s="269"/>
      <c r="X68" s="269"/>
      <c r="Y68" s="269"/>
      <c r="Z68" s="269"/>
      <c r="AA68" s="269"/>
      <c r="AB68" s="269"/>
      <c r="AC68" s="270" t="s">
        <v>493</v>
      </c>
      <c r="AD68" s="270" t="s">
        <v>494</v>
      </c>
      <c r="AE68" s="270" t="s">
        <v>495</v>
      </c>
      <c r="AF68" s="1" t="s">
        <v>496</v>
      </c>
      <c r="AG68" s="1" t="s">
        <v>497</v>
      </c>
      <c r="AH68" s="1" t="s">
        <v>498</v>
      </c>
      <c r="AJ68" s="270" t="s">
        <v>499</v>
      </c>
      <c r="AK68" s="269"/>
      <c r="AL68" s="269"/>
      <c r="AM68" s="269"/>
    </row>
    <row r="69">
      <c r="C69" s="268">
        <f>IF(M6="On",1,0)</f>
        <v>1</v>
      </c>
      <c r="D69" s="268"/>
      <c r="E69" s="271" t="s">
        <v>500</v>
      </c>
      <c r="F69" s="271"/>
      <c r="G69" s="271">
        <f>MATCH("Name",SkillTreeInfo2.10!1:1,0)</f>
        <v>7</v>
      </c>
      <c r="H69" s="271"/>
      <c r="I69" s="271"/>
      <c r="J69" s="271">
        <f>MATCH("BonusTypeA",SkillTreeInfo2.10!1:1,0)-G69 + 2</f>
        <v>57</v>
      </c>
      <c r="K69" s="271">
        <f>MATCH("BonusTypeA",SkillTreeInfo2.10!1:1,0)-G69 + 3</f>
        <v>58</v>
      </c>
      <c r="L69" s="272">
        <f>MATCH("BonusTypeB",SkillTreeInfo2.10!1:1,0)-G69 + 2</f>
        <v>84</v>
      </c>
      <c r="M69" s="272">
        <f>MATCH("BonusTypeB",SkillTreeInfo2.10!1:1,0)-G69 + 3</f>
        <v>85</v>
      </c>
      <c r="N69" s="272">
        <f>MATCH("C0",SkillTreeInfo2.10!1:1,0)-G69+1</f>
        <v>30</v>
      </c>
      <c r="O69" s="272">
        <f>MATCH("C0",SkillTreeInfo2.10!1:1,0)-G69+1</f>
        <v>30</v>
      </c>
      <c r="P69" s="272"/>
      <c r="T69" s="274">
        <f>MATCH(I1,U69:Z69,0)</f>
        <v>3</v>
      </c>
      <c r="U69" s="270" t="s">
        <v>505</v>
      </c>
      <c r="V69" s="270" t="s">
        <v>506</v>
      </c>
      <c r="W69" s="270" t="s">
        <v>160</v>
      </c>
      <c r="X69" s="270" t="s">
        <v>507</v>
      </c>
      <c r="Y69" s="270" t="s">
        <v>508</v>
      </c>
      <c r="Z69" s="270" t="s">
        <v>509</v>
      </c>
      <c r="AA69" s="269"/>
      <c r="AB69" s="269"/>
      <c r="AC69" s="270" t="str">
        <f>P3</f>
        <v>Off</v>
      </c>
      <c r="AD69" s="269" t="str">
        <f>P2</f>
        <v>Off</v>
      </c>
      <c r="AE69" s="270" t="str">
        <f>P4</f>
        <v>Off</v>
      </c>
      <c r="AH69" t="str">
        <f>P1</f>
        <v>Off</v>
      </c>
      <c r="AJ69" s="269"/>
      <c r="AK69" s="269"/>
      <c r="AL69" s="269"/>
      <c r="AM69" s="269"/>
      <c r="AN69" s="1" t="s">
        <v>510</v>
      </c>
      <c r="AO69" s="1" t="s">
        <v>511</v>
      </c>
      <c r="AP69" s="1" t="s">
        <v>512</v>
      </c>
    </row>
    <row r="70">
      <c r="A70" s="1" t="str">
        <f t="array" ref="A70:A104">SORT(AB70:AB104,S70:S104,True)</f>
        <v/>
      </c>
      <c r="B70" s="275" t="str">
        <f t="array" ref="B70:B104">SORT(G70:G104,S70:S104,True)</f>
        <v>Spoils of War</v>
      </c>
      <c r="C70" s="276">
        <f t="array" ref="C70:C104">SORT(R70:R104,S70:S104,True)</f>
        <v>1.166054059</v>
      </c>
      <c r="D70" s="276">
        <f t="array" ref="D70:D104">SORT(N70:N104,S70:S104,True)</f>
        <v>5</v>
      </c>
      <c r="E70" s="277">
        <f>G12</f>
        <v>7</v>
      </c>
      <c r="F70" s="277" t="str">
        <f t="shared" ref="F70:F104" si="1">IMAGE(AA70,1)</f>
        <v/>
      </c>
      <c r="G70" s="275" t="str">
        <f t="array" ref="G70:G104">INDEX(SkillTreeInfo2.10!G2:G36,0,0)</f>
        <v>Knight's Valor</v>
      </c>
      <c r="H70" s="275" t="s">
        <v>515</v>
      </c>
      <c r="I70" s="275" t="str">
        <f t="array" ref="I70:I104">IF(E70:E104&lt;&gt;0,E70:E104 &amp; H70:H104 &amp; "/",)</f>
        <v>7KV/</v>
      </c>
      <c r="J70" s="275">
        <f t="array" ref="J70:J104">VLOOKUP($G$70:$G$104,SkillTreeInfo2.10!$G$2:$DK$36,J$69+$E$70:$E$104,false)</f>
        <v>16.4</v>
      </c>
      <c r="K70" s="275">
        <f t="array" ref="K70:K104">VLOOKUP($G$70:$G$104,SkillTreeInfo2.10!$G$2:$DK$36,K$69+$E$70:$E$104,false)</f>
        <v>31.4</v>
      </c>
      <c r="L70" s="275">
        <f t="array" ref="L70:L104">VLOOKUP($G$70:$G$104,SkillTreeInfo2.10!$G$2:$DK$36,L$69+$E$70:$E$104,false)</f>
        <v>0</v>
      </c>
      <c r="M70" s="275">
        <f t="array" ref="M70:M104">VLOOKUP($G$70:$G$104,SkillTreeInfo2.10!$G$2:$DK$36,M$69+$E$70:$E$104,false)</f>
        <v>0</v>
      </c>
      <c r="N70" s="275">
        <f t="array" ref="N70:N104">VLOOKUP($G$70:$G$104,SkillTreeInfo2.10!$G$2:$DK$36,N$69+$E$70:$E$104,false)</f>
        <v>5</v>
      </c>
      <c r="O70" s="275">
        <f>iferror(SUM(offset(SkillTreeInfo2.10!$AJ2,0,0,1,COLUMNS(SkillTreeInfo2.10!$AJ2:$BH2)-(25-$E70))),0)</f>
        <v>18</v>
      </c>
      <c r="P70" s="275">
        <f t="array" ref="P70:P104">IFERROR(IFERROR(((K70:K104/J70:J104)^(1/N70:N104))^(T70:T104),(K70:K104^(1/N70:N104))^T70:T104),1)</f>
        <v>1.081061239</v>
      </c>
      <c r="R70" s="275">
        <f t="shared" ref="R70:R104" si="2">IF(Q70&lt;&gt;"",Q70,P70)</f>
        <v>1.081061239</v>
      </c>
      <c r="S70">
        <f t="array" ref="S70:S104">RANK(R70:R104,$R$70:$R$104,0)</f>
        <v>11</v>
      </c>
      <c r="T70">
        <f t="array" ref="T70:T104">IF(AJ70:AJ104=true,0, INDEX(U70:Z104,0,$T$69))</f>
        <v>0.6</v>
      </c>
      <c r="U70" s="269">
        <v>1.0</v>
      </c>
      <c r="V70" s="269">
        <v>1.0</v>
      </c>
      <c r="W70" s="270">
        <v>0.6</v>
      </c>
      <c r="X70" s="269">
        <v>1.0</v>
      </c>
      <c r="Y70" s="269">
        <v>0.0</v>
      </c>
      <c r="Z70" s="269">
        <v>0.0</v>
      </c>
      <c r="AA70" s="293" t="s">
        <v>576</v>
      </c>
      <c r="AB70" s="269" t="str">
        <f t="shared" ref="AB70:AB104" si="3">IMAGE(AA70,2)</f>
        <v/>
      </c>
      <c r="AC70" s="270" t="b">
        <v>0</v>
      </c>
      <c r="AD70" s="269" t="b">
        <f t="array" ref="AD70:AD104">IF($N$70:$N$104&lt;=I8,False,IF($AD$69="ON",True,False))</f>
        <v>0</v>
      </c>
      <c r="AE70" s="270" t="b">
        <v>0</v>
      </c>
      <c r="AF70" t="b">
        <v>0</v>
      </c>
      <c r="AG70" t="b">
        <f>IF(H11&lt;&gt;"✔",True,False)</f>
        <v>0</v>
      </c>
      <c r="AH70" t="b">
        <f>IF(AH69="On",false,false)</f>
        <v>0</v>
      </c>
      <c r="AI70" t="b">
        <f t="shared" ref="AI70:AI104" si="4">IF($AH$69="On",AM70&gt;0,False)</f>
        <v>0</v>
      </c>
      <c r="AJ70" s="269" t="b">
        <f t="shared" ref="AJ70:AJ104" si="5">OR(AC70:AI70)</f>
        <v>0</v>
      </c>
      <c r="AK70" s="293" t="s">
        <v>576</v>
      </c>
      <c r="AL70" s="269">
        <f t="array" ref="AL70:AL103">INDEX(SkillTreeInfo2.10!D2:D35,0,0)</f>
        <v>0</v>
      </c>
      <c r="AM70" s="295">
        <f t="shared" ref="AM70:AM78" si="6">AL70-$I$9</f>
        <v>-198</v>
      </c>
      <c r="AN70">
        <f t="shared" ref="AN70:AN104" si="7">IFERROR(IF(((J70^T70)^(1/O70))&lt;1,1,(J70^T70)^(1/O70)),0)</f>
        <v>1.097728134</v>
      </c>
      <c r="AP70">
        <f t="shared" ref="AP70:AP104" si="8">IF(AO70&lt;&gt;"",AO70,AN70)</f>
        <v>1.097728134</v>
      </c>
    </row>
    <row r="71">
      <c r="A71" s="1"/>
      <c r="B71" s="275" t="s">
        <v>153</v>
      </c>
      <c r="C71" s="275">
        <v>1.1250932237405635</v>
      </c>
      <c r="D71" s="275">
        <v>2.0</v>
      </c>
      <c r="E71" s="277">
        <f>E16</f>
        <v>1</v>
      </c>
      <c r="F71" s="277" t="str">
        <f t="shared" si="1"/>
        <v/>
      </c>
      <c r="G71" s="275" t="s">
        <v>128</v>
      </c>
      <c r="H71" s="268" t="s">
        <v>517</v>
      </c>
      <c r="I71" s="275" t="s">
        <v>582</v>
      </c>
      <c r="J71" s="275">
        <v>4.0E-4</v>
      </c>
      <c r="K71" s="275">
        <v>6.0E-4</v>
      </c>
      <c r="L71" s="275">
        <v>0.0</v>
      </c>
      <c r="M71" s="275">
        <v>0.0</v>
      </c>
      <c r="N71" s="275">
        <v>2.0</v>
      </c>
      <c r="O71" s="275">
        <f>iferror(SUM(offset(SkillTreeInfo2.10!$AJ3,0,0,1,COLUMNS(SkillTreeInfo2.10!$AJ3:$BH3)-(25-$E71))),0)</f>
        <v>1</v>
      </c>
      <c r="P71" s="275">
        <v>1.224744871391589</v>
      </c>
      <c r="Q71">
        <f>IFERROR(IF(M4="Obtained",((((K71+0.004 + (0.0002*(1+L83)))/(J71+0.004 + (0.0002*(1+L83))))^(1/N71)))^T71,((((K71+(0.0002*(1+L83)))/(J71+(0.0002*(1+L83))))^(1/N71)))^T71),1)</f>
        <v>1.021154724</v>
      </c>
      <c r="R71">
        <f t="shared" si="2"/>
        <v>1.021154724</v>
      </c>
      <c r="S71">
        <v>17.0</v>
      </c>
      <c r="T71">
        <v>1.0</v>
      </c>
      <c r="U71" s="269">
        <v>1.0</v>
      </c>
      <c r="V71" s="269">
        <v>1.0</v>
      </c>
      <c r="W71" s="269">
        <v>1.0</v>
      </c>
      <c r="X71" s="269">
        <v>1.0</v>
      </c>
      <c r="Y71" s="269">
        <v>0.0</v>
      </c>
      <c r="Z71" s="269">
        <v>0.0</v>
      </c>
      <c r="AA71" s="293" t="s">
        <v>585</v>
      </c>
      <c r="AB71" s="269" t="str">
        <f t="shared" si="3"/>
        <v/>
      </c>
      <c r="AC71" s="270" t="b">
        <v>0</v>
      </c>
      <c r="AD71" s="269" t="b">
        <v>0</v>
      </c>
      <c r="AE71" s="270" t="b">
        <v>0</v>
      </c>
      <c r="AF71" t="b">
        <v>0</v>
      </c>
      <c r="AG71" t="b">
        <f>IF(F15&lt;&gt;"✔",True,False)</f>
        <v>0</v>
      </c>
      <c r="AH71" t="b">
        <f>IF($AH$69="On",OR(E70=0,$AH$70),false)</f>
        <v>0</v>
      </c>
      <c r="AI71" t="b">
        <f t="shared" si="4"/>
        <v>0</v>
      </c>
      <c r="AJ71" s="269" t="b">
        <f t="shared" si="5"/>
        <v>0</v>
      </c>
      <c r="AK71" s="293" t="s">
        <v>585</v>
      </c>
      <c r="AL71" s="269">
        <v>3.0</v>
      </c>
      <c r="AM71" s="295">
        <f t="shared" si="6"/>
        <v>-195</v>
      </c>
      <c r="AN71">
        <f t="shared" si="7"/>
        <v>1</v>
      </c>
      <c r="AP71">
        <f t="shared" si="8"/>
        <v>1</v>
      </c>
    </row>
    <row r="72">
      <c r="A72" s="1"/>
      <c r="B72" s="275" t="s">
        <v>202</v>
      </c>
      <c r="C72" s="275">
        <v>1.12093579169158</v>
      </c>
      <c r="D72" s="275">
        <v>14.0</v>
      </c>
      <c r="E72" s="277">
        <f>G16</f>
        <v>1</v>
      </c>
      <c r="F72" s="277" t="str">
        <f t="shared" si="1"/>
        <v/>
      </c>
      <c r="G72" s="275" t="s">
        <v>133</v>
      </c>
      <c r="H72" s="268" t="s">
        <v>518</v>
      </c>
      <c r="I72" s="275" t="s">
        <v>588</v>
      </c>
      <c r="J72" s="275">
        <v>1.5</v>
      </c>
      <c r="K72" s="275">
        <v>2.21</v>
      </c>
      <c r="L72" s="275">
        <v>0.0</v>
      </c>
      <c r="M72" s="275">
        <v>1.0</v>
      </c>
      <c r="N72" s="275">
        <v>2.0</v>
      </c>
      <c r="O72" s="275">
        <f>iferror(SUM(offset(SkillTreeInfo2.10!$AJ4,0,0,1,COLUMNS(SkillTreeInfo2.10!$AJ4:$BH4)-(25-$E72))),0)</f>
        <v>1</v>
      </c>
      <c r="P72" s="275">
        <v>1.0</v>
      </c>
      <c r="R72" s="275">
        <f t="shared" si="2"/>
        <v>1</v>
      </c>
      <c r="S72">
        <v>19.0</v>
      </c>
      <c r="T72">
        <v>0.0</v>
      </c>
      <c r="U72" s="269">
        <v>0.0</v>
      </c>
      <c r="V72" s="269">
        <v>1.0</v>
      </c>
      <c r="W72" s="269">
        <v>0.0</v>
      </c>
      <c r="X72" s="269">
        <v>0.0</v>
      </c>
      <c r="Y72" s="269">
        <v>0.0</v>
      </c>
      <c r="Z72" s="269">
        <v>0.0</v>
      </c>
      <c r="AA72" s="293" t="s">
        <v>589</v>
      </c>
      <c r="AB72" s="269" t="str">
        <f t="shared" si="3"/>
        <v/>
      </c>
      <c r="AC72" s="270" t="b">
        <v>0</v>
      </c>
      <c r="AD72" s="269" t="b">
        <v>0</v>
      </c>
      <c r="AE72" s="270" t="b">
        <v>0</v>
      </c>
      <c r="AF72" t="b">
        <v>0</v>
      </c>
      <c r="AG72" t="b">
        <f>IF(H15&lt;&gt;"✔",True,False)</f>
        <v>0</v>
      </c>
      <c r="AH72" t="b">
        <f>IF($AH$69="On",OR(E70=0,$AH$70),false)</f>
        <v>0</v>
      </c>
      <c r="AI72" t="b">
        <f t="shared" si="4"/>
        <v>0</v>
      </c>
      <c r="AJ72" s="269" t="b">
        <f t="shared" si="5"/>
        <v>0</v>
      </c>
      <c r="AK72" s="293" t="s">
        <v>589</v>
      </c>
      <c r="AL72" s="269">
        <v>3.0</v>
      </c>
      <c r="AM72" s="295">
        <f t="shared" si="6"/>
        <v>-195</v>
      </c>
      <c r="AN72">
        <f t="shared" si="7"/>
        <v>1</v>
      </c>
      <c r="AP72">
        <f t="shared" si="8"/>
        <v>1</v>
      </c>
    </row>
    <row r="73">
      <c r="A73" s="1"/>
      <c r="B73" s="275" t="s">
        <v>180</v>
      </c>
      <c r="C73" s="275">
        <v>1.1111765023613986</v>
      </c>
      <c r="D73" s="275">
        <v>2.0</v>
      </c>
      <c r="E73" s="277">
        <f>I16</f>
        <v>0</v>
      </c>
      <c r="F73" s="277" t="str">
        <f t="shared" si="1"/>
        <v/>
      </c>
      <c r="G73" s="275" t="s">
        <v>138</v>
      </c>
      <c r="H73" s="268" t="s">
        <v>519</v>
      </c>
      <c r="I73" s="275"/>
      <c r="J73" s="275">
        <v>0.0</v>
      </c>
      <c r="K73" s="275">
        <v>1.8</v>
      </c>
      <c r="L73" s="275">
        <v>0.0</v>
      </c>
      <c r="M73" s="275">
        <v>0.0</v>
      </c>
      <c r="N73" s="275">
        <v>1.0</v>
      </c>
      <c r="O73" s="275">
        <f>iferror(SUM(offset(SkillTreeInfo2.10!$AJ5,0,0,1,COLUMNS(SkillTreeInfo2.10!$AJ5:$BH5)-(25-$E73))),0)</f>
        <v>0</v>
      </c>
      <c r="P73" s="275">
        <v>1.0</v>
      </c>
      <c r="R73" s="275">
        <f t="shared" si="2"/>
        <v>1</v>
      </c>
      <c r="S73">
        <v>19.0</v>
      </c>
      <c r="T73">
        <v>0.0</v>
      </c>
      <c r="U73" s="270">
        <v>0.79</v>
      </c>
      <c r="V73" s="270">
        <v>0.79</v>
      </c>
      <c r="W73" s="270">
        <v>0.79</v>
      </c>
      <c r="X73" s="270">
        <v>0.79</v>
      </c>
      <c r="Y73" s="270">
        <v>0.79</v>
      </c>
      <c r="Z73" s="270">
        <v>0.79</v>
      </c>
      <c r="AA73" s="293" t="s">
        <v>592</v>
      </c>
      <c r="AB73" s="269" t="str">
        <f t="shared" si="3"/>
        <v/>
      </c>
      <c r="AC73" s="270" t="b">
        <f>IF($AC$69="Off", False, True)</f>
        <v>0</v>
      </c>
      <c r="AD73" s="269" t="b">
        <v>0</v>
      </c>
      <c r="AE73" s="270" t="b">
        <v>0</v>
      </c>
      <c r="AF73" t="b">
        <f>IF(OR(E7="pHoM",E7="Boss Gold"),False,true)</f>
        <v>1</v>
      </c>
      <c r="AG73" t="b">
        <f>IF(J15&lt;&gt;"✔",True,False)</f>
        <v>0</v>
      </c>
      <c r="AH73" t="b">
        <f>IF($AH$69="On",OR(E70=0,$AH$70),false)</f>
        <v>0</v>
      </c>
      <c r="AI73" t="b">
        <f t="shared" si="4"/>
        <v>0</v>
      </c>
      <c r="AJ73" s="269" t="b">
        <f t="shared" si="5"/>
        <v>1</v>
      </c>
      <c r="AK73" s="293" t="s">
        <v>592</v>
      </c>
      <c r="AL73" s="269">
        <v>3.0</v>
      </c>
      <c r="AM73" s="295">
        <f t="shared" si="6"/>
        <v>-195</v>
      </c>
      <c r="AN73">
        <f t="shared" si="7"/>
        <v>0</v>
      </c>
      <c r="AP73">
        <f t="shared" si="8"/>
        <v>0</v>
      </c>
    </row>
    <row r="74">
      <c r="A74" s="1"/>
      <c r="B74" s="275" t="s">
        <v>190</v>
      </c>
      <c r="C74" s="275">
        <v>1.1109295102044778</v>
      </c>
      <c r="D74" s="275">
        <v>2.0</v>
      </c>
      <c r="E74" s="277">
        <f>E20</f>
        <v>19</v>
      </c>
      <c r="F74" s="277" t="str">
        <f t="shared" si="1"/>
        <v/>
      </c>
      <c r="G74" s="275" t="s">
        <v>145</v>
      </c>
      <c r="H74" s="268" t="s">
        <v>520</v>
      </c>
      <c r="I74" s="275" t="s">
        <v>593</v>
      </c>
      <c r="J74" s="275">
        <v>7.45E8</v>
      </c>
      <c r="K74" s="275">
        <v>1.03E10</v>
      </c>
      <c r="L74" s="275">
        <v>-0.19</v>
      </c>
      <c r="M74" s="275">
        <v>-0.2</v>
      </c>
      <c r="N74" s="275">
        <v>28.0</v>
      </c>
      <c r="O74" s="275">
        <f>iferror(SUM(offset(SkillTreeInfo2.10!$AJ6,0,0,1,COLUMNS(SkillTreeInfo2.10!$AJ6:$BH6)-(25-$E74))),0)</f>
        <v>176</v>
      </c>
      <c r="P74" s="275">
        <v>1.0983445652541817</v>
      </c>
      <c r="Q74" s="76">
        <f>IFERROR(IF(I1="SC Damage",(((K74/J74)*IFerror(pow($M$1+M74,2)/pow($M$1+L74,2),0))^(1/N74))^T74,
IF(I1="Ship Damage",(((K74/J74)*(IFerror(pow($M$1+M74,0.5)/pow($M$1+L74,0.5),0)))^(1/N74))^T74,
IF(I1="HS Damage",((K74/J74)^(1/N74))^T74,
IF(OR(I1="Pet Damage",I1="Tap Damage"),(((K74/J74)*(($M$1+M74)/($M$1+L74)))^(1/N74))^T74,
0)))),P74)</f>
        <v>1.098344487</v>
      </c>
      <c r="R74">
        <f t="shared" si="2"/>
        <v>1.098344487</v>
      </c>
      <c r="S74">
        <v>9.0</v>
      </c>
      <c r="T74">
        <v>1.0</v>
      </c>
      <c r="U74" s="269">
        <v>1.0</v>
      </c>
      <c r="V74" s="269">
        <v>1.0</v>
      </c>
      <c r="W74" s="269">
        <v>1.0</v>
      </c>
      <c r="X74" s="269">
        <v>1.0</v>
      </c>
      <c r="Y74" s="269">
        <v>1.0</v>
      </c>
      <c r="Z74" s="270">
        <v>0.0</v>
      </c>
      <c r="AA74" s="293" t="s">
        <v>596</v>
      </c>
      <c r="AB74" s="269" t="str">
        <f t="shared" si="3"/>
        <v/>
      </c>
      <c r="AC74" s="270" t="b">
        <v>0</v>
      </c>
      <c r="AD74" s="269" t="b">
        <v>0</v>
      </c>
      <c r="AE74" s="270" t="b">
        <v>0</v>
      </c>
      <c r="AF74" t="b">
        <v>0</v>
      </c>
      <c r="AG74" t="b">
        <f>IF(F19&lt;&gt;"✔",True,False)</f>
        <v>0</v>
      </c>
      <c r="AH74" t="b">
        <f t="shared" ref="AH74:AH77" si="9">IF($AH$69="On",OR(E71=0,AH71),false)</f>
        <v>0</v>
      </c>
      <c r="AI74" t="b">
        <f t="shared" si="4"/>
        <v>0</v>
      </c>
      <c r="AJ74" s="269" t="b">
        <f t="shared" si="5"/>
        <v>0</v>
      </c>
      <c r="AK74" s="293" t="s">
        <v>596</v>
      </c>
      <c r="AL74" s="269">
        <v>20.0</v>
      </c>
      <c r="AM74" s="295">
        <f t="shared" si="6"/>
        <v>-178</v>
      </c>
      <c r="AN74">
        <f t="shared" si="7"/>
        <v>1.123078152</v>
      </c>
      <c r="AP74">
        <f t="shared" si="8"/>
        <v>1.123078152</v>
      </c>
    </row>
    <row r="75">
      <c r="A75" s="1"/>
      <c r="B75" s="275" t="s">
        <v>324</v>
      </c>
      <c r="C75" s="275">
        <v>1.1061914730916649</v>
      </c>
      <c r="D75" s="275">
        <v>8.0</v>
      </c>
      <c r="E75" s="277">
        <f>G20</f>
        <v>1</v>
      </c>
      <c r="F75" s="277" t="str">
        <f t="shared" si="1"/>
        <v/>
      </c>
      <c r="G75" s="275" t="s">
        <v>153</v>
      </c>
      <c r="H75" s="268" t="s">
        <v>521</v>
      </c>
      <c r="I75" s="275" t="s">
        <v>598</v>
      </c>
      <c r="J75" s="275">
        <v>1.6</v>
      </c>
      <c r="K75" s="275">
        <v>2.37</v>
      </c>
      <c r="L75" s="275">
        <v>1.0</v>
      </c>
      <c r="M75" s="275">
        <v>2.0</v>
      </c>
      <c r="N75" s="275">
        <v>2.0</v>
      </c>
      <c r="O75" s="275">
        <f>iferror(SUM(offset(SkillTreeInfo2.10!$AJ7,0,0,1,COLUMNS(SkillTreeInfo2.10!$AJ7:$BH7)-(25-$E75))),0)</f>
        <v>2</v>
      </c>
      <c r="P75" s="275">
        <v>1.1250932237405635</v>
      </c>
      <c r="R75" s="275">
        <f t="shared" si="2"/>
        <v>1.125093224</v>
      </c>
      <c r="S75">
        <v>2.0</v>
      </c>
      <c r="T75">
        <v>0.6</v>
      </c>
      <c r="U75" s="269">
        <v>1.0</v>
      </c>
      <c r="V75" s="270">
        <v>1.0</v>
      </c>
      <c r="W75" s="270">
        <v>0.6</v>
      </c>
      <c r="X75" s="269">
        <v>1.0</v>
      </c>
      <c r="Y75" s="269">
        <v>0.0</v>
      </c>
      <c r="Z75" s="269">
        <v>0.0</v>
      </c>
      <c r="AA75" s="293" t="s">
        <v>600</v>
      </c>
      <c r="AB75" s="269" t="str">
        <f t="shared" si="3"/>
        <v/>
      </c>
      <c r="AC75" s="270" t="b">
        <v>0</v>
      </c>
      <c r="AD75" s="269" t="b">
        <v>0</v>
      </c>
      <c r="AE75" s="270" t="b">
        <v>0</v>
      </c>
      <c r="AF75" t="b">
        <f>IF(E4="✔",False,True)</f>
        <v>0</v>
      </c>
      <c r="AG75" t="b">
        <f>IF(H19&lt;&gt;"✔",True,False)</f>
        <v>0</v>
      </c>
      <c r="AH75" t="b">
        <f t="shared" si="9"/>
        <v>0</v>
      </c>
      <c r="AI75" t="b">
        <f t="shared" si="4"/>
        <v>0</v>
      </c>
      <c r="AJ75" s="269" t="b">
        <f t="shared" si="5"/>
        <v>0</v>
      </c>
      <c r="AK75" s="293" t="s">
        <v>600</v>
      </c>
      <c r="AL75" s="269">
        <v>20.0</v>
      </c>
      <c r="AM75" s="295">
        <f t="shared" si="6"/>
        <v>-178</v>
      </c>
      <c r="AN75">
        <f t="shared" si="7"/>
        <v>1.151425902</v>
      </c>
      <c r="AP75">
        <f t="shared" si="8"/>
        <v>1.151425902</v>
      </c>
    </row>
    <row r="76">
      <c r="A76" s="1"/>
      <c r="B76" s="275" t="s">
        <v>359</v>
      </c>
      <c r="C76" s="275">
        <v>1.1037205338828775</v>
      </c>
      <c r="D76" s="275">
        <v>5.0</v>
      </c>
      <c r="E76" s="277">
        <f>I20</f>
        <v>0</v>
      </c>
      <c r="F76" s="277" t="str">
        <f t="shared" si="1"/>
        <v/>
      </c>
      <c r="G76" s="275" t="s">
        <v>158</v>
      </c>
      <c r="H76" s="268" t="s">
        <v>522</v>
      </c>
      <c r="I76" s="275"/>
      <c r="J76" s="275">
        <v>0.0</v>
      </c>
      <c r="K76" s="275">
        <v>1.5</v>
      </c>
      <c r="L76" s="275">
        <v>0.0</v>
      </c>
      <c r="M76" s="275">
        <v>2.0</v>
      </c>
      <c r="N76" s="275">
        <v>2.0</v>
      </c>
      <c r="O76" s="275">
        <f>iferror(SUM(offset(SkillTreeInfo2.10!$AJ8,0,0,1,COLUMNS(SkillTreeInfo2.10!$AJ8:$BH8)-(25-$E76))),0)</f>
        <v>0</v>
      </c>
      <c r="P76" s="275">
        <v>1.0</v>
      </c>
      <c r="R76" s="275">
        <f t="shared" si="2"/>
        <v>1</v>
      </c>
      <c r="S76">
        <v>19.0</v>
      </c>
      <c r="T76">
        <v>0.0</v>
      </c>
      <c r="U76" s="269">
        <v>0.0</v>
      </c>
      <c r="V76" s="269">
        <v>1.0</v>
      </c>
      <c r="W76" s="269">
        <v>0.0</v>
      </c>
      <c r="X76" s="269">
        <v>0.0</v>
      </c>
      <c r="Y76" s="269">
        <v>0.0</v>
      </c>
      <c r="Z76" s="269">
        <v>0.0</v>
      </c>
      <c r="AA76" s="293" t="s">
        <v>603</v>
      </c>
      <c r="AB76" s="269" t="str">
        <f t="shared" si="3"/>
        <v/>
      </c>
      <c r="AC76" s="270" t="b">
        <f t="shared" ref="AC76:AC78" si="10">IF($AC$69="Off", False, True)</f>
        <v>0</v>
      </c>
      <c r="AD76" s="269" t="b">
        <v>0</v>
      </c>
      <c r="AE76" s="270" t="b">
        <v>0</v>
      </c>
      <c r="AF76" t="b">
        <v>0</v>
      </c>
      <c r="AG76" t="b">
        <f>IF(J19&lt;&gt;"✔",True,False)</f>
        <v>0</v>
      </c>
      <c r="AH76" t="b">
        <f t="shared" si="9"/>
        <v>0</v>
      </c>
      <c r="AI76" t="b">
        <f t="shared" si="4"/>
        <v>0</v>
      </c>
      <c r="AJ76" s="269" t="b">
        <f t="shared" si="5"/>
        <v>0</v>
      </c>
      <c r="AK76" s="293" t="s">
        <v>603</v>
      </c>
      <c r="AL76" s="269">
        <v>20.0</v>
      </c>
      <c r="AM76" s="295">
        <f t="shared" si="6"/>
        <v>-178</v>
      </c>
      <c r="AN76">
        <f t="shared" si="7"/>
        <v>0</v>
      </c>
      <c r="AP76">
        <f t="shared" si="8"/>
        <v>0</v>
      </c>
    </row>
    <row r="77">
      <c r="A77" s="1"/>
      <c r="B77" s="275" t="s">
        <v>330</v>
      </c>
      <c r="C77" s="275">
        <v>1.100128507514435</v>
      </c>
      <c r="D77" s="275">
        <v>6.0</v>
      </c>
      <c r="E77" s="277">
        <f>E24</f>
        <v>0</v>
      </c>
      <c r="F77" s="277" t="str">
        <f t="shared" si="1"/>
        <v/>
      </c>
      <c r="G77" s="275" t="s">
        <v>166</v>
      </c>
      <c r="H77" s="268" t="s">
        <v>523</v>
      </c>
      <c r="I77" s="275"/>
      <c r="J77" s="275">
        <v>0.0</v>
      </c>
      <c r="K77" s="275">
        <v>2.5</v>
      </c>
      <c r="L77" s="275">
        <v>0.0</v>
      </c>
      <c r="M77" s="275">
        <v>1.0</v>
      </c>
      <c r="N77" s="275">
        <v>3.0</v>
      </c>
      <c r="O77" s="275">
        <f>iferror(SUM(offset(SkillTreeInfo2.10!$AJ9,0,0,1,COLUMNS(SkillTreeInfo2.10!$AJ9:$BH9)-(25-$E77))),0)</f>
        <v>0</v>
      </c>
      <c r="P77" s="275">
        <v>1.0</v>
      </c>
      <c r="R77" s="275">
        <f t="shared" si="2"/>
        <v>1</v>
      </c>
      <c r="S77">
        <v>19.0</v>
      </c>
      <c r="T77">
        <v>0.0</v>
      </c>
      <c r="U77" s="269">
        <v>1.0</v>
      </c>
      <c r="V77" s="269">
        <v>1.0</v>
      </c>
      <c r="W77" s="270">
        <v>0.6</v>
      </c>
      <c r="X77" s="269">
        <v>1.0</v>
      </c>
      <c r="Y77" s="269">
        <v>0.0</v>
      </c>
      <c r="Z77" s="269">
        <v>0.0</v>
      </c>
      <c r="AA77" s="293" t="s">
        <v>606</v>
      </c>
      <c r="AB77" s="269" t="str">
        <f t="shared" si="3"/>
        <v/>
      </c>
      <c r="AC77" s="270" t="b">
        <f t="shared" si="10"/>
        <v>0</v>
      </c>
      <c r="AD77" s="269" t="b">
        <v>0</v>
      </c>
      <c r="AE77" s="270" t="b">
        <v>0</v>
      </c>
      <c r="AF77" t="b">
        <v>0</v>
      </c>
      <c r="AG77" t="b">
        <f>IF(F23&lt;&gt;"✔",True,False)</f>
        <v>1</v>
      </c>
      <c r="AH77" t="b">
        <f t="shared" si="9"/>
        <v>0</v>
      </c>
      <c r="AI77" t="b">
        <f t="shared" si="4"/>
        <v>0</v>
      </c>
      <c r="AJ77" s="269" t="b">
        <f t="shared" si="5"/>
        <v>1</v>
      </c>
      <c r="AK77" s="293" t="s">
        <v>606</v>
      </c>
      <c r="AL77" s="269">
        <v>50.0</v>
      </c>
      <c r="AM77" s="295">
        <f t="shared" si="6"/>
        <v>-148</v>
      </c>
      <c r="AN77">
        <f t="shared" si="7"/>
        <v>0</v>
      </c>
      <c r="AP77">
        <f t="shared" si="8"/>
        <v>0</v>
      </c>
    </row>
    <row r="78">
      <c r="A78" s="1"/>
      <c r="B78" s="275" t="s">
        <v>145</v>
      </c>
      <c r="C78" s="275">
        <v>1.0983444867994714</v>
      </c>
      <c r="D78" s="275">
        <v>28.0</v>
      </c>
      <c r="E78" s="277">
        <f>I24</f>
        <v>0</v>
      </c>
      <c r="F78" s="277" t="str">
        <f t="shared" si="1"/>
        <v/>
      </c>
      <c r="G78" s="275" t="s">
        <v>172</v>
      </c>
      <c r="H78" s="268" t="s">
        <v>524</v>
      </c>
      <c r="I78" s="275"/>
      <c r="J78" s="275">
        <v>0.0</v>
      </c>
      <c r="K78" s="275">
        <v>2.0</v>
      </c>
      <c r="L78" s="275">
        <v>0.0</v>
      </c>
      <c r="M78" s="275">
        <v>0.965</v>
      </c>
      <c r="N78" s="275">
        <v>3.0</v>
      </c>
      <c r="O78" s="275">
        <f>iferror(SUM(offset(SkillTreeInfo2.10!$AJ10,0,0,1,COLUMNS(SkillTreeInfo2.10!$AJ10:$BH10)-(25-$E78))),0)</f>
        <v>0</v>
      </c>
      <c r="P78" s="275">
        <v>1.0</v>
      </c>
      <c r="R78" s="275">
        <f t="shared" si="2"/>
        <v>1</v>
      </c>
      <c r="S78">
        <v>19.0</v>
      </c>
      <c r="T78">
        <v>0.0</v>
      </c>
      <c r="U78" s="269">
        <v>0.0</v>
      </c>
      <c r="V78" s="269">
        <v>1.0</v>
      </c>
      <c r="W78" s="269">
        <v>0.0</v>
      </c>
      <c r="X78" s="269">
        <v>0.0</v>
      </c>
      <c r="Y78" s="269">
        <v>0.0</v>
      </c>
      <c r="Z78" s="269">
        <v>0.0</v>
      </c>
      <c r="AA78" s="293" t="s">
        <v>607</v>
      </c>
      <c r="AB78" s="269" t="str">
        <f t="shared" si="3"/>
        <v/>
      </c>
      <c r="AC78" s="270" t="b">
        <f t="shared" si="10"/>
        <v>0</v>
      </c>
      <c r="AD78" s="269" t="b">
        <v>0</v>
      </c>
      <c r="AE78" s="270" t="b">
        <v>0</v>
      </c>
      <c r="AF78" t="b">
        <v>0</v>
      </c>
      <c r="AG78" t="b">
        <f>IF(J23&lt;&gt;"✔",True,False)</f>
        <v>0</v>
      </c>
      <c r="AH78" t="b">
        <f>IF($AH$69="On",OR(E76=0,AH76),false)</f>
        <v>0</v>
      </c>
      <c r="AI78" t="b">
        <f t="shared" si="4"/>
        <v>0</v>
      </c>
      <c r="AJ78" s="269" t="b">
        <f t="shared" si="5"/>
        <v>0</v>
      </c>
      <c r="AK78" s="293" t="s">
        <v>607</v>
      </c>
      <c r="AL78" s="269">
        <v>50.0</v>
      </c>
      <c r="AM78" s="295">
        <f t="shared" si="6"/>
        <v>-148</v>
      </c>
      <c r="AN78">
        <f t="shared" si="7"/>
        <v>0</v>
      </c>
      <c r="AP78">
        <f t="shared" si="8"/>
        <v>0</v>
      </c>
    </row>
    <row r="79">
      <c r="A79" s="1"/>
      <c r="B79" s="275" t="s">
        <v>240</v>
      </c>
      <c r="C79" s="275">
        <v>1.0881920727909524</v>
      </c>
      <c r="D79" s="275">
        <v>28.0</v>
      </c>
      <c r="E79" s="277">
        <f>M12</f>
        <v>2</v>
      </c>
      <c r="F79" s="277" t="str">
        <f t="shared" si="1"/>
        <v/>
      </c>
      <c r="G79" s="275" t="s">
        <v>180</v>
      </c>
      <c r="H79" s="268" t="s">
        <v>525</v>
      </c>
      <c r="I79" s="275" t="s">
        <v>612</v>
      </c>
      <c r="J79" s="275">
        <v>1.71</v>
      </c>
      <c r="K79" s="275">
        <v>2.43</v>
      </c>
      <c r="L79" s="275">
        <v>0.0</v>
      </c>
      <c r="M79" s="275">
        <v>0.0</v>
      </c>
      <c r="N79" s="275">
        <v>2.0</v>
      </c>
      <c r="O79" s="275">
        <f>iferror(SUM(offset(SkillTreeInfo2.10!$AJ11,0,0,1,COLUMNS(SkillTreeInfo2.10!$AJ11:$BH11)-(25-$E79))),0)</f>
        <v>3</v>
      </c>
      <c r="P79" s="275">
        <v>1.1111765023613986</v>
      </c>
      <c r="R79" s="275">
        <f t="shared" si="2"/>
        <v>1.111176502</v>
      </c>
      <c r="S79">
        <v>4.0</v>
      </c>
      <c r="T79">
        <v>0.6</v>
      </c>
      <c r="U79" s="269">
        <v>0.5</v>
      </c>
      <c r="V79" s="269">
        <v>0.5</v>
      </c>
      <c r="W79" s="270">
        <v>0.6</v>
      </c>
      <c r="X79" s="269">
        <v>0.5</v>
      </c>
      <c r="Y79" s="269">
        <v>1.0</v>
      </c>
      <c r="Z79" s="269">
        <v>1.0</v>
      </c>
      <c r="AA79" s="293" t="s">
        <v>613</v>
      </c>
      <c r="AB79" s="269" t="str">
        <f t="shared" si="3"/>
        <v/>
      </c>
      <c r="AC79" s="270" t="b">
        <v>0</v>
      </c>
      <c r="AD79" s="269" t="b">
        <v>0</v>
      </c>
      <c r="AE79" s="270" t="b">
        <v>0</v>
      </c>
      <c r="AF79" t="b">
        <v>0</v>
      </c>
      <c r="AG79" t="b">
        <f>IF(N11&lt;&gt;"✔",True,False)</f>
        <v>0</v>
      </c>
      <c r="AH79" t="b">
        <f>IF($AH$69="On",false,false)</f>
        <v>0</v>
      </c>
      <c r="AI79" t="b">
        <f t="shared" si="4"/>
        <v>0</v>
      </c>
      <c r="AJ79" s="269" t="b">
        <f t="shared" si="5"/>
        <v>0</v>
      </c>
      <c r="AK79" s="293" t="s">
        <v>613</v>
      </c>
      <c r="AL79" s="269">
        <v>0.0</v>
      </c>
      <c r="AM79" s="295">
        <f t="shared" ref="AM79:AM87" si="11">AL79-$O$9</f>
        <v>-104</v>
      </c>
      <c r="AN79">
        <f t="shared" si="7"/>
        <v>1.113266709</v>
      </c>
      <c r="AP79">
        <f t="shared" si="8"/>
        <v>1.113266709</v>
      </c>
    </row>
    <row r="80">
      <c r="A80" s="1"/>
      <c r="B80" s="275" t="s">
        <v>121</v>
      </c>
      <c r="C80" s="275">
        <v>1.0810612385608838</v>
      </c>
      <c r="D80" s="275">
        <v>5.0</v>
      </c>
      <c r="E80" s="277">
        <f>K16</f>
        <v>7</v>
      </c>
      <c r="F80" s="277" t="str">
        <f t="shared" si="1"/>
        <v/>
      </c>
      <c r="G80" s="275" t="s">
        <v>185</v>
      </c>
      <c r="H80" s="268" t="s">
        <v>526</v>
      </c>
      <c r="I80" s="275" t="s">
        <v>614</v>
      </c>
      <c r="J80" s="275">
        <v>65.7</v>
      </c>
      <c r="K80" s="275">
        <v>152.0</v>
      </c>
      <c r="L80" s="275">
        <v>0.07</v>
      </c>
      <c r="M80" s="275">
        <v>0.08</v>
      </c>
      <c r="N80" s="275">
        <v>5.0</v>
      </c>
      <c r="O80" s="275">
        <f>iferror(SUM(offset(SkillTreeInfo2.10!$AJ12,0,0,1,COLUMNS(SkillTreeInfo2.10!$AJ12:$BH12)-(25-$E80))),0)</f>
        <v>18</v>
      </c>
      <c r="P80" s="275">
        <v>1.1417104036357293</v>
      </c>
      <c r="Q80">
        <f>IFERROR(IFERROR((((K80/J80)*((M80+M2)/(M2+L80)))^(1/N80))^T80,(((K80/1)*((M80+M2)/(M2+L80)))^(1/N80))^T80),1)</f>
        <v>1.166054059</v>
      </c>
      <c r="R80">
        <f t="shared" si="2"/>
        <v>1.166054059</v>
      </c>
      <c r="S80">
        <v>1.0</v>
      </c>
      <c r="T80">
        <v>0.79</v>
      </c>
      <c r="U80" s="270">
        <v>0.79</v>
      </c>
      <c r="V80" s="270">
        <v>0.79</v>
      </c>
      <c r="W80" s="270">
        <v>0.79</v>
      </c>
      <c r="X80" s="270">
        <v>0.79</v>
      </c>
      <c r="Y80" s="270">
        <v>0.79</v>
      </c>
      <c r="Z80" s="270">
        <v>0.79</v>
      </c>
      <c r="AA80" s="293" t="s">
        <v>616</v>
      </c>
      <c r="AB80" s="269" t="str">
        <f t="shared" si="3"/>
        <v/>
      </c>
      <c r="AC80" s="270" t="b">
        <v>0</v>
      </c>
      <c r="AD80" s="269" t="b">
        <v>0</v>
      </c>
      <c r="AE80" s="270" t="b">
        <v>0</v>
      </c>
      <c r="AF80" t="b">
        <f>IF(not(or(E7="Chesterson",E7="Fairy")),True,False)</f>
        <v>0</v>
      </c>
      <c r="AG80" t="b">
        <f>IF(L15&lt;&gt;"✔",True,False)</f>
        <v>0</v>
      </c>
      <c r="AH80" t="b">
        <f>IF($AH$69="On",OR(E79=0,AH79),false)</f>
        <v>0</v>
      </c>
      <c r="AI80" t="b">
        <f t="shared" si="4"/>
        <v>0</v>
      </c>
      <c r="AJ80" s="269" t="b">
        <f t="shared" si="5"/>
        <v>0</v>
      </c>
      <c r="AK80" s="293" t="s">
        <v>616</v>
      </c>
      <c r="AL80" s="269">
        <v>3.0</v>
      </c>
      <c r="AM80" s="295">
        <f t="shared" si="11"/>
        <v>-101</v>
      </c>
      <c r="AN80">
        <f t="shared" si="7"/>
        <v>1.201630449</v>
      </c>
      <c r="AP80">
        <f t="shared" si="8"/>
        <v>1.201630449</v>
      </c>
    </row>
    <row r="81">
      <c r="A81" s="1"/>
      <c r="B81" s="275" t="s">
        <v>279</v>
      </c>
      <c r="C81" s="275">
        <v>1.0717734625362931</v>
      </c>
      <c r="D81" s="275">
        <v>2.0</v>
      </c>
      <c r="E81" s="277">
        <f>M16</f>
        <v>1</v>
      </c>
      <c r="F81" s="277" t="str">
        <f t="shared" si="1"/>
        <v/>
      </c>
      <c r="G81" s="275" t="s">
        <v>190</v>
      </c>
      <c r="H81" s="268" t="s">
        <v>527</v>
      </c>
      <c r="I81" s="275" t="s">
        <v>619</v>
      </c>
      <c r="J81" s="275">
        <v>1.5</v>
      </c>
      <c r="K81" s="275">
        <v>2.13</v>
      </c>
      <c r="L81" s="275">
        <v>1.0</v>
      </c>
      <c r="M81" s="275">
        <v>2.0</v>
      </c>
      <c r="N81" s="275">
        <v>2.0</v>
      </c>
      <c r="O81" s="275">
        <f>iferror(SUM(offset(SkillTreeInfo2.10!$AJ13,0,0,1,COLUMNS(SkillTreeInfo2.10!$AJ13:$BH13)-(25-$E81))),0)</f>
        <v>1</v>
      </c>
      <c r="P81" s="275">
        <v>1.1109295102044778</v>
      </c>
      <c r="R81" s="275">
        <f t="shared" si="2"/>
        <v>1.11092951</v>
      </c>
      <c r="S81">
        <v>5.0</v>
      </c>
      <c r="T81">
        <v>0.6</v>
      </c>
      <c r="U81" s="270">
        <f t="shared" ref="U81:Z81" si="12">U79</f>
        <v>0.5</v>
      </c>
      <c r="V81" s="270">
        <f t="shared" si="12"/>
        <v>0.5</v>
      </c>
      <c r="W81" s="270">
        <f t="shared" si="12"/>
        <v>0.6</v>
      </c>
      <c r="X81" s="270">
        <f t="shared" si="12"/>
        <v>0.5</v>
      </c>
      <c r="Y81" s="270">
        <f t="shared" si="12"/>
        <v>1</v>
      </c>
      <c r="Z81" s="270">
        <f t="shared" si="12"/>
        <v>1</v>
      </c>
      <c r="AA81" s="293" t="s">
        <v>620</v>
      </c>
      <c r="AB81" s="269" t="str">
        <f t="shared" si="3"/>
        <v/>
      </c>
      <c r="AC81" s="270" t="b">
        <v>0</v>
      </c>
      <c r="AD81" s="269" t="b">
        <v>0</v>
      </c>
      <c r="AE81" s="270" t="b">
        <v>0</v>
      </c>
      <c r="AF81" t="b">
        <f>IF(E5="✔",False,True)</f>
        <v>0</v>
      </c>
      <c r="AG81" t="b">
        <f>IF(N15&lt;&gt;"✔",True,False)</f>
        <v>0</v>
      </c>
      <c r="AH81" t="b">
        <f>IF($AH$69="On",OR(E79=0,AH79),false)</f>
        <v>0</v>
      </c>
      <c r="AI81" t="b">
        <f t="shared" si="4"/>
        <v>0</v>
      </c>
      <c r="AJ81" s="269" t="b">
        <f t="shared" si="5"/>
        <v>0</v>
      </c>
      <c r="AK81" s="293" t="s">
        <v>620</v>
      </c>
      <c r="AL81" s="269">
        <v>3.0</v>
      </c>
      <c r="AM81" s="295">
        <f t="shared" si="11"/>
        <v>-101</v>
      </c>
      <c r="AN81">
        <f t="shared" si="7"/>
        <v>1.275424501</v>
      </c>
      <c r="AP81">
        <f t="shared" si="8"/>
        <v>1.275424501</v>
      </c>
    </row>
    <row r="82">
      <c r="A82" s="1"/>
      <c r="B82" s="275" t="s">
        <v>208</v>
      </c>
      <c r="C82" s="275">
        <v>1.0488419318853408</v>
      </c>
      <c r="D82" s="275">
        <v>2.0</v>
      </c>
      <c r="E82" s="277">
        <f>O16</f>
        <v>0</v>
      </c>
      <c r="F82" s="277" t="str">
        <f t="shared" si="1"/>
        <v/>
      </c>
      <c r="G82" s="275" t="s">
        <v>197</v>
      </c>
      <c r="H82" s="268" t="s">
        <v>528</v>
      </c>
      <c r="I82" s="275"/>
      <c r="J82" s="275">
        <v>0.0</v>
      </c>
      <c r="K82" s="275">
        <v>1.5</v>
      </c>
      <c r="L82" s="275">
        <v>0.0</v>
      </c>
      <c r="M82" s="275">
        <v>1.0</v>
      </c>
      <c r="N82" s="275">
        <v>1.0</v>
      </c>
      <c r="O82" s="275">
        <f>iferror(SUM(offset(SkillTreeInfo2.10!$AJ14,0,0,1,COLUMNS(SkillTreeInfo2.10!$AJ14:$BH14)-(25-$E82))),0)</f>
        <v>0</v>
      </c>
      <c r="P82" s="275">
        <v>1.0</v>
      </c>
      <c r="R82" s="275">
        <f t="shared" si="2"/>
        <v>1</v>
      </c>
      <c r="S82">
        <v>19.0</v>
      </c>
      <c r="T82">
        <v>0.0</v>
      </c>
      <c r="U82" s="269">
        <v>0.0</v>
      </c>
      <c r="V82" s="269">
        <v>0.0</v>
      </c>
      <c r="W82" s="269">
        <v>0.0</v>
      </c>
      <c r="X82" s="269">
        <v>0.0</v>
      </c>
      <c r="Y82" s="269">
        <v>1.0</v>
      </c>
      <c r="Z82" s="270">
        <v>0.0</v>
      </c>
      <c r="AA82" s="293" t="s">
        <v>623</v>
      </c>
      <c r="AB82" s="269" t="str">
        <f t="shared" si="3"/>
        <v/>
      </c>
      <c r="AC82" s="270" t="b">
        <v>0</v>
      </c>
      <c r="AD82" s="269" t="b">
        <v>0</v>
      </c>
      <c r="AE82" s="270" t="b">
        <v>0</v>
      </c>
      <c r="AF82" t="b">
        <v>0</v>
      </c>
      <c r="AG82" t="b">
        <f>IF(P15&lt;&gt;"✔",True,False)</f>
        <v>1</v>
      </c>
      <c r="AH82" t="b">
        <f t="shared" ref="AH82:AH86" si="13">IF($AH$69="On",OR(E79=0,AH79),false)</f>
        <v>0</v>
      </c>
      <c r="AI82" t="b">
        <f t="shared" si="4"/>
        <v>0</v>
      </c>
      <c r="AJ82" s="269" t="b">
        <f t="shared" si="5"/>
        <v>1</v>
      </c>
      <c r="AK82" s="293" t="s">
        <v>623</v>
      </c>
      <c r="AL82" s="269">
        <v>3.0</v>
      </c>
      <c r="AM82" s="295">
        <f t="shared" si="11"/>
        <v>-101</v>
      </c>
      <c r="AN82">
        <f t="shared" si="7"/>
        <v>0</v>
      </c>
      <c r="AP82">
        <f t="shared" si="8"/>
        <v>0</v>
      </c>
    </row>
    <row r="83">
      <c r="A83" s="1"/>
      <c r="B83" s="275" t="s">
        <v>290</v>
      </c>
      <c r="C83" s="275">
        <v>1.0468802349768656</v>
      </c>
      <c r="D83" s="275">
        <v>2.0</v>
      </c>
      <c r="E83" s="277">
        <f>K20</f>
        <v>14</v>
      </c>
      <c r="F83" s="277" t="str">
        <f t="shared" si="1"/>
        <v/>
      </c>
      <c r="G83" s="275" t="s">
        <v>202</v>
      </c>
      <c r="H83" s="268" t="s">
        <v>529</v>
      </c>
      <c r="I83" s="275" t="s">
        <v>624</v>
      </c>
      <c r="J83" s="275">
        <v>0.0655</v>
      </c>
      <c r="K83" s="275">
        <v>0.0754</v>
      </c>
      <c r="L83" s="275">
        <v>0.388</v>
      </c>
      <c r="M83" s="275">
        <v>0.421</v>
      </c>
      <c r="N83" s="275">
        <v>14.0</v>
      </c>
      <c r="O83" s="275">
        <f>iferror(SUM(offset(SkillTreeInfo2.10!$AJ15,0,0,1,COLUMNS(SkillTreeInfo2.10!$AJ15:$BH15)-(25-$E83))),0)</f>
        <v>80</v>
      </c>
      <c r="P83" s="275">
        <v>1.0101047929669453</v>
      </c>
      <c r="Q83" s="1">
        <f>IFERROR(IF(I1="SC Damage",K107,IF(I1="HS Damage",J107,IF(I1="Ship Damage",L107,IF(I1="Pet Damage",M107,IF(I1="Tap Damage",N107,IF(I1="Hero Damage",O107,"Error")))))),1)^T83</f>
        <v>1.120935792</v>
      </c>
      <c r="R83">
        <f t="shared" si="2"/>
        <v>1.120935792</v>
      </c>
      <c r="S83">
        <v>3.0</v>
      </c>
      <c r="T83">
        <v>1.0</v>
      </c>
      <c r="U83" s="269">
        <v>1.0</v>
      </c>
      <c r="V83" s="269">
        <v>1.0</v>
      </c>
      <c r="W83" s="269">
        <v>1.0</v>
      </c>
      <c r="X83" s="269">
        <v>1.0</v>
      </c>
      <c r="Y83" s="269">
        <v>1.0</v>
      </c>
      <c r="Z83" s="269">
        <v>1.0</v>
      </c>
      <c r="AA83" s="293" t="s">
        <v>627</v>
      </c>
      <c r="AB83" s="269" t="str">
        <f t="shared" si="3"/>
        <v/>
      </c>
      <c r="AC83" s="270" t="b">
        <v>0</v>
      </c>
      <c r="AD83" s="269" t="b">
        <v>0</v>
      </c>
      <c r="AE83" s="270" t="b">
        <v>0</v>
      </c>
      <c r="AF83" t="b">
        <v>0</v>
      </c>
      <c r="AG83" t="b">
        <f>IF(L19&lt;&gt;"✔",True,False)</f>
        <v>0</v>
      </c>
      <c r="AH83" t="b">
        <f t="shared" si="13"/>
        <v>0</v>
      </c>
      <c r="AI83" t="b">
        <f t="shared" si="4"/>
        <v>0</v>
      </c>
      <c r="AJ83" s="269" t="b">
        <f t="shared" si="5"/>
        <v>0</v>
      </c>
      <c r="AK83" s="293" t="s">
        <v>627</v>
      </c>
      <c r="AL83" s="269">
        <v>20.0</v>
      </c>
      <c r="AM83" s="295">
        <f t="shared" si="11"/>
        <v>-84</v>
      </c>
      <c r="AN83">
        <f t="shared" si="7"/>
        <v>1</v>
      </c>
      <c r="AP83">
        <f t="shared" si="8"/>
        <v>1</v>
      </c>
    </row>
    <row r="84">
      <c r="A84" s="1"/>
      <c r="B84" s="275" t="s">
        <v>343</v>
      </c>
      <c r="C84" s="275">
        <v>1.0352649238413776</v>
      </c>
      <c r="D84" s="275">
        <v>2.0</v>
      </c>
      <c r="E84" s="277">
        <f>M20</f>
        <v>1</v>
      </c>
      <c r="F84" s="277" t="str">
        <f t="shared" si="1"/>
        <v/>
      </c>
      <c r="G84" s="275" t="s">
        <v>208</v>
      </c>
      <c r="H84" s="268" t="s">
        <v>530</v>
      </c>
      <c r="I84" s="275" t="s">
        <v>628</v>
      </c>
      <c r="J84" s="275">
        <v>0.0075</v>
      </c>
      <c r="K84" s="275">
        <v>0.00951</v>
      </c>
      <c r="L84" s="275">
        <v>1.0</v>
      </c>
      <c r="M84" s="275">
        <v>2.0</v>
      </c>
      <c r="N84" s="275">
        <v>2.0</v>
      </c>
      <c r="O84" s="275">
        <f>iferror(SUM(offset(SkillTreeInfo2.10!$AJ16,0,0,1,COLUMNS(SkillTreeInfo2.10!$AJ16:$BH16)-(25-$E84))),0)</f>
        <v>2</v>
      </c>
      <c r="P84" s="275">
        <v>1.0738306013717176</v>
      </c>
      <c r="Q84" s="297">
        <f>IFERROR((IFERROR(((1+K84*M81*4*30)/(1+J84*M81*4*30))^(1/N84),((1+K84*4*30)/(1))^(1/N84)))^T84,1)</f>
        <v>1.048841932</v>
      </c>
      <c r="R84">
        <f t="shared" si="2"/>
        <v>1.048841932</v>
      </c>
      <c r="S84">
        <v>13.0</v>
      </c>
      <c r="T84">
        <v>0.6</v>
      </c>
      <c r="U84" s="269">
        <f t="shared" ref="U84:Z84" si="14">U81</f>
        <v>0.5</v>
      </c>
      <c r="V84" s="269">
        <f t="shared" si="14"/>
        <v>0.5</v>
      </c>
      <c r="W84" s="269">
        <f t="shared" si="14"/>
        <v>0.6</v>
      </c>
      <c r="X84" s="269">
        <f t="shared" si="14"/>
        <v>0.5</v>
      </c>
      <c r="Y84" s="269">
        <f t="shared" si="14"/>
        <v>1</v>
      </c>
      <c r="Z84" s="269">
        <f t="shared" si="14"/>
        <v>1</v>
      </c>
      <c r="AA84" s="298" t="s">
        <v>631</v>
      </c>
      <c r="AB84" s="269" t="str">
        <f t="shared" si="3"/>
        <v/>
      </c>
      <c r="AC84" s="270" t="b">
        <v>0</v>
      </c>
      <c r="AD84" s="269" t="b">
        <v>0</v>
      </c>
      <c r="AE84" s="270" t="b">
        <v>0</v>
      </c>
      <c r="AF84" t="b">
        <f>AF81</f>
        <v>0</v>
      </c>
      <c r="AG84" t="b">
        <f>IF(N19&lt;&gt;"✔",True,False)</f>
        <v>0</v>
      </c>
      <c r="AH84" t="b">
        <f t="shared" si="13"/>
        <v>0</v>
      </c>
      <c r="AI84" t="b">
        <f t="shared" si="4"/>
        <v>0</v>
      </c>
      <c r="AJ84" s="269" t="b">
        <f t="shared" si="5"/>
        <v>0</v>
      </c>
      <c r="AK84" s="298" t="s">
        <v>631</v>
      </c>
      <c r="AL84" s="269">
        <v>20.0</v>
      </c>
      <c r="AM84" s="295">
        <f t="shared" si="11"/>
        <v>-84</v>
      </c>
      <c r="AN84">
        <f t="shared" si="7"/>
        <v>1</v>
      </c>
      <c r="AP84">
        <f t="shared" si="8"/>
        <v>1</v>
      </c>
    </row>
    <row r="85">
      <c r="A85" s="1"/>
      <c r="B85" s="275" t="s">
        <v>299</v>
      </c>
      <c r="C85" s="275">
        <v>1.023373891996775</v>
      </c>
      <c r="D85" s="275">
        <v>3.0</v>
      </c>
      <c r="E85" s="277">
        <f>O20</f>
        <v>0</v>
      </c>
      <c r="F85" s="277" t="str">
        <f t="shared" si="1"/>
        <v/>
      </c>
      <c r="G85" s="275" t="s">
        <v>215</v>
      </c>
      <c r="H85" s="268" t="s">
        <v>531</v>
      </c>
      <c r="I85" s="275"/>
      <c r="J85" s="275">
        <v>0.0</v>
      </c>
      <c r="K85" s="275">
        <v>1.8</v>
      </c>
      <c r="L85" s="275">
        <v>0.0</v>
      </c>
      <c r="M85" s="275">
        <v>0.0</v>
      </c>
      <c r="N85" s="275">
        <v>2.0</v>
      </c>
      <c r="O85" s="275">
        <f>iferror(SUM(offset(SkillTreeInfo2.10!$AJ17,0,0,1,COLUMNS(SkillTreeInfo2.10!$AJ17:$BH17)-(25-$E85))),0)</f>
        <v>0</v>
      </c>
      <c r="P85" s="275">
        <v>1.0</v>
      </c>
      <c r="R85" s="275">
        <f t="shared" si="2"/>
        <v>1</v>
      </c>
      <c r="S85">
        <v>19.0</v>
      </c>
      <c r="T85">
        <v>0.0</v>
      </c>
      <c r="U85" s="269">
        <v>0.5</v>
      </c>
      <c r="V85" s="269">
        <v>0.5</v>
      </c>
      <c r="W85" s="270">
        <v>0.6</v>
      </c>
      <c r="X85" s="269">
        <v>0.5</v>
      </c>
      <c r="Y85" s="269">
        <v>1.0</v>
      </c>
      <c r="Z85" s="269">
        <v>1.0</v>
      </c>
      <c r="AA85" s="293" t="s">
        <v>633</v>
      </c>
      <c r="AB85" s="269" t="str">
        <f t="shared" si="3"/>
        <v/>
      </c>
      <c r="AC85" s="270" t="b">
        <f t="shared" ref="AC85:AC86" si="15">IF($AC$69="Off", False, True)</f>
        <v>0</v>
      </c>
      <c r="AD85" s="269" t="b">
        <v>0</v>
      </c>
      <c r="AE85" s="270" t="b">
        <v>0</v>
      </c>
      <c r="AF85" t="b">
        <v>0</v>
      </c>
      <c r="AG85" t="b">
        <f>IF(P19&lt;&gt;"✔",True,False)</f>
        <v>1</v>
      </c>
      <c r="AH85" t="b">
        <f t="shared" si="13"/>
        <v>0</v>
      </c>
      <c r="AI85" t="b">
        <f t="shared" si="4"/>
        <v>0</v>
      </c>
      <c r="AJ85" s="269" t="b">
        <f t="shared" si="5"/>
        <v>1</v>
      </c>
      <c r="AK85" s="293" t="s">
        <v>633</v>
      </c>
      <c r="AL85" s="269">
        <v>20.0</v>
      </c>
      <c r="AM85" s="295">
        <f t="shared" si="11"/>
        <v>-84</v>
      </c>
      <c r="AN85">
        <f t="shared" si="7"/>
        <v>0</v>
      </c>
      <c r="AP85">
        <f t="shared" si="8"/>
        <v>0</v>
      </c>
    </row>
    <row r="86">
      <c r="A86" s="1"/>
      <c r="B86" s="275" t="s">
        <v>128</v>
      </c>
      <c r="C86" s="275">
        <v>1.0211547235292064</v>
      </c>
      <c r="D86" s="275">
        <v>2.0</v>
      </c>
      <c r="E86" s="277">
        <f>K24</f>
        <v>0</v>
      </c>
      <c r="F86" s="277" t="str">
        <f t="shared" si="1"/>
        <v/>
      </c>
      <c r="G86" s="275" t="s">
        <v>220</v>
      </c>
      <c r="H86" s="268" t="s">
        <v>532</v>
      </c>
      <c r="I86" s="275"/>
      <c r="J86" s="275">
        <v>0.0</v>
      </c>
      <c r="K86" s="275">
        <v>1.21</v>
      </c>
      <c r="L86" s="275">
        <v>0.0</v>
      </c>
      <c r="M86" s="275">
        <v>0.0</v>
      </c>
      <c r="N86" s="275">
        <v>3.0</v>
      </c>
      <c r="O86" s="275">
        <f>iferror(SUM(offset(SkillTreeInfo2.10!$AJ18,0,0,1,COLUMNS(SkillTreeInfo2.10!$AJ18:$BH18)-(25-$E86))),0)</f>
        <v>0</v>
      </c>
      <c r="P86" s="275">
        <v>1.0</v>
      </c>
      <c r="Q86">
        <f>IFERROR((IFERROR(((K86^5)/(J86^5))^(1/N86),((K86^5)/(1^5))^(1/N86)))^T86,1)</f>
        <v>1</v>
      </c>
      <c r="R86">
        <f t="shared" si="2"/>
        <v>1</v>
      </c>
      <c r="S86">
        <v>19.0</v>
      </c>
      <c r="T86">
        <v>0.0</v>
      </c>
      <c r="U86" s="269">
        <v>0.5</v>
      </c>
      <c r="V86" s="269">
        <v>0.5</v>
      </c>
      <c r="W86" s="270">
        <v>0.6</v>
      </c>
      <c r="X86" s="269">
        <v>0.5</v>
      </c>
      <c r="Y86" s="269">
        <v>1.0</v>
      </c>
      <c r="Z86" s="269">
        <v>1.0</v>
      </c>
      <c r="AA86" s="293" t="s">
        <v>636</v>
      </c>
      <c r="AB86" s="269" t="str">
        <f t="shared" si="3"/>
        <v/>
      </c>
      <c r="AC86" s="270" t="b">
        <f t="shared" si="15"/>
        <v>0</v>
      </c>
      <c r="AD86" s="269" t="b">
        <v>0</v>
      </c>
      <c r="AE86" s="270" t="b">
        <v>0</v>
      </c>
      <c r="AF86" t="b">
        <v>0</v>
      </c>
      <c r="AG86" t="b">
        <f>IF(L23&lt;&gt;"✔",True,False)</f>
        <v>1</v>
      </c>
      <c r="AH86" t="b">
        <f t="shared" si="13"/>
        <v>0</v>
      </c>
      <c r="AI86" t="b">
        <f t="shared" si="4"/>
        <v>0</v>
      </c>
      <c r="AJ86" s="269" t="b">
        <f t="shared" si="5"/>
        <v>1</v>
      </c>
      <c r="AK86" s="293" t="s">
        <v>636</v>
      </c>
      <c r="AL86" s="269">
        <v>50.0</v>
      </c>
      <c r="AM86" s="295">
        <f t="shared" si="11"/>
        <v>-54</v>
      </c>
      <c r="AN86">
        <f t="shared" si="7"/>
        <v>0</v>
      </c>
      <c r="AP86">
        <f t="shared" si="8"/>
        <v>0</v>
      </c>
    </row>
    <row r="87">
      <c r="B87" s="275" t="s">
        <v>233</v>
      </c>
      <c r="C87" s="275">
        <v>1.0101881773459105</v>
      </c>
      <c r="D87" s="275">
        <v>2.0</v>
      </c>
      <c r="E87" s="277">
        <f>O24</f>
        <v>0</v>
      </c>
      <c r="F87" s="277" t="str">
        <f t="shared" si="1"/>
        <v/>
      </c>
      <c r="G87" s="275" t="s">
        <v>226</v>
      </c>
      <c r="H87" s="268" t="s">
        <v>533</v>
      </c>
      <c r="I87" s="275"/>
      <c r="J87" s="275">
        <v>0.0</v>
      </c>
      <c r="K87" s="275">
        <v>3.5</v>
      </c>
      <c r="L87" s="275">
        <v>0.0</v>
      </c>
      <c r="M87" s="275">
        <v>0.8</v>
      </c>
      <c r="N87" s="275">
        <v>3.0</v>
      </c>
      <c r="O87" s="275">
        <f>iferror(SUM(offset(SkillTreeInfo2.10!$AJ19,0,0,1,COLUMNS(SkillTreeInfo2.10!$AJ19:$BH19)-(25-$E87))),0)</f>
        <v>0</v>
      </c>
      <c r="P87" s="275">
        <v>1.0</v>
      </c>
      <c r="R87" s="275">
        <f t="shared" si="2"/>
        <v>1</v>
      </c>
      <c r="S87">
        <v>19.0</v>
      </c>
      <c r="T87">
        <v>0.0</v>
      </c>
      <c r="U87" s="269">
        <v>1.0</v>
      </c>
      <c r="V87" s="269">
        <v>1.0</v>
      </c>
      <c r="W87" s="269">
        <v>1.0</v>
      </c>
      <c r="X87" s="269">
        <v>1.0</v>
      </c>
      <c r="Y87" s="270">
        <v>1.0</v>
      </c>
      <c r="Z87" s="269">
        <v>1.0</v>
      </c>
      <c r="AA87" s="293" t="s">
        <v>645</v>
      </c>
      <c r="AB87" s="269" t="str">
        <f t="shared" si="3"/>
        <v/>
      </c>
      <c r="AC87" s="270" t="b">
        <v>0</v>
      </c>
      <c r="AD87" s="269" t="b">
        <v>0</v>
      </c>
      <c r="AE87" s="270" t="b">
        <v>0</v>
      </c>
      <c r="AF87" s="1" t="b">
        <v>0</v>
      </c>
      <c r="AG87" t="b">
        <f>IF(P23&lt;&gt;"✔",True,False)</f>
        <v>1</v>
      </c>
      <c r="AH87" t="b">
        <f>IF($AH$69="On",OR(E85=0,AH85),false)</f>
        <v>0</v>
      </c>
      <c r="AI87" t="b">
        <f t="shared" si="4"/>
        <v>0</v>
      </c>
      <c r="AJ87" s="269" t="b">
        <f t="shared" si="5"/>
        <v>1</v>
      </c>
      <c r="AK87" s="293" t="s">
        <v>645</v>
      </c>
      <c r="AL87" s="269">
        <v>50.0</v>
      </c>
      <c r="AM87" s="295">
        <f t="shared" si="11"/>
        <v>-54</v>
      </c>
      <c r="AN87">
        <f t="shared" si="7"/>
        <v>0</v>
      </c>
      <c r="AP87">
        <f t="shared" si="8"/>
        <v>0</v>
      </c>
    </row>
    <row r="88">
      <c r="B88" s="275" t="s">
        <v>133</v>
      </c>
      <c r="C88" s="275">
        <v>1.0</v>
      </c>
      <c r="D88" s="275">
        <v>2.0</v>
      </c>
      <c r="E88" s="277">
        <f>G31</f>
        <v>2</v>
      </c>
      <c r="F88" s="277" t="str">
        <f t="shared" si="1"/>
        <v/>
      </c>
      <c r="G88" s="275" t="s">
        <v>233</v>
      </c>
      <c r="H88" s="268" t="s">
        <v>522</v>
      </c>
      <c r="I88" s="275" t="s">
        <v>649</v>
      </c>
      <c r="J88" s="275">
        <v>8.0</v>
      </c>
      <c r="K88" s="275">
        <v>12.0</v>
      </c>
      <c r="L88" s="275">
        <v>0.228</v>
      </c>
      <c r="M88" s="275">
        <v>0.373</v>
      </c>
      <c r="N88" s="275">
        <v>2.0</v>
      </c>
      <c r="O88" s="275">
        <f>iferror(SUM(offset(SkillTreeInfo2.10!$AJ20,0,0,1,COLUMNS(SkillTreeInfo2.10!$AJ20:$BH20)-(25-$E88))),0)</f>
        <v>3</v>
      </c>
      <c r="P88" s="275">
        <v>1.0101881773459105</v>
      </c>
      <c r="R88" s="275">
        <f t="shared" si="2"/>
        <v>1.010188177</v>
      </c>
      <c r="S88">
        <v>18.0</v>
      </c>
      <c r="T88">
        <v>0.05</v>
      </c>
      <c r="U88" s="270">
        <v>0.05</v>
      </c>
      <c r="V88" s="270">
        <v>0.05</v>
      </c>
      <c r="W88" s="270">
        <v>0.05</v>
      </c>
      <c r="X88" s="270">
        <v>0.05</v>
      </c>
      <c r="Y88" s="270">
        <v>0.05</v>
      </c>
      <c r="Z88" s="270">
        <v>0.05</v>
      </c>
      <c r="AA88" s="293" t="s">
        <v>651</v>
      </c>
      <c r="AB88" s="269" t="str">
        <f t="shared" si="3"/>
        <v/>
      </c>
      <c r="AC88" s="270" t="b">
        <v>0</v>
      </c>
      <c r="AD88" s="269" t="b">
        <v>0</v>
      </c>
      <c r="AE88" s="270" t="b">
        <f>IF($AE$69 = "On",TRUE,FALSE)</f>
        <v>0</v>
      </c>
      <c r="AF88" t="b">
        <v>0</v>
      </c>
      <c r="AG88" t="b">
        <f>IF(H30&lt;&gt;"✔",True,False)</f>
        <v>0</v>
      </c>
      <c r="AH88" t="b">
        <f>IF($AH$69="On",false,false)</f>
        <v>0</v>
      </c>
      <c r="AI88" t="b">
        <f t="shared" si="4"/>
        <v>0</v>
      </c>
      <c r="AJ88" s="269" t="b">
        <f t="shared" si="5"/>
        <v>0</v>
      </c>
      <c r="AK88" s="293" t="s">
        <v>651</v>
      </c>
      <c r="AL88" s="269">
        <v>0.0</v>
      </c>
      <c r="AM88" s="295">
        <f t="shared" ref="AM88:AM97" si="16">AL88-$I$28</f>
        <v>-1108</v>
      </c>
      <c r="AN88">
        <f t="shared" si="7"/>
        <v>1.035264924</v>
      </c>
      <c r="AP88">
        <f t="shared" si="8"/>
        <v>1.035264924</v>
      </c>
    </row>
    <row r="89">
      <c r="B89" s="275" t="s">
        <v>138</v>
      </c>
      <c r="C89" s="275">
        <v>1.0</v>
      </c>
      <c r="D89" s="275">
        <v>1.0</v>
      </c>
      <c r="E89" s="277">
        <f>E35</f>
        <v>20</v>
      </c>
      <c r="F89" s="277" t="str">
        <f t="shared" si="1"/>
        <v/>
      </c>
      <c r="G89" s="275" t="s">
        <v>240</v>
      </c>
      <c r="H89" s="268" t="s">
        <v>534</v>
      </c>
      <c r="I89" s="275" t="s">
        <v>654</v>
      </c>
      <c r="J89" s="275">
        <v>1.5E10</v>
      </c>
      <c r="K89" s="275">
        <v>2.49E11</v>
      </c>
      <c r="L89" s="275">
        <v>18700.0</v>
      </c>
      <c r="M89" s="275">
        <v>69300.0</v>
      </c>
      <c r="N89" s="275">
        <v>28.0</v>
      </c>
      <c r="O89" s="275">
        <f>iferror(SUM(offset(SkillTreeInfo2.10!$AJ21,0,0,1,COLUMNS(SkillTreeInfo2.10!$AJ21:$BH21)-(25-$E89))),0)</f>
        <v>177</v>
      </c>
      <c r="P89" s="275">
        <v>1.0824914585013448</v>
      </c>
      <c r="Q89" s="1">
        <f>IFERROR(IFERROR(IF(E7="Fairy",((((K89/J89)^0.6)*(M89/L89))^(1/N89))^T89,IF(OR(E7="Boss Gold",E7="PHoM"),IFERROR(((((K89/J89)^0.6))^(1/N89))^T89,((((K89/1)^0.5))^(1/1))^T89),P89)),((((K89/1)^0.5)*(M89/1))^(1/1))^T89),1)</f>
        <v>1.088192073</v>
      </c>
      <c r="R89">
        <f t="shared" si="2"/>
        <v>1.088192073</v>
      </c>
      <c r="S89">
        <v>10.0</v>
      </c>
      <c r="T89">
        <v>0.79</v>
      </c>
      <c r="U89" s="270">
        <v>0.79</v>
      </c>
      <c r="V89" s="270">
        <v>0.79</v>
      </c>
      <c r="W89" s="270">
        <v>0.79</v>
      </c>
      <c r="X89" s="270">
        <v>0.79</v>
      </c>
      <c r="Y89" s="270">
        <v>0.79</v>
      </c>
      <c r="Z89" s="270">
        <v>0.79</v>
      </c>
      <c r="AA89" s="293" t="s">
        <v>657</v>
      </c>
      <c r="AB89" s="269" t="str">
        <f t="shared" si="3"/>
        <v/>
      </c>
      <c r="AC89" s="270" t="b">
        <v>0</v>
      </c>
      <c r="AD89" s="269" t="b">
        <v>0</v>
      </c>
      <c r="AE89" s="270" t="b">
        <v>0</v>
      </c>
      <c r="AF89" t="b">
        <f>IF(E3="✔",False,True)</f>
        <v>0</v>
      </c>
      <c r="AG89" t="b">
        <f>IF(F34&lt;&gt;"✔",True,False)</f>
        <v>0</v>
      </c>
      <c r="AH89" t="b">
        <f>IF($AH$69="On",OR(E88=0,AH88),false)</f>
        <v>0</v>
      </c>
      <c r="AI89" t="b">
        <f t="shared" si="4"/>
        <v>0</v>
      </c>
      <c r="AJ89" s="269" t="b">
        <f t="shared" si="5"/>
        <v>0</v>
      </c>
      <c r="AK89" s="293" t="s">
        <v>657</v>
      </c>
      <c r="AL89" s="269">
        <v>3.0</v>
      </c>
      <c r="AM89" s="295">
        <f t="shared" si="16"/>
        <v>-1105</v>
      </c>
      <c r="AN89">
        <f t="shared" si="7"/>
        <v>1.11024471</v>
      </c>
      <c r="AP89">
        <f t="shared" si="8"/>
        <v>1.11024471</v>
      </c>
    </row>
    <row r="90">
      <c r="B90" s="275" t="s">
        <v>158</v>
      </c>
      <c r="C90" s="275">
        <v>1.0</v>
      </c>
      <c r="D90" s="275">
        <v>2.0</v>
      </c>
      <c r="E90" s="277">
        <f>G35</f>
        <v>0</v>
      </c>
      <c r="F90" s="277" t="str">
        <f t="shared" si="1"/>
        <v/>
      </c>
      <c r="G90" s="275" t="s">
        <v>245</v>
      </c>
      <c r="H90" s="268" t="s">
        <v>535</v>
      </c>
      <c r="I90" s="275"/>
      <c r="J90" s="275">
        <v>0.0</v>
      </c>
      <c r="K90" s="275">
        <v>2.0</v>
      </c>
      <c r="L90" s="275">
        <v>0.0</v>
      </c>
      <c r="M90" s="275">
        <v>0.0</v>
      </c>
      <c r="N90" s="275">
        <v>1.0</v>
      </c>
      <c r="O90" s="275">
        <f>iferror(SUM(offset(SkillTreeInfo2.10!$AJ22,0,0,1,COLUMNS(SkillTreeInfo2.10!$AJ22:$BH22)-(25-$E90))),0)</f>
        <v>0</v>
      </c>
      <c r="P90" s="275">
        <v>1.0</v>
      </c>
      <c r="R90" s="275">
        <f t="shared" si="2"/>
        <v>1</v>
      </c>
      <c r="S90">
        <v>19.0</v>
      </c>
      <c r="T90">
        <v>0.0</v>
      </c>
      <c r="U90" s="269">
        <v>0.0</v>
      </c>
      <c r="V90" s="269">
        <v>0.0</v>
      </c>
      <c r="W90" s="269">
        <v>0.0</v>
      </c>
      <c r="X90" s="269">
        <v>1.0</v>
      </c>
      <c r="Y90" s="269">
        <v>0.0</v>
      </c>
      <c r="Z90" s="269">
        <v>0.0</v>
      </c>
      <c r="AA90" s="293" t="s">
        <v>661</v>
      </c>
      <c r="AB90" s="269" t="str">
        <f t="shared" si="3"/>
        <v/>
      </c>
      <c r="AC90" s="270" t="b">
        <v>0</v>
      </c>
      <c r="AD90" s="269" t="b">
        <v>0</v>
      </c>
      <c r="AE90" s="270" t="b">
        <v>0</v>
      </c>
      <c r="AF90" t="b">
        <f>IF(E1="✔",False,True)</f>
        <v>0</v>
      </c>
      <c r="AG90" t="b">
        <f>IF(H34&lt;&gt;"✔",True,False)</f>
        <v>0</v>
      </c>
      <c r="AH90" t="b">
        <f>IF($AH$69="On",OR(E88=0,AH88),false)</f>
        <v>0</v>
      </c>
      <c r="AI90" t="b">
        <f t="shared" si="4"/>
        <v>0</v>
      </c>
      <c r="AJ90" s="269" t="b">
        <f t="shared" si="5"/>
        <v>0</v>
      </c>
      <c r="AK90" s="293" t="s">
        <v>661</v>
      </c>
      <c r="AL90" s="269">
        <v>3.0</v>
      </c>
      <c r="AM90" s="295">
        <f t="shared" si="16"/>
        <v>-1105</v>
      </c>
      <c r="AN90">
        <f t="shared" si="7"/>
        <v>0</v>
      </c>
      <c r="AP90">
        <f t="shared" si="8"/>
        <v>0</v>
      </c>
    </row>
    <row r="91">
      <c r="B91" s="275" t="s">
        <v>166</v>
      </c>
      <c r="C91" s="275">
        <v>1.0</v>
      </c>
      <c r="D91" s="275">
        <v>3.0</v>
      </c>
      <c r="E91" s="277">
        <f>I35</f>
        <v>25</v>
      </c>
      <c r="F91" s="277" t="str">
        <f t="shared" si="1"/>
        <v/>
      </c>
      <c r="G91" s="275" t="s">
        <v>268</v>
      </c>
      <c r="H91" s="268" t="s">
        <v>536</v>
      </c>
      <c r="I91" s="275" t="s">
        <v>662</v>
      </c>
      <c r="J91" s="275">
        <v>6.81E15</v>
      </c>
      <c r="K91" s="275" t="s">
        <v>276</v>
      </c>
      <c r="L91" s="275">
        <v>6.02</v>
      </c>
      <c r="M91" s="275" t="e">
        <v>#REF!</v>
      </c>
      <c r="N91" s="275" t="s">
        <v>123</v>
      </c>
      <c r="O91" s="275">
        <f>iferror(SUM(offset(SkillTreeInfo2.10!$AJ23,0,0,1,COLUMNS(SkillTreeInfo2.10!$AJ23:$BH23)-(25-$E91))),0)</f>
        <v>369</v>
      </c>
      <c r="P91" s="275">
        <v>1.0</v>
      </c>
      <c r="Q91">
        <f>IFERROR(IFERROR((((K91/J91)*((4+M91)/(4+L91)))^(1/N91))^T91,(((K91/1)*((4+M91)/(4+L91)))^(1/N91))^T91),1)</f>
        <v>1</v>
      </c>
      <c r="R91">
        <f t="shared" si="2"/>
        <v>1</v>
      </c>
      <c r="S91">
        <v>19.0</v>
      </c>
      <c r="T91">
        <v>1.0</v>
      </c>
      <c r="U91" s="269">
        <v>1.0</v>
      </c>
      <c r="V91" s="269">
        <v>0.0</v>
      </c>
      <c r="W91" s="269">
        <v>1.0</v>
      </c>
      <c r="X91" s="269">
        <v>0.0</v>
      </c>
      <c r="Y91" s="269">
        <v>0.0</v>
      </c>
      <c r="Z91" s="269">
        <v>0.0</v>
      </c>
      <c r="AA91" s="293" t="s">
        <v>666</v>
      </c>
      <c r="AB91" s="269" t="str">
        <f t="shared" si="3"/>
        <v/>
      </c>
      <c r="AC91" s="270" t="b">
        <v>0</v>
      </c>
      <c r="AD91" s="269" t="b">
        <v>0</v>
      </c>
      <c r="AE91" s="270" t="b">
        <v>0</v>
      </c>
      <c r="AF91" t="b">
        <f>IF(E6="✔",False,True)</f>
        <v>0</v>
      </c>
      <c r="AG91" t="b">
        <f>IF(J34&lt;&gt;"✔",True,False)</f>
        <v>0</v>
      </c>
      <c r="AH91" t="b">
        <f t="shared" ref="AH91:AH97" si="17">IF($AH$69="On",OR(E88=0,AH88),false)</f>
        <v>0</v>
      </c>
      <c r="AI91" t="b">
        <f t="shared" si="4"/>
        <v>0</v>
      </c>
      <c r="AJ91" s="269" t="b">
        <f t="shared" si="5"/>
        <v>0</v>
      </c>
      <c r="AK91" s="293" t="s">
        <v>666</v>
      </c>
      <c r="AL91" s="269">
        <v>3.0</v>
      </c>
      <c r="AM91" s="295">
        <f t="shared" si="16"/>
        <v>-1105</v>
      </c>
      <c r="AN91">
        <f t="shared" si="7"/>
        <v>1.103845414</v>
      </c>
      <c r="AP91">
        <f t="shared" si="8"/>
        <v>1.103845414</v>
      </c>
    </row>
    <row r="92">
      <c r="B92" s="275" t="s">
        <v>172</v>
      </c>
      <c r="C92" s="275">
        <v>1.0</v>
      </c>
      <c r="D92" s="275">
        <v>3.0</v>
      </c>
      <c r="E92" s="277">
        <f>E39</f>
        <v>1</v>
      </c>
      <c r="F92" s="277" t="str">
        <f t="shared" si="1"/>
        <v/>
      </c>
      <c r="G92" s="275" t="s">
        <v>279</v>
      </c>
      <c r="H92" s="268" t="s">
        <v>537</v>
      </c>
      <c r="I92" s="275" t="s">
        <v>667</v>
      </c>
      <c r="J92" s="275">
        <v>0.04</v>
      </c>
      <c r="K92" s="275">
        <v>0.16</v>
      </c>
      <c r="L92" s="275">
        <v>4.0</v>
      </c>
      <c r="M92" s="275">
        <v>8.6</v>
      </c>
      <c r="N92" s="275">
        <v>2.0</v>
      </c>
      <c r="O92" s="275">
        <f>iferror(SUM(offset(SkillTreeInfo2.10!$AJ24,0,0,1,COLUMNS(SkillTreeInfo2.10!$AJ24:$BH24)-(25-$E92))),0)</f>
        <v>2</v>
      </c>
      <c r="P92" s="275">
        <v>1.0717734625362931</v>
      </c>
      <c r="R92" s="275">
        <f t="shared" si="2"/>
        <v>1.071773463</v>
      </c>
      <c r="S92">
        <v>12.0</v>
      </c>
      <c r="T92">
        <v>0.1</v>
      </c>
      <c r="U92" s="269">
        <v>0.1</v>
      </c>
      <c r="V92" s="269">
        <v>0.1</v>
      </c>
      <c r="W92" s="269">
        <v>0.1</v>
      </c>
      <c r="X92" s="269">
        <v>0.1</v>
      </c>
      <c r="Y92" s="269">
        <v>0.1</v>
      </c>
      <c r="Z92" s="269">
        <v>0.1</v>
      </c>
      <c r="AA92" s="293" t="s">
        <v>668</v>
      </c>
      <c r="AB92" s="269" t="str">
        <f t="shared" si="3"/>
        <v/>
      </c>
      <c r="AC92" s="270" t="b">
        <v>0</v>
      </c>
      <c r="AD92" s="269" t="b">
        <v>0</v>
      </c>
      <c r="AE92" s="270" t="b">
        <f t="shared" ref="AE92:AE95" si="18">IF($AE$69 = "On",TRUE,FALSE)</f>
        <v>0</v>
      </c>
      <c r="AF92" t="b">
        <v>0</v>
      </c>
      <c r="AG92" t="b">
        <f>IF(F38&lt;&gt;"✔",True,False)</f>
        <v>0</v>
      </c>
      <c r="AH92" t="b">
        <f t="shared" si="17"/>
        <v>0</v>
      </c>
      <c r="AI92" t="b">
        <f t="shared" si="4"/>
        <v>0</v>
      </c>
      <c r="AJ92" s="269" t="b">
        <f t="shared" si="5"/>
        <v>0</v>
      </c>
      <c r="AK92" s="293" t="s">
        <v>668</v>
      </c>
      <c r="AL92" s="269">
        <v>20.0</v>
      </c>
      <c r="AM92" s="295">
        <f t="shared" si="16"/>
        <v>-1088</v>
      </c>
      <c r="AN92">
        <f t="shared" si="7"/>
        <v>1</v>
      </c>
      <c r="AP92">
        <f t="shared" si="8"/>
        <v>1</v>
      </c>
    </row>
    <row r="93">
      <c r="B93" s="275" t="s">
        <v>197</v>
      </c>
      <c r="C93" s="275">
        <v>1.0</v>
      </c>
      <c r="D93" s="275">
        <v>1.0</v>
      </c>
      <c r="E93" s="277">
        <f>G39</f>
        <v>0</v>
      </c>
      <c r="F93" s="277" t="str">
        <f t="shared" si="1"/>
        <v/>
      </c>
      <c r="G93" s="275" t="s">
        <v>285</v>
      </c>
      <c r="H93" s="268" t="s">
        <v>538</v>
      </c>
      <c r="I93" s="275"/>
      <c r="J93" s="275">
        <v>0.0</v>
      </c>
      <c r="K93" s="275">
        <v>5.0E-4</v>
      </c>
      <c r="L93" s="275">
        <v>0.0</v>
      </c>
      <c r="M93" s="275">
        <v>0.0</v>
      </c>
      <c r="N93" s="275">
        <v>2.0</v>
      </c>
      <c r="O93" s="275">
        <f>iferror(SUM(offset(SkillTreeInfo2.10!$AJ25,0,0,1,COLUMNS(SkillTreeInfo2.10!$AJ25:$BH25)-(25-$E93))),0)</f>
        <v>0</v>
      </c>
      <c r="P93" s="275">
        <v>0.6838305520458344</v>
      </c>
      <c r="R93" s="275">
        <f t="shared" si="2"/>
        <v>0.683830552</v>
      </c>
      <c r="S93">
        <v>34.0</v>
      </c>
      <c r="T93">
        <v>0.1</v>
      </c>
      <c r="U93" s="269">
        <v>0.1</v>
      </c>
      <c r="V93" s="269">
        <v>0.1</v>
      </c>
      <c r="W93" s="269">
        <v>0.1</v>
      </c>
      <c r="X93" s="269">
        <v>0.1</v>
      </c>
      <c r="Y93" s="269">
        <v>0.1</v>
      </c>
      <c r="Z93" s="269">
        <v>0.1</v>
      </c>
      <c r="AA93" s="293" t="s">
        <v>671</v>
      </c>
      <c r="AB93" s="269" t="str">
        <f t="shared" si="3"/>
        <v/>
      </c>
      <c r="AC93" s="270" t="b">
        <v>0</v>
      </c>
      <c r="AD93" s="269" t="b">
        <v>0</v>
      </c>
      <c r="AE93" s="270" t="b">
        <f t="shared" si="18"/>
        <v>0</v>
      </c>
      <c r="AF93" t="b">
        <v>0</v>
      </c>
      <c r="AG93" t="b">
        <f>IF(H38&lt;&gt;"✔",True,False)</f>
        <v>0</v>
      </c>
      <c r="AH93" t="b">
        <f t="shared" si="17"/>
        <v>0</v>
      </c>
      <c r="AI93" t="b">
        <f t="shared" si="4"/>
        <v>0</v>
      </c>
      <c r="AJ93" s="269" t="b">
        <f t="shared" si="5"/>
        <v>0</v>
      </c>
      <c r="AK93" s="293" t="s">
        <v>671</v>
      </c>
      <c r="AL93" s="269">
        <v>20.0</v>
      </c>
      <c r="AM93" s="295">
        <f t="shared" si="16"/>
        <v>-1088</v>
      </c>
      <c r="AN93">
        <f t="shared" si="7"/>
        <v>0</v>
      </c>
      <c r="AP93">
        <f t="shared" si="8"/>
        <v>0</v>
      </c>
    </row>
    <row r="94">
      <c r="B94" s="275" t="s">
        <v>215</v>
      </c>
      <c r="C94" s="275">
        <v>1.0</v>
      </c>
      <c r="D94" s="275">
        <v>2.0</v>
      </c>
      <c r="E94" s="277">
        <f>I39</f>
        <v>1</v>
      </c>
      <c r="F94" s="277" t="str">
        <f t="shared" si="1"/>
        <v/>
      </c>
      <c r="G94" s="275" t="s">
        <v>290</v>
      </c>
      <c r="H94" s="268" t="s">
        <v>539</v>
      </c>
      <c r="I94" s="275" t="s">
        <v>674</v>
      </c>
      <c r="J94" s="275">
        <v>2.0</v>
      </c>
      <c r="K94" s="275">
        <v>5.0</v>
      </c>
      <c r="L94" s="275">
        <v>0.0</v>
      </c>
      <c r="M94" s="275">
        <v>1.0</v>
      </c>
      <c r="N94" s="275">
        <v>2.0</v>
      </c>
      <c r="O94" s="275">
        <f>iferror(SUM(offset(SkillTreeInfo2.10!$AJ26,0,0,1,COLUMNS(SkillTreeInfo2.10!$AJ26:$BH26)-(25-$E94))),0)</f>
        <v>2</v>
      </c>
      <c r="P94" s="275">
        <v>1.0468802349768656</v>
      </c>
      <c r="R94" s="275">
        <f t="shared" si="2"/>
        <v>1.046880235</v>
      </c>
      <c r="S94">
        <v>14.0</v>
      </c>
      <c r="T94">
        <v>0.1</v>
      </c>
      <c r="U94" s="269">
        <v>0.1</v>
      </c>
      <c r="V94" s="269">
        <v>0.1</v>
      </c>
      <c r="W94" s="269">
        <v>0.1</v>
      </c>
      <c r="X94" s="269">
        <v>0.1</v>
      </c>
      <c r="Y94" s="269">
        <v>0.1</v>
      </c>
      <c r="Z94" s="269">
        <v>0.1</v>
      </c>
      <c r="AA94" s="293" t="s">
        <v>675</v>
      </c>
      <c r="AB94" s="269" t="str">
        <f t="shared" si="3"/>
        <v/>
      </c>
      <c r="AC94" s="270" t="b">
        <v>0</v>
      </c>
      <c r="AD94" s="269" t="b">
        <v>0</v>
      </c>
      <c r="AE94" s="270" t="b">
        <f t="shared" si="18"/>
        <v>0</v>
      </c>
      <c r="AF94" t="b">
        <v>0</v>
      </c>
      <c r="AG94" t="b">
        <f>IF(J38&lt;&gt;"✔",True,False)</f>
        <v>0</v>
      </c>
      <c r="AH94" t="b">
        <f t="shared" si="17"/>
        <v>0</v>
      </c>
      <c r="AI94" t="b">
        <f t="shared" si="4"/>
        <v>0</v>
      </c>
      <c r="AJ94" s="269" t="b">
        <f t="shared" si="5"/>
        <v>0</v>
      </c>
      <c r="AK94" s="293" t="s">
        <v>675</v>
      </c>
      <c r="AL94" s="269">
        <v>20.0</v>
      </c>
      <c r="AM94" s="295">
        <f t="shared" si="16"/>
        <v>-1088</v>
      </c>
      <c r="AN94">
        <f t="shared" si="7"/>
        <v>1.035264924</v>
      </c>
      <c r="AP94">
        <f t="shared" si="8"/>
        <v>1.035264924</v>
      </c>
    </row>
    <row r="95">
      <c r="B95" s="275" t="s">
        <v>220</v>
      </c>
      <c r="C95" s="275">
        <v>1.0</v>
      </c>
      <c r="D95" s="275">
        <v>3.0</v>
      </c>
      <c r="E95" s="277">
        <f>E43</f>
        <v>0</v>
      </c>
      <c r="F95" s="277" t="str">
        <f t="shared" si="1"/>
        <v/>
      </c>
      <c r="G95" s="275" t="s">
        <v>299</v>
      </c>
      <c r="H95" s="268" t="s">
        <v>540</v>
      </c>
      <c r="I95" s="275"/>
      <c r="J95" s="275">
        <v>0.0</v>
      </c>
      <c r="K95" s="275">
        <v>2.0</v>
      </c>
      <c r="L95" s="275">
        <v>0.0</v>
      </c>
      <c r="M95" s="275">
        <v>0.0</v>
      </c>
      <c r="N95" s="275">
        <v>3.0</v>
      </c>
      <c r="O95" s="275">
        <f>iferror(SUM(offset(SkillTreeInfo2.10!$AJ27,0,0,1,COLUMNS(SkillTreeInfo2.10!$AJ27:$BH27)-(25-$E95))),0)</f>
        <v>0</v>
      </c>
      <c r="P95" s="275">
        <v>1.023373891996775</v>
      </c>
      <c r="R95" s="275">
        <f t="shared" si="2"/>
        <v>1.023373892</v>
      </c>
      <c r="S95">
        <v>16.0</v>
      </c>
      <c r="T95">
        <v>0.1</v>
      </c>
      <c r="U95" s="269">
        <v>0.1</v>
      </c>
      <c r="V95" s="269">
        <v>0.1</v>
      </c>
      <c r="W95" s="269">
        <v>0.1</v>
      </c>
      <c r="X95" s="269">
        <v>0.1</v>
      </c>
      <c r="Y95" s="269">
        <v>0.1</v>
      </c>
      <c r="Z95" s="269">
        <v>0.1</v>
      </c>
      <c r="AA95" s="293" t="s">
        <v>678</v>
      </c>
      <c r="AB95" s="269" t="str">
        <f t="shared" si="3"/>
        <v/>
      </c>
      <c r="AC95" s="270" t="b">
        <v>0</v>
      </c>
      <c r="AD95" s="269" t="b">
        <v>0</v>
      </c>
      <c r="AE95" s="270" t="b">
        <f t="shared" si="18"/>
        <v>0</v>
      </c>
      <c r="AF95" t="b">
        <v>0</v>
      </c>
      <c r="AG95" t="b">
        <f>IF(F42&lt;&gt;"✔",True,False)</f>
        <v>0</v>
      </c>
      <c r="AH95" t="b">
        <f t="shared" si="17"/>
        <v>0</v>
      </c>
      <c r="AI95" t="b">
        <f t="shared" si="4"/>
        <v>0</v>
      </c>
      <c r="AJ95" s="269" t="b">
        <f t="shared" si="5"/>
        <v>0</v>
      </c>
      <c r="AK95" s="293" t="s">
        <v>678</v>
      </c>
      <c r="AL95" s="269">
        <v>50.0</v>
      </c>
      <c r="AM95" s="295">
        <f t="shared" si="16"/>
        <v>-1058</v>
      </c>
      <c r="AN95">
        <f t="shared" si="7"/>
        <v>0</v>
      </c>
      <c r="AP95">
        <f t="shared" si="8"/>
        <v>0</v>
      </c>
    </row>
    <row r="96">
      <c r="B96" s="275" t="s">
        <v>226</v>
      </c>
      <c r="C96" s="275">
        <v>1.0</v>
      </c>
      <c r="D96" s="275">
        <v>3.0</v>
      </c>
      <c r="E96" s="277">
        <f>G43</f>
        <v>0</v>
      </c>
      <c r="F96" s="277" t="str">
        <f t="shared" si="1"/>
        <v/>
      </c>
      <c r="G96" s="275" t="s">
        <v>308</v>
      </c>
      <c r="H96" s="268" t="s">
        <v>541</v>
      </c>
      <c r="I96" s="275"/>
      <c r="J96" s="275">
        <v>0.0</v>
      </c>
      <c r="K96" s="275">
        <v>0.1</v>
      </c>
      <c r="L96" s="275">
        <v>0.0</v>
      </c>
      <c r="M96" s="275">
        <v>0.938</v>
      </c>
      <c r="N96" s="275">
        <v>3.0</v>
      </c>
      <c r="O96" s="275">
        <f>iferror(SUM(offset(SkillTreeInfo2.10!$AJ28,0,0,1,COLUMNS(SkillTreeInfo2.10!$AJ28:$BH28)-(25-$E96))),0)</f>
        <v>0</v>
      </c>
      <c r="P96" s="275">
        <v>0.4641588833612779</v>
      </c>
      <c r="Q96">
        <f>IFERROR(IF($P$5="On",'LS tool'!E5,P96),1)</f>
        <v>0.4641588834</v>
      </c>
      <c r="R96">
        <f t="shared" si="2"/>
        <v>0.4641588834</v>
      </c>
      <c r="S96">
        <v>35.0</v>
      </c>
      <c r="T96">
        <v>1.0</v>
      </c>
      <c r="U96" s="269">
        <v>1.0</v>
      </c>
      <c r="V96" s="269">
        <v>1.0</v>
      </c>
      <c r="W96" s="269">
        <v>1.0</v>
      </c>
      <c r="X96" s="269">
        <v>1.0</v>
      </c>
      <c r="Y96" s="269">
        <v>1.0</v>
      </c>
      <c r="Z96" s="269">
        <v>1.0</v>
      </c>
      <c r="AA96" s="293" t="s">
        <v>682</v>
      </c>
      <c r="AB96" s="269" t="str">
        <f t="shared" si="3"/>
        <v/>
      </c>
      <c r="AC96" s="270" t="b">
        <v>0</v>
      </c>
      <c r="AD96" s="269" t="b">
        <v>0</v>
      </c>
      <c r="AE96" s="270" t="b">
        <v>0</v>
      </c>
      <c r="AF96" t="b">
        <v>0</v>
      </c>
      <c r="AG96" t="b">
        <f>IF(H42&lt;&gt;"✔",True,False)</f>
        <v>0</v>
      </c>
      <c r="AH96" t="b">
        <f t="shared" si="17"/>
        <v>0</v>
      </c>
      <c r="AI96" t="b">
        <f t="shared" si="4"/>
        <v>0</v>
      </c>
      <c r="AJ96" s="269" t="b">
        <f t="shared" si="5"/>
        <v>0</v>
      </c>
      <c r="AK96" s="293" t="s">
        <v>682</v>
      </c>
      <c r="AL96" s="269">
        <v>50.0</v>
      </c>
      <c r="AM96" s="295">
        <f t="shared" si="16"/>
        <v>-1058</v>
      </c>
      <c r="AN96">
        <f t="shared" si="7"/>
        <v>0</v>
      </c>
      <c r="AP96">
        <f t="shared" si="8"/>
        <v>0</v>
      </c>
    </row>
    <row r="97">
      <c r="B97" s="275" t="s">
        <v>245</v>
      </c>
      <c r="C97" s="275">
        <v>1.0</v>
      </c>
      <c r="D97" s="275">
        <v>1.0</v>
      </c>
      <c r="E97" s="277">
        <f>I43</f>
        <v>15</v>
      </c>
      <c r="F97" s="277" t="str">
        <f t="shared" si="1"/>
        <v/>
      </c>
      <c r="G97" s="275" t="s">
        <v>316</v>
      </c>
      <c r="H97" s="268" t="s">
        <v>542</v>
      </c>
      <c r="I97" s="275" t="s">
        <v>683</v>
      </c>
      <c r="J97" s="275">
        <v>5.39E7</v>
      </c>
      <c r="K97" s="275" t="s">
        <v>123</v>
      </c>
      <c r="L97" s="275">
        <v>0.35</v>
      </c>
      <c r="M97" s="275" t="s">
        <v>123</v>
      </c>
      <c r="N97" s="275" t="s">
        <v>123</v>
      </c>
      <c r="O97" s="275">
        <f>iferror(SUM(offset(SkillTreeInfo2.10!$AJ29,0,0,1,COLUMNS(SkillTreeInfo2.10!$AJ29:$BH29)-(25-$E97))),0)</f>
        <v>555</v>
      </c>
      <c r="P97" s="275">
        <v>1.0</v>
      </c>
      <c r="R97" s="275">
        <f t="shared" si="2"/>
        <v>1</v>
      </c>
      <c r="S97">
        <v>19.0</v>
      </c>
      <c r="T97">
        <v>3.28</v>
      </c>
      <c r="U97" s="270">
        <f t="shared" ref="U97:Z97" si="19">U75+U79+If(OR($E$7="pHoM",$E$7="Fairy"),0.48,0.79)+U91+U99</f>
        <v>3.98</v>
      </c>
      <c r="V97" s="270">
        <f t="shared" si="19"/>
        <v>2.647</v>
      </c>
      <c r="W97" s="270">
        <f t="shared" si="19"/>
        <v>3.28</v>
      </c>
      <c r="X97" s="270">
        <f t="shared" si="19"/>
        <v>2.58</v>
      </c>
      <c r="Y97" s="270">
        <f t="shared" si="19"/>
        <v>1.98</v>
      </c>
      <c r="Z97" s="270">
        <f t="shared" si="19"/>
        <v>1.48</v>
      </c>
      <c r="AA97" s="293" t="s">
        <v>686</v>
      </c>
      <c r="AB97" s="269" t="str">
        <f t="shared" si="3"/>
        <v/>
      </c>
      <c r="AC97" s="270" t="b">
        <v>0</v>
      </c>
      <c r="AD97" s="269" t="b">
        <v>0</v>
      </c>
      <c r="AE97" s="270" t="b">
        <v>0</v>
      </c>
      <c r="AF97" t="b">
        <v>0</v>
      </c>
      <c r="AG97" t="b">
        <f>IF(J42&lt;&gt;"✔",True,False)</f>
        <v>0</v>
      </c>
      <c r="AH97" t="b">
        <f t="shared" si="17"/>
        <v>0</v>
      </c>
      <c r="AI97" t="b">
        <f t="shared" si="4"/>
        <v>0</v>
      </c>
      <c r="AJ97" s="269" t="b">
        <f t="shared" si="5"/>
        <v>0</v>
      </c>
      <c r="AK97" s="293" t="s">
        <v>686</v>
      </c>
      <c r="AL97" s="269">
        <v>50.0</v>
      </c>
      <c r="AM97" s="295">
        <f t="shared" si="16"/>
        <v>-1058</v>
      </c>
      <c r="AN97">
        <f t="shared" si="7"/>
        <v>1.110946111</v>
      </c>
      <c r="AP97">
        <f t="shared" si="8"/>
        <v>1.110946111</v>
      </c>
    </row>
    <row r="98">
      <c r="B98" s="275" t="s">
        <v>268</v>
      </c>
      <c r="C98" s="275">
        <v>1.0</v>
      </c>
      <c r="D98" s="275" t="s">
        <v>123</v>
      </c>
      <c r="E98" s="277">
        <f>M31</f>
        <v>11</v>
      </c>
      <c r="F98" s="277" t="str">
        <f t="shared" si="1"/>
        <v/>
      </c>
      <c r="G98" s="275" t="s">
        <v>324</v>
      </c>
      <c r="H98" s="268" t="s">
        <v>543</v>
      </c>
      <c r="I98" s="275" t="s">
        <v>687</v>
      </c>
      <c r="J98" s="275">
        <v>1130.0</v>
      </c>
      <c r="K98" s="275">
        <v>3140.0</v>
      </c>
      <c r="L98" s="275">
        <v>16.9</v>
      </c>
      <c r="M98" s="275">
        <v>27.8</v>
      </c>
      <c r="N98" s="275">
        <v>8.0</v>
      </c>
      <c r="O98" s="275">
        <f>iferror(SUM(offset(SkillTreeInfo2.10!$AJ30,0,0,1,COLUMNS(SkillTreeInfo2.10!$AJ30:$BH30)-(25-$E98))),0)</f>
        <v>41</v>
      </c>
      <c r="P98" s="275">
        <v>1.1061914730916649</v>
      </c>
      <c r="R98" s="275">
        <f t="shared" si="2"/>
        <v>1.106191473</v>
      </c>
      <c r="S98">
        <v>6.0</v>
      </c>
      <c r="T98">
        <v>0.79</v>
      </c>
      <c r="U98" s="270">
        <v>0.79</v>
      </c>
      <c r="V98" s="270">
        <v>0.79</v>
      </c>
      <c r="W98" s="270">
        <v>0.79</v>
      </c>
      <c r="X98" s="270">
        <v>0.79</v>
      </c>
      <c r="Y98" s="270">
        <v>0.79</v>
      </c>
      <c r="Z98" s="270">
        <v>0.79</v>
      </c>
      <c r="AA98" s="293" t="s">
        <v>690</v>
      </c>
      <c r="AB98" s="269" t="str">
        <f t="shared" si="3"/>
        <v/>
      </c>
      <c r="AC98" s="270" t="b">
        <v>0</v>
      </c>
      <c r="AD98" s="269" t="b">
        <v>0</v>
      </c>
      <c r="AE98" s="270" t="b">
        <v>0</v>
      </c>
      <c r="AF98" t="b">
        <v>0</v>
      </c>
      <c r="AG98" t="b">
        <f>IF(N30&lt;&gt;"✔",True,False)</f>
        <v>0</v>
      </c>
      <c r="AH98" t="b">
        <f>IF($AH$69="On",false,false)</f>
        <v>0</v>
      </c>
      <c r="AI98" t="b">
        <f t="shared" si="4"/>
        <v>0</v>
      </c>
      <c r="AJ98" s="269" t="b">
        <f t="shared" si="5"/>
        <v>0</v>
      </c>
      <c r="AK98" s="293" t="s">
        <v>690</v>
      </c>
      <c r="AL98" s="269">
        <v>0.0</v>
      </c>
      <c r="AM98" s="295">
        <f t="shared" ref="AM98:AM104" si="20">AL98-$O$28</f>
        <v>-87</v>
      </c>
      <c r="AN98">
        <f t="shared" si="7"/>
        <v>1.145058326</v>
      </c>
      <c r="AP98">
        <f t="shared" si="8"/>
        <v>1.145058326</v>
      </c>
    </row>
    <row r="99">
      <c r="B99" s="275" t="s">
        <v>316</v>
      </c>
      <c r="C99" s="275">
        <v>1.0</v>
      </c>
      <c r="D99" s="275" t="s">
        <v>123</v>
      </c>
      <c r="E99" s="277">
        <f>K35</f>
        <v>9</v>
      </c>
      <c r="F99" s="277" t="str">
        <f t="shared" si="1"/>
        <v/>
      </c>
      <c r="G99" s="275" t="s">
        <v>330</v>
      </c>
      <c r="H99" s="268" t="s">
        <v>533</v>
      </c>
      <c r="I99" s="275" t="s">
        <v>692</v>
      </c>
      <c r="J99" s="275">
        <v>248.0</v>
      </c>
      <c r="K99" s="275">
        <v>644.0</v>
      </c>
      <c r="L99" s="275">
        <v>53.0</v>
      </c>
      <c r="M99" s="275">
        <v>66.0</v>
      </c>
      <c r="N99" s="275">
        <v>6.0</v>
      </c>
      <c r="O99" s="275">
        <f>iferror(SUM(offset(SkillTreeInfo2.10!$AJ31,0,0,1,COLUMNS(SkillTreeInfo2.10!$AJ31:$BH31)-(25-$E99))),0)</f>
        <v>28</v>
      </c>
      <c r="P99" s="275">
        <v>1.100128507514435</v>
      </c>
      <c r="Q99">
        <f>IFERROR(IFERROR((((K99/J99))^(1/N99))^T99,(((K99/1))^(1/1))^T99),1)</f>
        <v>1.100128508</v>
      </c>
      <c r="R99">
        <f t="shared" si="2"/>
        <v>1.100128508</v>
      </c>
      <c r="S99">
        <v>8.0</v>
      </c>
      <c r="T99">
        <v>0.6</v>
      </c>
      <c r="U99" s="269">
        <v>1.0</v>
      </c>
      <c r="V99" s="270">
        <v>0.667</v>
      </c>
      <c r="W99" s="270">
        <v>0.6</v>
      </c>
      <c r="X99" s="270">
        <v>0.6</v>
      </c>
      <c r="Y99" s="270">
        <v>0.5</v>
      </c>
      <c r="Z99" s="270">
        <v>0.0</v>
      </c>
      <c r="AA99" s="293" t="s">
        <v>694</v>
      </c>
      <c r="AB99" s="269" t="str">
        <f t="shared" si="3"/>
        <v/>
      </c>
      <c r="AC99" s="270" t="b">
        <v>0</v>
      </c>
      <c r="AD99" s="269" t="b">
        <v>0</v>
      </c>
      <c r="AE99" s="270" t="b">
        <v>0</v>
      </c>
      <c r="AF99" s="1" t="b">
        <f>IF(E2="✔",False,True)</f>
        <v>0</v>
      </c>
      <c r="AG99" t="b">
        <f>IF(L34&lt;&gt;"✔",True,False)</f>
        <v>0</v>
      </c>
      <c r="AH99" t="b">
        <f>IF($AH$69="On",OR(E98=0,AH98),false)</f>
        <v>0</v>
      </c>
      <c r="AI99" t="b">
        <f t="shared" si="4"/>
        <v>0</v>
      </c>
      <c r="AJ99" s="269" t="b">
        <f t="shared" si="5"/>
        <v>0</v>
      </c>
      <c r="AK99" s="293" t="s">
        <v>694</v>
      </c>
      <c r="AL99" s="269">
        <v>3.0</v>
      </c>
      <c r="AM99" s="295">
        <f t="shared" si="20"/>
        <v>-84</v>
      </c>
      <c r="AN99">
        <f t="shared" si="7"/>
        <v>1.125407173</v>
      </c>
      <c r="AP99">
        <f t="shared" si="8"/>
        <v>1.125407173</v>
      </c>
    </row>
    <row r="100">
      <c r="B100" s="275" t="s">
        <v>337</v>
      </c>
      <c r="C100" s="275">
        <v>1.0</v>
      </c>
      <c r="D100" s="275">
        <v>1.0</v>
      </c>
      <c r="E100" s="277">
        <f>M35</f>
        <v>0</v>
      </c>
      <c r="F100" s="277" t="str">
        <f t="shared" si="1"/>
        <v/>
      </c>
      <c r="G100" s="275" t="s">
        <v>337</v>
      </c>
      <c r="H100" s="268" t="s">
        <v>544</v>
      </c>
      <c r="I100" s="275"/>
      <c r="J100" s="275">
        <v>0.0</v>
      </c>
      <c r="K100" s="275">
        <v>1.0</v>
      </c>
      <c r="L100" s="275">
        <v>0.0</v>
      </c>
      <c r="M100" s="275">
        <v>0.0</v>
      </c>
      <c r="N100" s="275">
        <v>1.0</v>
      </c>
      <c r="O100" s="275">
        <f>iferror(SUM(offset(SkillTreeInfo2.10!$AJ32,0,0,1,COLUMNS(SkillTreeInfo2.10!$AJ32:$BH32)-(25-$E100))),0)</f>
        <v>0</v>
      </c>
      <c r="P100" s="275">
        <v>1.0</v>
      </c>
      <c r="R100" s="275">
        <f t="shared" si="2"/>
        <v>1</v>
      </c>
      <c r="S100">
        <v>19.0</v>
      </c>
      <c r="T100">
        <v>0.1</v>
      </c>
      <c r="U100" s="270">
        <v>0.1</v>
      </c>
      <c r="V100" s="270">
        <v>0.1</v>
      </c>
      <c r="W100" s="270">
        <v>0.1</v>
      </c>
      <c r="X100" s="270">
        <v>0.1</v>
      </c>
      <c r="Y100" s="270">
        <v>0.1</v>
      </c>
      <c r="Z100" s="270">
        <v>0.1</v>
      </c>
      <c r="AA100" s="293" t="s">
        <v>696</v>
      </c>
      <c r="AB100" s="269" t="str">
        <f t="shared" si="3"/>
        <v/>
      </c>
      <c r="AC100" s="270" t="b">
        <v>0</v>
      </c>
      <c r="AD100" s="269" t="b">
        <v>0</v>
      </c>
      <c r="AE100" s="270" t="b">
        <f t="shared" ref="AE100:AE101" si="22">IF($AE$69 = "On",TRUE,FALSE)</f>
        <v>0</v>
      </c>
      <c r="AF100" s="1" t="b">
        <v>0</v>
      </c>
      <c r="AG100" t="b">
        <f>IF(N34&lt;&gt;"✔",True,False)</f>
        <v>0</v>
      </c>
      <c r="AH100" t="b">
        <f>IF($AH$69="On",OR(E98=0,AH98),false)</f>
        <v>0</v>
      </c>
      <c r="AI100" t="b">
        <f t="shared" si="4"/>
        <v>0</v>
      </c>
      <c r="AJ100" s="269" t="b">
        <f t="shared" si="5"/>
        <v>0</v>
      </c>
      <c r="AK100" s="293" t="s">
        <v>696</v>
      </c>
      <c r="AL100" s="269">
        <v>3.0</v>
      </c>
      <c r="AM100" s="295">
        <f t="shared" si="20"/>
        <v>-84</v>
      </c>
      <c r="AN100">
        <f t="shared" si="7"/>
        <v>0</v>
      </c>
      <c r="AP100">
        <f t="shared" si="8"/>
        <v>0</v>
      </c>
    </row>
    <row r="101">
      <c r="B101" s="275" t="s">
        <v>348</v>
      </c>
      <c r="C101" s="275">
        <v>1.0</v>
      </c>
      <c r="D101" s="275">
        <v>2.0</v>
      </c>
      <c r="E101" s="277">
        <f>O35</f>
        <v>1</v>
      </c>
      <c r="F101" s="277" t="str">
        <f t="shared" si="1"/>
        <v/>
      </c>
      <c r="G101" s="275" t="s">
        <v>343</v>
      </c>
      <c r="H101" s="268" t="s">
        <v>545</v>
      </c>
      <c r="I101" s="275" t="s">
        <v>698</v>
      </c>
      <c r="J101" s="275">
        <v>1.0</v>
      </c>
      <c r="K101" s="275">
        <v>2.0</v>
      </c>
      <c r="L101" s="275">
        <v>0.01</v>
      </c>
      <c r="M101" s="275">
        <v>0.016</v>
      </c>
      <c r="N101" s="275">
        <v>2.0</v>
      </c>
      <c r="O101" s="275">
        <f>iferror(SUM(offset(SkillTreeInfo2.10!$AJ33,0,0,1,COLUMNS(SkillTreeInfo2.10!$AJ33:$BH33)-(25-$E101))),0)</f>
        <v>1</v>
      </c>
      <c r="P101" s="275">
        <v>1.0352649238413776</v>
      </c>
      <c r="Q101" t="str">
        <f>Iferror(if(OR(E7="pHoM",E7="Chesterson"),((((((K101+5)/2)/((J101+5)/2))*((M3+M101)/(M3+L101)))^0.8)^(1/N101))^T101,),1)</f>
        <v/>
      </c>
      <c r="R101" s="275">
        <f t="shared" si="2"/>
        <v>1.035264924</v>
      </c>
      <c r="S101">
        <v>15.0</v>
      </c>
      <c r="T101">
        <v>0.1</v>
      </c>
      <c r="U101" s="269">
        <f t="shared" ref="U101:Z101" si="21">if(OR($E$7="pHoM",$E$7="Chesterson"),1,0.1)</f>
        <v>0.1</v>
      </c>
      <c r="V101" s="269">
        <f t="shared" si="21"/>
        <v>0.1</v>
      </c>
      <c r="W101" s="269">
        <f t="shared" si="21"/>
        <v>0.1</v>
      </c>
      <c r="X101" s="269">
        <f t="shared" si="21"/>
        <v>0.1</v>
      </c>
      <c r="Y101" s="269">
        <f t="shared" si="21"/>
        <v>0.1</v>
      </c>
      <c r="Z101" s="269">
        <f t="shared" si="21"/>
        <v>0.1</v>
      </c>
      <c r="AA101" s="293" t="s">
        <v>700</v>
      </c>
      <c r="AB101" s="269" t="str">
        <f t="shared" si="3"/>
        <v/>
      </c>
      <c r="AC101" s="270" t="b">
        <v>0</v>
      </c>
      <c r="AD101" s="269" t="b">
        <v>0</v>
      </c>
      <c r="AE101" s="270" t="b">
        <f t="shared" si="22"/>
        <v>0</v>
      </c>
      <c r="AF101" t="b">
        <v>0</v>
      </c>
      <c r="AG101" t="b">
        <f>IF(P34&lt;&gt;"✔",True,False)</f>
        <v>0</v>
      </c>
      <c r="AH101" t="b">
        <f t="shared" ref="AH101:AH104" si="23">IF($AH$69="On",OR(E98=0,AH98),false)</f>
        <v>0</v>
      </c>
      <c r="AI101" t="b">
        <f t="shared" si="4"/>
        <v>0</v>
      </c>
      <c r="AJ101" s="269" t="b">
        <f t="shared" si="5"/>
        <v>0</v>
      </c>
      <c r="AK101" s="293" t="s">
        <v>700</v>
      </c>
      <c r="AL101" s="269">
        <v>3.0</v>
      </c>
      <c r="AM101" s="295">
        <f t="shared" si="20"/>
        <v>-84</v>
      </c>
      <c r="AN101">
        <f t="shared" si="7"/>
        <v>1</v>
      </c>
      <c r="AP101">
        <f t="shared" si="8"/>
        <v>1</v>
      </c>
    </row>
    <row r="102">
      <c r="B102" s="275" t="s">
        <v>354</v>
      </c>
      <c r="C102" s="275">
        <v>1.0</v>
      </c>
      <c r="D102" s="275">
        <v>2.0</v>
      </c>
      <c r="E102" s="277">
        <f>K39</f>
        <v>0</v>
      </c>
      <c r="F102" s="277" t="str">
        <f t="shared" si="1"/>
        <v/>
      </c>
      <c r="G102" s="275" t="s">
        <v>348</v>
      </c>
      <c r="H102" s="268" t="s">
        <v>546</v>
      </c>
      <c r="I102" s="275"/>
      <c r="J102" s="275">
        <v>0.0</v>
      </c>
      <c r="K102" s="275">
        <v>0.01</v>
      </c>
      <c r="L102" s="275">
        <v>0.0</v>
      </c>
      <c r="M102" s="275">
        <v>1.0</v>
      </c>
      <c r="N102" s="275">
        <v>2.0</v>
      </c>
      <c r="O102" s="275">
        <f>iferror(SUM(offset(SkillTreeInfo2.10!$AJ34,0,0,1,COLUMNS(SkillTreeInfo2.10!$AJ34:$BH34)-(25-$E102))),0)</f>
        <v>0</v>
      </c>
      <c r="P102" s="275">
        <v>1.0</v>
      </c>
      <c r="Q102">
        <f t="shared" ref="Q102:Q104" si="24">IFERROR(IFERROR(IF($M$5="On",((M102/L102)^(1/N102))^T102,((K102/J102)^(1/N102)))^T102,IF($M$5="On",((M102/1)^(1/1))^T102,((K102/1)^(1/1))^T102)),1)</f>
        <v>1</v>
      </c>
      <c r="R102">
        <f t="shared" si="2"/>
        <v>1</v>
      </c>
      <c r="S102">
        <v>19.0</v>
      </c>
      <c r="T102">
        <v>0.0</v>
      </c>
      <c r="U102" s="269">
        <v>0.0</v>
      </c>
      <c r="V102" s="270">
        <v>1.0</v>
      </c>
      <c r="W102" s="269">
        <v>0.0</v>
      </c>
      <c r="X102" s="269">
        <v>0.0</v>
      </c>
      <c r="Y102" s="269">
        <v>0.0</v>
      </c>
      <c r="Z102" s="269">
        <v>0.0</v>
      </c>
      <c r="AA102" s="293" t="s">
        <v>701</v>
      </c>
      <c r="AB102" s="269" t="str">
        <f t="shared" si="3"/>
        <v/>
      </c>
      <c r="AC102" s="270" t="b">
        <v>0</v>
      </c>
      <c r="AD102" s="269" t="b">
        <v>0</v>
      </c>
      <c r="AE102" s="270" t="b">
        <v>0</v>
      </c>
      <c r="AF102" t="b">
        <f>IF(I1&lt;&gt;"Pet Damage",True,False)</f>
        <v>1</v>
      </c>
      <c r="AG102" t="b">
        <f>IF(L38&lt;&gt;"✔",True,False)</f>
        <v>0</v>
      </c>
      <c r="AH102" t="b">
        <f t="shared" si="23"/>
        <v>0</v>
      </c>
      <c r="AI102" t="b">
        <f t="shared" si="4"/>
        <v>0</v>
      </c>
      <c r="AJ102" s="269" t="b">
        <f t="shared" si="5"/>
        <v>1</v>
      </c>
      <c r="AK102" s="293" t="s">
        <v>701</v>
      </c>
      <c r="AL102" s="269">
        <v>20.0</v>
      </c>
      <c r="AM102" s="295">
        <f t="shared" si="20"/>
        <v>-67</v>
      </c>
      <c r="AN102">
        <f t="shared" si="7"/>
        <v>0</v>
      </c>
      <c r="AP102">
        <f t="shared" si="8"/>
        <v>0</v>
      </c>
    </row>
    <row r="103">
      <c r="B103" s="275" t="s">
        <v>285</v>
      </c>
      <c r="C103" s="275">
        <v>0.6838305520458344</v>
      </c>
      <c r="D103" s="275">
        <v>2.0</v>
      </c>
      <c r="E103" s="277">
        <f>M39</f>
        <v>0</v>
      </c>
      <c r="F103" s="277" t="str">
        <f t="shared" si="1"/>
        <v/>
      </c>
      <c r="G103" s="275" t="s">
        <v>354</v>
      </c>
      <c r="H103" s="268" t="s">
        <v>547</v>
      </c>
      <c r="I103" s="275"/>
      <c r="J103" s="275">
        <v>0.0</v>
      </c>
      <c r="K103" s="275">
        <v>0.01</v>
      </c>
      <c r="L103" s="275">
        <v>0.0</v>
      </c>
      <c r="M103" s="275">
        <v>1.0</v>
      </c>
      <c r="N103" s="275">
        <v>2.0</v>
      </c>
      <c r="O103" s="275">
        <f>iferror(SUM(offset(SkillTreeInfo2.10!$AJ35,0,0,1,COLUMNS(SkillTreeInfo2.10!$AJ35:$BH35)-(25-$E103))),0)</f>
        <v>0</v>
      </c>
      <c r="P103" s="275">
        <v>1.0</v>
      </c>
      <c r="Q103">
        <f t="shared" si="24"/>
        <v>1</v>
      </c>
      <c r="R103">
        <f t="shared" si="2"/>
        <v>1</v>
      </c>
      <c r="S103">
        <v>19.0</v>
      </c>
      <c r="T103" s="1">
        <v>0.0</v>
      </c>
      <c r="U103" s="269">
        <v>0.0</v>
      </c>
      <c r="V103" s="269">
        <v>0.0</v>
      </c>
      <c r="W103" s="269">
        <v>0.0</v>
      </c>
      <c r="X103" s="269">
        <v>0.0</v>
      </c>
      <c r="Y103" s="270">
        <v>1.0</v>
      </c>
      <c r="Z103" s="270">
        <v>0.0</v>
      </c>
      <c r="AA103" s="293" t="s">
        <v>704</v>
      </c>
      <c r="AB103" s="269" t="str">
        <f t="shared" si="3"/>
        <v/>
      </c>
      <c r="AC103" s="270" t="b">
        <v>0</v>
      </c>
      <c r="AD103" s="269" t="b">
        <v>0</v>
      </c>
      <c r="AE103" s="270" t="b">
        <v>0</v>
      </c>
      <c r="AF103" t="b">
        <f>IF(I1&lt;&gt;"Ship Damage",True,False)</f>
        <v>1</v>
      </c>
      <c r="AG103" t="b">
        <f>IF(N38&lt;&gt;"✔",True,False)</f>
        <v>0</v>
      </c>
      <c r="AH103" t="b">
        <f t="shared" si="23"/>
        <v>0</v>
      </c>
      <c r="AI103" t="b">
        <f t="shared" si="4"/>
        <v>0</v>
      </c>
      <c r="AJ103" s="269" t="b">
        <f t="shared" si="5"/>
        <v>1</v>
      </c>
      <c r="AK103" s="293" t="s">
        <v>704</v>
      </c>
      <c r="AL103" s="269">
        <v>20.0</v>
      </c>
      <c r="AM103" s="295">
        <f t="shared" si="20"/>
        <v>-67</v>
      </c>
      <c r="AN103">
        <f t="shared" si="7"/>
        <v>0</v>
      </c>
      <c r="AP103">
        <f t="shared" si="8"/>
        <v>0</v>
      </c>
    </row>
    <row r="104">
      <c r="B104" s="275" t="s">
        <v>308</v>
      </c>
      <c r="C104" s="275">
        <v>0.4641588833612779</v>
      </c>
      <c r="D104" s="275">
        <v>3.0</v>
      </c>
      <c r="E104" s="277">
        <f>O39</f>
        <v>6</v>
      </c>
      <c r="F104" s="277" t="str">
        <f t="shared" si="1"/>
        <v/>
      </c>
      <c r="G104" s="275" t="s">
        <v>359</v>
      </c>
      <c r="H104" s="268" t="s">
        <v>548</v>
      </c>
      <c r="I104" s="275" t="s">
        <v>705</v>
      </c>
      <c r="J104" s="275">
        <v>13.0</v>
      </c>
      <c r="K104" s="275">
        <v>96.0</v>
      </c>
      <c r="L104" s="275">
        <v>5.8</v>
      </c>
      <c r="M104" s="275">
        <v>9.5</v>
      </c>
      <c r="N104" s="275">
        <v>5.0</v>
      </c>
      <c r="O104" s="275">
        <f>iferror(SUM(offset(SkillTreeInfo2.10!$AJ36,0,0,1,COLUMNS(SkillTreeInfo2.10!$AJ36:$BH36)-(25-$E104))),0)</f>
        <v>17</v>
      </c>
      <c r="P104" s="275">
        <v>1.4916453415684068</v>
      </c>
      <c r="Q104">
        <f t="shared" si="24"/>
        <v>1.103720534</v>
      </c>
      <c r="R104">
        <f t="shared" si="2"/>
        <v>1.103720534</v>
      </c>
      <c r="S104">
        <v>7.0</v>
      </c>
      <c r="T104">
        <v>1.0</v>
      </c>
      <c r="U104" s="269">
        <v>0.0</v>
      </c>
      <c r="V104" s="269">
        <v>0.0</v>
      </c>
      <c r="W104" s="270">
        <v>1.0</v>
      </c>
      <c r="X104" s="269">
        <v>0.0</v>
      </c>
      <c r="Y104" s="269">
        <v>0.0</v>
      </c>
      <c r="Z104" s="269">
        <v>0.0</v>
      </c>
      <c r="AA104" s="293" t="s">
        <v>706</v>
      </c>
      <c r="AB104" s="269" t="str">
        <f t="shared" si="3"/>
        <v/>
      </c>
      <c r="AC104" s="270" t="b">
        <v>0</v>
      </c>
      <c r="AD104" s="269" t="b">
        <v>0</v>
      </c>
      <c r="AE104" s="270" t="b">
        <v>0</v>
      </c>
      <c r="AF104" t="b">
        <f>IF(I1&lt;&gt;"SC Damage",True,False)</f>
        <v>0</v>
      </c>
      <c r="AG104" t="b">
        <f>IF(P38&lt;&gt;"✔",True,False)</f>
        <v>0</v>
      </c>
      <c r="AH104" t="b">
        <f t="shared" si="23"/>
        <v>0</v>
      </c>
      <c r="AI104" t="b">
        <f t="shared" si="4"/>
        <v>0</v>
      </c>
      <c r="AJ104" s="269" t="b">
        <f t="shared" si="5"/>
        <v>0</v>
      </c>
      <c r="AK104" s="293" t="s">
        <v>706</v>
      </c>
      <c r="AL104" s="269"/>
      <c r="AM104" s="295">
        <f t="shared" si="20"/>
        <v>-87</v>
      </c>
      <c r="AN104">
        <f t="shared" si="7"/>
        <v>1.162856379</v>
      </c>
      <c r="AP104">
        <f t="shared" si="8"/>
        <v>1.162856379</v>
      </c>
    </row>
    <row r="105">
      <c r="E105" s="275"/>
      <c r="F105" s="275"/>
      <c r="G105" s="275"/>
      <c r="H105" s="275"/>
      <c r="I105" s="385"/>
      <c r="J105" s="275"/>
      <c r="K105" s="275"/>
      <c r="L105" s="275"/>
      <c r="M105" s="275"/>
      <c r="N105" s="275"/>
      <c r="O105" s="275"/>
      <c r="P105" s="268"/>
      <c r="Q105" s="269"/>
      <c r="R105" s="269"/>
      <c r="S105" s="269"/>
      <c r="T105" s="269"/>
      <c r="U105" s="269"/>
      <c r="V105" s="269"/>
      <c r="W105" s="269"/>
      <c r="X105" s="269"/>
      <c r="Y105" s="269"/>
      <c r="Z105" s="269"/>
      <c r="AA105" s="269"/>
      <c r="AB105" s="269"/>
      <c r="AC105" s="269"/>
      <c r="AD105" s="269"/>
      <c r="AE105" s="269"/>
      <c r="AF105" s="269"/>
    </row>
    <row r="106">
      <c r="E106" s="275"/>
      <c r="F106" s="275"/>
      <c r="G106" s="275"/>
      <c r="H106" s="275"/>
      <c r="I106" s="385" t="str">
        <f>CONCATENATE(I70:I104)</f>
        <v>7KV/1COr/1EV/19CS/1SI/2MC/7SoW/1HM/14TI/1SL/2LB/20MU/25PV/1FC/1ED/15DSh/11MT/9AS/1AM/6SA/</v>
      </c>
      <c r="J106" s="275"/>
      <c r="K106" s="275"/>
      <c r="L106" s="275"/>
      <c r="M106" s="275"/>
      <c r="N106" s="275"/>
      <c r="O106" s="275"/>
      <c r="P106" s="268"/>
      <c r="Q106" s="269"/>
      <c r="R106" s="269"/>
      <c r="S106" s="269"/>
      <c r="T106" s="269"/>
      <c r="U106" s="269"/>
      <c r="V106" s="269"/>
      <c r="W106" s="269"/>
      <c r="X106" s="269"/>
      <c r="Y106" s="269"/>
      <c r="Z106" s="269"/>
      <c r="AA106" s="269"/>
      <c r="AB106" s="269"/>
      <c r="AC106" s="269"/>
      <c r="AD106" s="269"/>
      <c r="AE106" s="269"/>
      <c r="AF106" s="269"/>
      <c r="AN106">
        <f t="shared" ref="AN106:AN119" si="26">(O70/SUM($O$70:$O$104))*AP70</f>
        <v>0.01319913588</v>
      </c>
    </row>
    <row r="107">
      <c r="E107" s="275"/>
      <c r="F107" s="275"/>
      <c r="G107" s="275"/>
      <c r="H107" s="275"/>
      <c r="J107" s="389">
        <f>((($I$109*$I$110)^J$109)*(($I$113*$I$125)^J$113)*($I$116^J$116)*((($M$2+$L$80+$H$122)/($M$2+$L$80+$G$122))^0.79)*($I$117^J$117)*($I$119^J$119))^(1/$N$83)</f>
        <v>1.121491055</v>
      </c>
      <c r="K107" s="390">
        <f>((($I$109*$I$110)^K$109)*(($I$113*$I$125)^K$113)*($I$116^K$116)*((($M$2+$L$80+$H$122)/($M$2+$L$80+$G$122))^0.79)*((($M$1+$L$74+$H$124)^1.5)/(($M$1+$L$74+$G$124)^1.5))*($I$117^K$117)*($I$119^K$119))^(1/$N$83)</f>
        <v>1.120935792</v>
      </c>
      <c r="L107" s="391">
        <f>((($I$109*$I$110)^L$109)*(($I$113*$I$125)^L$113)*($I$116^L$116)*((($M$2+$L$80+$H$122)/($M$2+$L$80+$G$122))^0.79)*((($M$1+$L$74+$H$124)^0.5)/(($M$1+$L$74+$G$124)^0.5))*($I$117^L$117)*($I$119^L$119))^(1/$N$83)</f>
        <v>1.119270741</v>
      </c>
      <c r="M107" s="394">
        <f t="shared" ref="M107:O107" si="25">((($I$109*$I$110)^M$109)*(($I$113*$I$125)^M$113)*($I$116^M$116)*((($M$2+$L$80+$H$122)/($M$2+$L$80+$G$122))^0.79)*(($M$1+$L$74+$H$124)/($M$1+$L$74+$G$124))*($I$117^M$117)*($I$119^M$119))^(1/$N$83)</f>
        <v>1.121491221</v>
      </c>
      <c r="N107" s="396">
        <f t="shared" si="25"/>
        <v>1.103850645</v>
      </c>
      <c r="O107" s="391">
        <f t="shared" si="25"/>
        <v>1.104580099</v>
      </c>
      <c r="P107" s="268"/>
      <c r="Q107" s="269"/>
      <c r="R107" s="269"/>
      <c r="S107" s="269"/>
      <c r="T107" s="269"/>
      <c r="U107" s="269"/>
      <c r="V107" s="269"/>
      <c r="W107" s="269"/>
      <c r="X107" s="269"/>
      <c r="Y107" s="269"/>
      <c r="Z107" s="269"/>
      <c r="AA107" s="269"/>
      <c r="AB107" s="269"/>
      <c r="AC107" s="269"/>
      <c r="AD107" s="269"/>
      <c r="AE107" s="269"/>
      <c r="AF107" s="269"/>
      <c r="AN107">
        <f t="shared" si="26"/>
        <v>0.000668002672</v>
      </c>
    </row>
    <row r="108">
      <c r="E108" s="275"/>
      <c r="F108" s="275"/>
      <c r="G108" s="268" t="s">
        <v>707</v>
      </c>
      <c r="H108" s="268" t="s">
        <v>708</v>
      </c>
      <c r="I108" s="1" t="s">
        <v>709</v>
      </c>
      <c r="J108" s="399" t="s">
        <v>711</v>
      </c>
      <c r="K108" s="400" t="s">
        <v>712</v>
      </c>
      <c r="L108" s="402" t="s">
        <v>713</v>
      </c>
      <c r="M108" s="404" t="s">
        <v>714</v>
      </c>
      <c r="N108" s="406" t="s">
        <v>715</v>
      </c>
      <c r="O108" s="402" t="s">
        <v>716</v>
      </c>
      <c r="AN108">
        <f t="shared" si="26"/>
        <v>0.000668002672</v>
      </c>
    </row>
    <row r="109">
      <c r="B109" s="1" t="s">
        <v>717</v>
      </c>
      <c r="E109" s="275"/>
      <c r="F109" s="268">
        <v>27.0</v>
      </c>
      <c r="G109" s="275">
        <f t="shared" ref="G109:G119" si="27">(1+$J$83)^$F109</f>
        <v>5.545532558</v>
      </c>
      <c r="H109" s="275">
        <f t="shared" ref="H109:H119" si="28">(1+$K$83)^F109</f>
        <v>7.118538985</v>
      </c>
      <c r="I109">
        <f t="shared" ref="I109:I119" si="29">H109/G109</f>
        <v>1.283652906</v>
      </c>
      <c r="J109" s="268">
        <v>0.5</v>
      </c>
      <c r="K109" s="268">
        <v>0.67</v>
      </c>
      <c r="L109" s="1">
        <v>1.0</v>
      </c>
      <c r="M109" s="1">
        <v>0.5</v>
      </c>
      <c r="N109" s="1">
        <v>0.0</v>
      </c>
      <c r="O109" s="1">
        <v>1.0</v>
      </c>
      <c r="AN109">
        <f t="shared" si="26"/>
        <v>0</v>
      </c>
    </row>
    <row r="110">
      <c r="B110" s="1" t="s">
        <v>718</v>
      </c>
      <c r="E110" s="275"/>
      <c r="F110" s="268">
        <v>21.0</v>
      </c>
      <c r="G110" s="275">
        <f t="shared" si="27"/>
        <v>3.789854484</v>
      </c>
      <c r="H110" s="275">
        <f t="shared" si="28"/>
        <v>4.602254965</v>
      </c>
      <c r="I110">
        <f t="shared" si="29"/>
        <v>1.214361919</v>
      </c>
      <c r="J110" s="1">
        <v>0.5</v>
      </c>
      <c r="K110" s="268">
        <v>0.67</v>
      </c>
      <c r="L110" s="1">
        <v>1.0</v>
      </c>
      <c r="M110" s="1">
        <v>0.5</v>
      </c>
      <c r="N110" s="1">
        <v>0.0</v>
      </c>
      <c r="O110" s="1">
        <v>1.0</v>
      </c>
      <c r="AN110">
        <f t="shared" si="26"/>
        <v>0.1320385804</v>
      </c>
    </row>
    <row r="111">
      <c r="B111" s="1" t="s">
        <v>719</v>
      </c>
      <c r="E111" s="275"/>
      <c r="F111" s="268">
        <v>21.0</v>
      </c>
      <c r="G111" s="275">
        <f t="shared" si="27"/>
        <v>3.789854484</v>
      </c>
      <c r="H111" s="275">
        <f t="shared" si="28"/>
        <v>4.602254965</v>
      </c>
      <c r="I111">
        <f t="shared" si="29"/>
        <v>1.214361919</v>
      </c>
      <c r="J111" s="268">
        <v>0.5</v>
      </c>
      <c r="K111" s="268">
        <v>0.67</v>
      </c>
      <c r="L111" s="1">
        <v>1.0</v>
      </c>
      <c r="M111" s="1">
        <v>0.5</v>
      </c>
      <c r="N111" s="1">
        <v>0.0</v>
      </c>
      <c r="O111" s="1">
        <v>1.0</v>
      </c>
      <c r="AJ111" s="269"/>
      <c r="AN111">
        <f t="shared" si="26"/>
        <v>0.001538311158</v>
      </c>
    </row>
    <row r="112">
      <c r="B112" s="1" t="s">
        <v>720</v>
      </c>
      <c r="E112" s="275"/>
      <c r="F112" s="268">
        <v>21.0</v>
      </c>
      <c r="G112" s="275">
        <f t="shared" si="27"/>
        <v>3.789854484</v>
      </c>
      <c r="H112" s="275">
        <f t="shared" si="28"/>
        <v>4.602254965</v>
      </c>
      <c r="I112">
        <f t="shared" si="29"/>
        <v>1.214361919</v>
      </c>
      <c r="J112" s="268">
        <v>0.5</v>
      </c>
      <c r="K112" s="268">
        <v>0.67</v>
      </c>
      <c r="L112" s="1">
        <v>1.0</v>
      </c>
      <c r="M112" s="1">
        <v>0.5</v>
      </c>
      <c r="N112" s="408">
        <v>0.0</v>
      </c>
      <c r="O112" s="1">
        <v>1.0</v>
      </c>
      <c r="Q112" s="409"/>
      <c r="AJ112" s="269"/>
      <c r="AN112">
        <f t="shared" si="26"/>
        <v>0</v>
      </c>
    </row>
    <row r="113">
      <c r="B113" s="1" t="s">
        <v>721</v>
      </c>
      <c r="E113" s="275"/>
      <c r="F113" s="268">
        <v>31.0</v>
      </c>
      <c r="G113" s="275">
        <f t="shared" si="27"/>
        <v>7.147547917</v>
      </c>
      <c r="H113" s="275">
        <f t="shared" si="28"/>
        <v>9.520746382</v>
      </c>
      <c r="I113">
        <f t="shared" si="29"/>
        <v>1.332029738</v>
      </c>
      <c r="J113" s="268">
        <v>0.79</v>
      </c>
      <c r="K113" s="268">
        <v>0.79</v>
      </c>
      <c r="L113" s="268">
        <v>0.79</v>
      </c>
      <c r="M113" s="268">
        <v>0.79</v>
      </c>
      <c r="N113" s="268">
        <v>0.79</v>
      </c>
      <c r="O113" s="268">
        <v>0.79</v>
      </c>
      <c r="Q113" s="409"/>
      <c r="AJ113" s="269"/>
      <c r="AN113">
        <f t="shared" si="26"/>
        <v>0</v>
      </c>
    </row>
    <row r="114">
      <c r="B114" s="1" t="s">
        <v>722</v>
      </c>
      <c r="E114" s="275"/>
      <c r="F114" s="268">
        <v>30.0</v>
      </c>
      <c r="G114" s="275">
        <f t="shared" si="27"/>
        <v>6.708163226</v>
      </c>
      <c r="H114" s="275">
        <f t="shared" si="28"/>
        <v>8.853214043</v>
      </c>
      <c r="I114">
        <f t="shared" si="29"/>
        <v>1.319767237</v>
      </c>
      <c r="J114" s="268">
        <v>0.79</v>
      </c>
      <c r="K114" s="268">
        <v>0.79</v>
      </c>
      <c r="L114" s="268">
        <v>0.79</v>
      </c>
      <c r="M114" s="268">
        <v>0.79</v>
      </c>
      <c r="N114" s="268">
        <v>0.79</v>
      </c>
      <c r="O114" s="268">
        <v>0.79</v>
      </c>
      <c r="Q114" s="409"/>
      <c r="AJ114" s="269"/>
      <c r="AN114">
        <f t="shared" si="26"/>
        <v>0</v>
      </c>
    </row>
    <row r="115">
      <c r="B115" s="1" t="s">
        <v>723</v>
      </c>
      <c r="E115" s="275"/>
      <c r="F115" s="268">
        <v>33.0</v>
      </c>
      <c r="G115" s="275">
        <f t="shared" si="27"/>
        <v>8.114541462</v>
      </c>
      <c r="H115" s="275">
        <f t="shared" si="28"/>
        <v>11.0106019</v>
      </c>
      <c r="I115">
        <f t="shared" si="29"/>
        <v>1.356897608</v>
      </c>
      <c r="J115" s="268">
        <v>0.79</v>
      </c>
      <c r="K115" s="268">
        <v>0.79</v>
      </c>
      <c r="L115" s="268">
        <v>0.79</v>
      </c>
      <c r="M115" s="268">
        <v>0.79</v>
      </c>
      <c r="N115" s="268">
        <v>0.79</v>
      </c>
      <c r="O115" s="268">
        <v>0.79</v>
      </c>
      <c r="Q115" s="409"/>
      <c r="AJ115" s="269"/>
      <c r="AN115">
        <f t="shared" si="26"/>
        <v>0.002230995408</v>
      </c>
    </row>
    <row r="116">
      <c r="B116" s="1" t="s">
        <v>725</v>
      </c>
      <c r="E116" s="275"/>
      <c r="F116" s="268">
        <v>27.0</v>
      </c>
      <c r="G116" s="275">
        <f t="shared" si="27"/>
        <v>5.545532558</v>
      </c>
      <c r="H116" s="275">
        <f t="shared" si="28"/>
        <v>7.118538985</v>
      </c>
      <c r="I116">
        <f t="shared" si="29"/>
        <v>1.283652906</v>
      </c>
      <c r="J116" s="268">
        <v>1.0</v>
      </c>
      <c r="K116" s="268">
        <v>0.67</v>
      </c>
      <c r="L116" s="1">
        <v>0.0</v>
      </c>
      <c r="M116" s="1">
        <v>1.0</v>
      </c>
      <c r="N116" s="408">
        <v>1.0</v>
      </c>
      <c r="O116" s="1">
        <v>0.0</v>
      </c>
      <c r="Q116" s="409"/>
      <c r="AJ116" s="269"/>
      <c r="AN116">
        <f t="shared" si="26"/>
        <v>0.01444846231</v>
      </c>
    </row>
    <row r="117">
      <c r="B117" s="1" t="s">
        <v>727</v>
      </c>
      <c r="E117" s="275"/>
      <c r="F117" s="268">
        <v>37.0</v>
      </c>
      <c r="G117" s="275">
        <f t="shared" si="27"/>
        <v>10.45870227</v>
      </c>
      <c r="H117" s="275">
        <f t="shared" si="28"/>
        <v>14.72621678</v>
      </c>
      <c r="I117">
        <f t="shared" si="29"/>
        <v>1.408034802</v>
      </c>
      <c r="J117" s="268">
        <v>1.0</v>
      </c>
      <c r="K117" s="268">
        <v>1.0</v>
      </c>
      <c r="L117" s="1">
        <v>1.0</v>
      </c>
      <c r="M117" s="9">
        <v>1.0</v>
      </c>
      <c r="N117" s="408">
        <v>1.0</v>
      </c>
      <c r="O117" s="1">
        <v>1.0</v>
      </c>
      <c r="Q117" s="409"/>
      <c r="AJ117" s="269"/>
      <c r="AN117">
        <f t="shared" si="26"/>
        <v>0.0008519869744</v>
      </c>
    </row>
    <row r="118">
      <c r="B118" s="1" t="s">
        <v>243</v>
      </c>
      <c r="E118" s="275"/>
      <c r="F118" s="268">
        <v>18.0</v>
      </c>
      <c r="G118" s="275">
        <f t="shared" si="27"/>
        <v>3.133012827</v>
      </c>
      <c r="H118" s="275">
        <f t="shared" si="28"/>
        <v>3.700501448</v>
      </c>
      <c r="I118">
        <f t="shared" si="29"/>
        <v>1.181131918</v>
      </c>
      <c r="J118" s="268">
        <v>0.79</v>
      </c>
      <c r="K118" s="268">
        <v>0.79</v>
      </c>
      <c r="L118" s="1">
        <v>0.79</v>
      </c>
      <c r="M118" s="1">
        <v>0.79</v>
      </c>
      <c r="N118" s="1">
        <v>0.79</v>
      </c>
      <c r="O118" s="1">
        <v>0.79</v>
      </c>
      <c r="Q118" s="409"/>
      <c r="AJ118" s="269"/>
      <c r="AN118">
        <f t="shared" si="26"/>
        <v>0</v>
      </c>
    </row>
    <row r="119">
      <c r="B119" s="1" t="s">
        <v>728</v>
      </c>
      <c r="E119" s="275"/>
      <c r="F119" s="268">
        <v>20.0</v>
      </c>
      <c r="G119" s="275">
        <f t="shared" si="27"/>
        <v>3.556878915</v>
      </c>
      <c r="H119" s="275">
        <f t="shared" si="28"/>
        <v>4.27957501</v>
      </c>
      <c r="I119">
        <f t="shared" si="29"/>
        <v>1.203182653</v>
      </c>
      <c r="J119" s="268">
        <v>1.0</v>
      </c>
      <c r="K119" s="268">
        <v>1.0</v>
      </c>
      <c r="L119" s="1">
        <v>1.0</v>
      </c>
      <c r="M119" s="1">
        <v>1.0</v>
      </c>
      <c r="N119" s="1">
        <v>1.0</v>
      </c>
      <c r="O119" s="1">
        <v>0.0</v>
      </c>
      <c r="Q119" s="409"/>
      <c r="AJ119" s="269"/>
      <c r="AN119">
        <f t="shared" si="26"/>
        <v>0.05344021376</v>
      </c>
    </row>
    <row r="120">
      <c r="B120" s="1" t="s">
        <v>729</v>
      </c>
      <c r="E120" s="275"/>
      <c r="F120" s="268">
        <v>192.0</v>
      </c>
      <c r="G120" s="275">
        <f t="shared" ref="G120:G124" si="30">($L$83)*$F120</f>
        <v>74.496</v>
      </c>
      <c r="H120" s="275">
        <f t="shared" ref="H120:H121" si="31">($M$83)*F120</f>
        <v>80.832</v>
      </c>
      <c r="I120" s="275">
        <f t="shared" ref="I120:I124" si="32">H120-G120</f>
        <v>6.336</v>
      </c>
      <c r="J120" s="275"/>
      <c r="K120" s="275"/>
      <c r="L120" s="275"/>
      <c r="M120" s="275"/>
      <c r="N120" s="275"/>
      <c r="O120" s="275"/>
      <c r="Q120" s="409"/>
      <c r="AJ120" s="269"/>
      <c r="AN120">
        <f t="shared" ref="AN120:AN139" si="33">(O85/SUM($O$70:$O$104))*AP85</f>
        <v>0</v>
      </c>
    </row>
    <row r="121">
      <c r="B121" s="1" t="s">
        <v>730</v>
      </c>
      <c r="E121" s="275"/>
      <c r="F121" s="268">
        <v>3.8</v>
      </c>
      <c r="G121" s="275">
        <f t="shared" si="30"/>
        <v>1.4744</v>
      </c>
      <c r="H121" s="275">
        <f t="shared" si="31"/>
        <v>1.5998</v>
      </c>
      <c r="I121" s="275">
        <f t="shared" si="32"/>
        <v>0.1254</v>
      </c>
      <c r="J121" s="275"/>
      <c r="K121" s="275"/>
      <c r="L121" s="1"/>
      <c r="M121" s="9"/>
      <c r="N121" s="408"/>
      <c r="Q121" s="409"/>
      <c r="AJ121" s="269"/>
      <c r="AN121">
        <f t="shared" si="33"/>
        <v>0</v>
      </c>
    </row>
    <row r="122">
      <c r="B122" s="1" t="s">
        <v>731</v>
      </c>
      <c r="E122" s="275"/>
      <c r="F122" s="28">
        <v>0.022</v>
      </c>
      <c r="G122" s="275">
        <f t="shared" si="30"/>
        <v>0.008536</v>
      </c>
      <c r="H122" s="275">
        <f>$M$83*F122</f>
        <v>0.009262</v>
      </c>
      <c r="I122" s="275">
        <f t="shared" si="32"/>
        <v>0.000726</v>
      </c>
      <c r="J122" s="268">
        <v>1.0</v>
      </c>
      <c r="K122" s="275"/>
      <c r="L122" s="1"/>
      <c r="M122" s="9"/>
      <c r="N122" s="408"/>
      <c r="Q122" s="409"/>
      <c r="AJ122" s="269"/>
      <c r="AN122">
        <f t="shared" si="33"/>
        <v>0</v>
      </c>
    </row>
    <row r="123">
      <c r="B123" s="1" t="s">
        <v>732</v>
      </c>
      <c r="E123" s="275"/>
      <c r="F123" s="28">
        <v>0.016</v>
      </c>
      <c r="G123" s="275">
        <f t="shared" si="30"/>
        <v>0.006208</v>
      </c>
      <c r="H123" s="275">
        <f>($M$83)*F123</f>
        <v>0.006736</v>
      </c>
      <c r="I123" s="275">
        <f t="shared" si="32"/>
        <v>0.000528</v>
      </c>
      <c r="J123" s="268">
        <v>0.0</v>
      </c>
      <c r="K123" s="275"/>
      <c r="L123" s="1"/>
      <c r="M123" s="9"/>
      <c r="N123" s="408"/>
      <c r="Q123" s="409"/>
      <c r="AJ123" s="269"/>
      <c r="AN123">
        <f t="shared" si="33"/>
        <v>0.002074679206</v>
      </c>
    </row>
    <row r="124">
      <c r="B124" s="1" t="s">
        <v>734</v>
      </c>
      <c r="E124" s="275"/>
      <c r="F124" s="28">
        <v>0.02</v>
      </c>
      <c r="G124" s="275">
        <f t="shared" si="30"/>
        <v>0.00776</v>
      </c>
      <c r="H124" s="275">
        <f>((1+$M$83)*F124)</f>
        <v>0.02842</v>
      </c>
      <c r="I124" s="275">
        <f t="shared" si="32"/>
        <v>0.02066</v>
      </c>
      <c r="J124" s="268">
        <v>0.0</v>
      </c>
      <c r="K124" s="268">
        <v>1.0</v>
      </c>
      <c r="L124" s="1"/>
      <c r="AJ124" s="269"/>
      <c r="AN124">
        <f t="shared" si="33"/>
        <v>0.1312714186</v>
      </c>
    </row>
    <row r="125">
      <c r="B125" s="1" t="s">
        <v>735</v>
      </c>
      <c r="E125" s="268"/>
      <c r="G125" s="268"/>
      <c r="H125" s="268"/>
      <c r="I125">
        <f>IF($E$7="Fairy",I118*I115,IF($E$7="Chesterson",I115,IF(OR($E$7="Boss Gold",$E$7 = "PHoM"),I114,I113)))</f>
        <v>1.602675074</v>
      </c>
      <c r="J125" s="268">
        <v>0.79</v>
      </c>
      <c r="K125" s="268">
        <v>0.79</v>
      </c>
      <c r="L125" s="268">
        <v>0.79</v>
      </c>
      <c r="M125" s="268">
        <v>0.79</v>
      </c>
      <c r="N125" s="268">
        <v>0.79</v>
      </c>
      <c r="O125" s="268">
        <v>0.79</v>
      </c>
      <c r="AJ125" s="269"/>
      <c r="AN125">
        <f t="shared" si="33"/>
        <v>0</v>
      </c>
    </row>
    <row r="126">
      <c r="E126" s="268"/>
      <c r="G126" s="268"/>
      <c r="H126" s="268"/>
      <c r="J126" s="275"/>
      <c r="K126" s="275"/>
      <c r="L126" s="1"/>
      <c r="AJ126" s="269"/>
      <c r="AN126">
        <f t="shared" si="33"/>
        <v>0.2720901522</v>
      </c>
    </row>
    <row r="127">
      <c r="A127" s="412"/>
      <c r="C127" s="412"/>
      <c r="D127" s="412"/>
      <c r="E127" s="412"/>
      <c r="F127" s="412"/>
      <c r="G127" s="412"/>
      <c r="H127" s="412"/>
      <c r="I127" s="412"/>
      <c r="J127" s="412"/>
      <c r="K127" s="412"/>
      <c r="L127" s="412"/>
      <c r="M127" s="412"/>
      <c r="N127" s="412"/>
      <c r="O127" s="412"/>
      <c r="P127" s="412"/>
      <c r="Q127" s="412"/>
      <c r="R127" s="412"/>
      <c r="S127" s="412"/>
      <c r="T127" s="412"/>
      <c r="U127" s="412"/>
      <c r="V127" s="412"/>
      <c r="W127" s="412"/>
      <c r="X127" s="412"/>
      <c r="Y127" s="412"/>
      <c r="Z127" s="412"/>
      <c r="AA127" s="412"/>
      <c r="AB127" s="412"/>
      <c r="AC127" s="412"/>
      <c r="AD127" s="412"/>
      <c r="AE127" s="412"/>
      <c r="AF127" s="412"/>
      <c r="AG127" s="412"/>
      <c r="AH127" s="412"/>
      <c r="AI127" s="412"/>
      <c r="AJ127" s="412"/>
      <c r="AK127" s="412"/>
      <c r="AL127" s="412"/>
      <c r="AM127" s="412"/>
      <c r="AN127">
        <f t="shared" si="33"/>
        <v>0.001336005344</v>
      </c>
      <c r="AO127" s="412"/>
      <c r="AP127" s="412"/>
    </row>
    <row r="128">
      <c r="A128" s="412"/>
      <c r="C128" s="412"/>
      <c r="D128" s="412"/>
      <c r="E128" s="412"/>
      <c r="F128" s="412"/>
      <c r="G128" s="412"/>
      <c r="H128" s="412"/>
      <c r="I128" s="412"/>
      <c r="J128" s="412"/>
      <c r="K128" s="412"/>
      <c r="L128" s="412"/>
      <c r="M128" s="412"/>
      <c r="N128" s="412"/>
      <c r="O128" s="412"/>
      <c r="P128" s="412"/>
      <c r="Q128" s="412"/>
      <c r="R128" s="412"/>
      <c r="S128" s="412"/>
      <c r="T128" s="412"/>
      <c r="U128" s="412"/>
      <c r="V128" s="412"/>
      <c r="W128" s="412"/>
      <c r="X128" s="412"/>
      <c r="Y128" s="412"/>
      <c r="Z128" s="412"/>
      <c r="AA128" s="412"/>
      <c r="AB128" s="412"/>
      <c r="AC128" s="412"/>
      <c r="AD128" s="412"/>
      <c r="AE128" s="412"/>
      <c r="AF128" s="412"/>
      <c r="AG128" s="412"/>
      <c r="AH128" s="412"/>
      <c r="AI128" s="412"/>
      <c r="AJ128" s="412"/>
      <c r="AK128" s="412"/>
      <c r="AL128" s="412"/>
      <c r="AM128" s="412"/>
      <c r="AN128">
        <f t="shared" si="33"/>
        <v>0</v>
      </c>
      <c r="AO128" s="412"/>
      <c r="AP128" s="412"/>
    </row>
    <row r="129">
      <c r="A129" s="412"/>
      <c r="B129" s="412"/>
      <c r="C129" s="412"/>
      <c r="D129" s="412"/>
      <c r="E129" s="412"/>
      <c r="F129" s="412"/>
      <c r="G129" s="412"/>
      <c r="H129" s="412"/>
      <c r="I129" s="412"/>
      <c r="J129" s="412"/>
      <c r="K129" s="412"/>
      <c r="L129" s="412"/>
      <c r="M129" s="412"/>
      <c r="N129" s="412"/>
      <c r="O129" s="412"/>
      <c r="P129" s="412"/>
      <c r="Q129" s="412"/>
      <c r="R129" s="412"/>
      <c r="S129" s="412"/>
      <c r="T129" s="412"/>
      <c r="U129" s="412"/>
      <c r="V129" s="412"/>
      <c r="W129" s="412"/>
      <c r="X129" s="412"/>
      <c r="Y129" s="412"/>
      <c r="Z129" s="412"/>
      <c r="AA129" s="412"/>
      <c r="AB129" s="412"/>
      <c r="AC129" s="412"/>
      <c r="AD129" s="412"/>
      <c r="AE129" s="412"/>
      <c r="AF129" s="412"/>
      <c r="AG129" s="412"/>
      <c r="AH129" s="412"/>
      <c r="AI129" s="412"/>
      <c r="AJ129" s="412"/>
      <c r="AK129" s="412"/>
      <c r="AL129" s="412"/>
      <c r="AM129" s="412"/>
      <c r="AN129">
        <f t="shared" si="33"/>
        <v>0.001383119471</v>
      </c>
      <c r="AO129" s="412"/>
      <c r="AP129" s="412"/>
    </row>
    <row r="130">
      <c r="A130" s="412"/>
      <c r="B130" s="412"/>
      <c r="C130" s="412"/>
      <c r="D130" s="412"/>
      <c r="E130" s="412"/>
      <c r="F130" s="412"/>
      <c r="G130" s="412"/>
      <c r="H130" s="412"/>
      <c r="I130" s="412"/>
      <c r="J130" s="412"/>
      <c r="K130" s="412"/>
      <c r="L130" s="412"/>
      <c r="M130" s="412"/>
      <c r="N130" s="412"/>
      <c r="O130" s="412"/>
      <c r="P130" s="412"/>
      <c r="Q130" s="412"/>
      <c r="R130" s="412"/>
      <c r="S130" s="412"/>
      <c r="T130" s="412"/>
      <c r="U130" s="412"/>
      <c r="V130" s="412"/>
      <c r="W130" s="412"/>
      <c r="X130" s="412"/>
      <c r="Y130" s="412"/>
      <c r="Z130" s="412"/>
      <c r="AA130" s="412"/>
      <c r="AB130" s="412"/>
      <c r="AC130" s="412"/>
      <c r="AD130" s="412"/>
      <c r="AE130" s="412"/>
      <c r="AF130" s="412"/>
      <c r="AG130" s="412"/>
      <c r="AH130" s="412"/>
      <c r="AI130" s="412"/>
      <c r="AJ130" s="412"/>
      <c r="AK130" s="412"/>
      <c r="AL130" s="412"/>
      <c r="AM130" s="412"/>
      <c r="AN130">
        <f t="shared" si="33"/>
        <v>0</v>
      </c>
      <c r="AO130" s="412"/>
      <c r="AP130" s="412"/>
    </row>
    <row r="131">
      <c r="A131" s="412"/>
      <c r="B131" s="412"/>
      <c r="C131" s="412"/>
      <c r="D131" s="412"/>
      <c r="E131" s="412"/>
      <c r="F131" s="412"/>
      <c r="G131" s="412"/>
      <c r="H131" s="412"/>
      <c r="I131" s="412"/>
      <c r="J131" s="412"/>
      <c r="K131" s="412"/>
      <c r="L131" s="412"/>
      <c r="M131" s="412"/>
      <c r="N131" s="412"/>
      <c r="O131" s="412"/>
      <c r="P131" s="412"/>
      <c r="Q131" s="412"/>
      <c r="R131" s="412"/>
      <c r="S131" s="412"/>
      <c r="T131" s="412"/>
      <c r="U131" s="412"/>
      <c r="V131" s="412"/>
      <c r="W131" s="412"/>
      <c r="X131" s="412"/>
      <c r="Y131" s="412"/>
      <c r="Z131" s="412"/>
      <c r="AA131" s="412"/>
      <c r="AB131" s="412"/>
      <c r="AC131" s="412"/>
      <c r="AD131" s="412"/>
      <c r="AE131" s="412"/>
      <c r="AF131" s="412"/>
      <c r="AG131" s="412"/>
      <c r="AH131" s="412"/>
      <c r="AI131" s="412"/>
      <c r="AJ131" s="412"/>
      <c r="AK131" s="412"/>
      <c r="AL131" s="412"/>
      <c r="AM131" s="412"/>
      <c r="AN131">
        <f t="shared" si="33"/>
        <v>0</v>
      </c>
      <c r="AO131" s="412"/>
      <c r="AP131" s="412"/>
    </row>
    <row r="132">
      <c r="A132" s="412"/>
      <c r="B132" s="412"/>
      <c r="C132" s="412"/>
      <c r="D132" s="412"/>
      <c r="E132" s="412"/>
      <c r="F132" s="412"/>
      <c r="G132" s="412"/>
      <c r="H132" s="412"/>
      <c r="I132" s="412"/>
      <c r="J132" s="412"/>
      <c r="K132" s="412"/>
      <c r="L132" s="412"/>
      <c r="M132" s="412"/>
      <c r="N132" s="412"/>
      <c r="O132" s="412"/>
      <c r="P132" s="412"/>
      <c r="Q132" s="412"/>
      <c r="R132" s="412"/>
      <c r="S132" s="412"/>
      <c r="T132" s="412"/>
      <c r="U132" s="412"/>
      <c r="V132" s="412"/>
      <c r="W132" s="412"/>
      <c r="X132" s="412"/>
      <c r="Y132" s="412"/>
      <c r="Z132" s="412"/>
      <c r="AA132" s="412"/>
      <c r="AB132" s="412"/>
      <c r="AC132" s="412"/>
      <c r="AD132" s="412"/>
      <c r="AE132" s="412"/>
      <c r="AF132" s="412"/>
      <c r="AG132" s="412"/>
      <c r="AH132" s="412"/>
      <c r="AI132" s="412"/>
      <c r="AJ132" s="412"/>
      <c r="AK132" s="412"/>
      <c r="AL132" s="412"/>
      <c r="AM132" s="412"/>
      <c r="AN132">
        <f t="shared" si="33"/>
        <v>0.4118738087</v>
      </c>
      <c r="AO132" s="412"/>
      <c r="AP132" s="412"/>
    </row>
    <row r="133">
      <c r="A133" s="412"/>
      <c r="B133" s="412"/>
      <c r="C133" s="412"/>
      <c r="D133" s="412"/>
      <c r="E133" s="412"/>
      <c r="F133" s="412"/>
      <c r="G133" s="412"/>
      <c r="H133" s="412"/>
      <c r="I133" s="412"/>
      <c r="J133" s="412"/>
      <c r="K133" s="412"/>
      <c r="L133" s="412"/>
      <c r="M133" s="412"/>
      <c r="N133" s="412"/>
      <c r="O133" s="412"/>
      <c r="P133" s="412"/>
      <c r="Q133" s="412"/>
      <c r="R133" s="412"/>
      <c r="S133" s="412"/>
      <c r="T133" s="412"/>
      <c r="U133" s="412"/>
      <c r="V133" s="412"/>
      <c r="W133" s="412"/>
      <c r="X133" s="412"/>
      <c r="Y133" s="412"/>
      <c r="Z133" s="412"/>
      <c r="AA133" s="412"/>
      <c r="AB133" s="412"/>
      <c r="AC133" s="412"/>
      <c r="AD133" s="412"/>
      <c r="AE133" s="412"/>
      <c r="AF133" s="412"/>
      <c r="AG133" s="412"/>
      <c r="AH133" s="412"/>
      <c r="AI133" s="412"/>
      <c r="AJ133" s="412"/>
      <c r="AK133" s="412"/>
      <c r="AL133" s="412"/>
      <c r="AM133" s="412"/>
      <c r="AN133">
        <f t="shared" si="33"/>
        <v>0.03136098288</v>
      </c>
      <c r="AO133" s="412"/>
      <c r="AP133" s="412"/>
    </row>
    <row r="134">
      <c r="A134" s="412"/>
      <c r="B134" s="412"/>
      <c r="C134" s="412"/>
      <c r="D134" s="412"/>
      <c r="E134" s="412"/>
      <c r="F134" s="412"/>
      <c r="G134" s="412"/>
      <c r="H134" s="412"/>
      <c r="I134" s="412"/>
      <c r="J134" s="412"/>
      <c r="K134" s="412"/>
      <c r="L134" s="412"/>
      <c r="M134" s="412"/>
      <c r="N134" s="412"/>
      <c r="O134" s="412"/>
      <c r="P134" s="412"/>
      <c r="Q134" s="412"/>
      <c r="R134" s="412"/>
      <c r="S134" s="412"/>
      <c r="T134" s="412"/>
      <c r="U134" s="412"/>
      <c r="V134" s="412"/>
      <c r="W134" s="412"/>
      <c r="X134" s="412"/>
      <c r="Y134" s="412"/>
      <c r="Z134" s="412"/>
      <c r="AA134" s="412"/>
      <c r="AB134" s="412"/>
      <c r="AC134" s="412"/>
      <c r="AD134" s="412"/>
      <c r="AE134" s="412"/>
      <c r="AF134" s="412"/>
      <c r="AG134" s="412"/>
      <c r="AH134" s="412"/>
      <c r="AI134" s="412"/>
      <c r="AJ134" s="412"/>
      <c r="AK134" s="412"/>
      <c r="AL134" s="412"/>
      <c r="AM134" s="412"/>
      <c r="AN134">
        <f t="shared" si="33"/>
        <v>0.02104969996</v>
      </c>
      <c r="AO134" s="412"/>
      <c r="AP134" s="412"/>
    </row>
    <row r="135">
      <c r="A135" s="412"/>
      <c r="B135" s="412"/>
      <c r="C135" s="412"/>
      <c r="D135" s="412"/>
      <c r="E135" s="412"/>
      <c r="F135" s="412"/>
      <c r="G135" s="412"/>
      <c r="H135" s="412"/>
      <c r="I135" s="412"/>
      <c r="J135" s="412"/>
      <c r="K135" s="412"/>
      <c r="L135" s="412"/>
      <c r="M135" s="412"/>
      <c r="N135" s="412"/>
      <c r="O135" s="412"/>
      <c r="P135" s="412"/>
      <c r="Q135" s="412"/>
      <c r="R135" s="412"/>
      <c r="S135" s="412"/>
      <c r="T135" s="412"/>
      <c r="U135" s="412"/>
      <c r="V135" s="412"/>
      <c r="W135" s="412"/>
      <c r="X135" s="412"/>
      <c r="Y135" s="412"/>
      <c r="Z135" s="412"/>
      <c r="AA135" s="412"/>
      <c r="AB135" s="412"/>
      <c r="AC135" s="412"/>
      <c r="AD135" s="412"/>
      <c r="AE135" s="412"/>
      <c r="AF135" s="412"/>
      <c r="AG135" s="412"/>
      <c r="AH135" s="412"/>
      <c r="AI135" s="412"/>
      <c r="AJ135" s="412"/>
      <c r="AK135" s="412"/>
      <c r="AL135" s="412"/>
      <c r="AM135" s="412"/>
      <c r="AN135">
        <f t="shared" si="33"/>
        <v>0</v>
      </c>
      <c r="AO135" s="412"/>
      <c r="AP135" s="412"/>
    </row>
    <row r="136">
      <c r="A136" s="412"/>
      <c r="B136" s="412"/>
      <c r="C136" s="412"/>
      <c r="D136" s="412"/>
      <c r="E136" s="412"/>
      <c r="F136" s="412"/>
      <c r="G136" s="412"/>
      <c r="H136" s="412"/>
      <c r="I136" s="412"/>
      <c r="J136" s="412"/>
      <c r="K136" s="412"/>
      <c r="L136" s="412"/>
      <c r="M136" s="412"/>
      <c r="N136" s="412"/>
      <c r="O136" s="412"/>
      <c r="P136" s="412"/>
      <c r="Q136" s="412"/>
      <c r="R136" s="412"/>
      <c r="S136" s="412"/>
      <c r="T136" s="412"/>
      <c r="U136" s="412"/>
      <c r="V136" s="412"/>
      <c r="W136" s="412"/>
      <c r="X136" s="412"/>
      <c r="Y136" s="412"/>
      <c r="Z136" s="412"/>
      <c r="AA136" s="412"/>
      <c r="AB136" s="412"/>
      <c r="AC136" s="412"/>
      <c r="AD136" s="412"/>
      <c r="AE136" s="412"/>
      <c r="AF136" s="412"/>
      <c r="AG136" s="412"/>
      <c r="AH136" s="412"/>
      <c r="AI136" s="412"/>
      <c r="AJ136" s="412"/>
      <c r="AK136" s="412"/>
      <c r="AL136" s="412"/>
      <c r="AM136" s="412"/>
      <c r="AN136">
        <f t="shared" si="33"/>
        <v>0.000668002672</v>
      </c>
      <c r="AO136" s="412"/>
      <c r="AP136" s="412"/>
    </row>
    <row r="137">
      <c r="A137" s="412"/>
      <c r="B137" s="412"/>
      <c r="C137" s="412"/>
      <c r="D137" s="412"/>
      <c r="E137" s="412"/>
      <c r="F137" s="412"/>
      <c r="G137" s="412"/>
      <c r="H137" s="412"/>
      <c r="I137" s="412"/>
      <c r="J137" s="412"/>
      <c r="K137" s="412"/>
      <c r="L137" s="412"/>
      <c r="M137" s="412"/>
      <c r="N137" s="412"/>
      <c r="O137" s="412"/>
      <c r="P137" s="412"/>
      <c r="Q137" s="412"/>
      <c r="R137" s="412"/>
      <c r="S137" s="412"/>
      <c r="T137" s="412"/>
      <c r="U137" s="412"/>
      <c r="V137" s="412"/>
      <c r="W137" s="412"/>
      <c r="X137" s="412"/>
      <c r="Y137" s="412"/>
      <c r="Z137" s="412"/>
      <c r="AA137" s="412"/>
      <c r="AB137" s="412"/>
      <c r="AC137" s="412"/>
      <c r="AD137" s="412"/>
      <c r="AE137" s="412"/>
      <c r="AF137" s="412"/>
      <c r="AG137" s="412"/>
      <c r="AH137" s="412"/>
      <c r="AI137" s="412"/>
      <c r="AJ137" s="412"/>
      <c r="AK137" s="412"/>
      <c r="AL137" s="412"/>
      <c r="AM137" s="412"/>
      <c r="AN137">
        <f t="shared" si="33"/>
        <v>0</v>
      </c>
      <c r="AO137" s="412"/>
      <c r="AP137" s="412"/>
    </row>
    <row r="138">
      <c r="A138" s="412"/>
      <c r="B138" s="412"/>
      <c r="C138" s="412"/>
      <c r="D138" s="412"/>
      <c r="E138" s="412"/>
      <c r="F138" s="412"/>
      <c r="G138" s="412"/>
      <c r="H138" s="412"/>
      <c r="I138" s="412"/>
      <c r="J138" s="412"/>
      <c r="K138" s="412"/>
      <c r="L138" s="412"/>
      <c r="M138" s="412"/>
      <c r="N138" s="412"/>
      <c r="O138" s="412"/>
      <c r="P138" s="412"/>
      <c r="Q138" s="412"/>
      <c r="R138" s="412"/>
      <c r="S138" s="412"/>
      <c r="T138" s="412"/>
      <c r="U138" s="412"/>
      <c r="V138" s="412"/>
      <c r="W138" s="412"/>
      <c r="X138" s="412"/>
      <c r="Y138" s="412"/>
      <c r="Z138" s="412"/>
      <c r="AA138" s="412"/>
      <c r="AB138" s="412"/>
      <c r="AC138" s="412"/>
      <c r="AD138" s="412"/>
      <c r="AE138" s="412"/>
      <c r="AF138" s="412"/>
      <c r="AG138" s="412"/>
      <c r="AH138" s="412"/>
      <c r="AI138" s="412"/>
      <c r="AJ138" s="412"/>
      <c r="AK138" s="412"/>
      <c r="AL138" s="412"/>
      <c r="AM138" s="412"/>
      <c r="AN138">
        <f t="shared" si="33"/>
        <v>0</v>
      </c>
      <c r="AO138" s="412"/>
      <c r="AP138" s="412"/>
    </row>
    <row r="139">
      <c r="A139" s="416" t="s">
        <v>739</v>
      </c>
      <c r="B139" s="416"/>
      <c r="C139" s="416"/>
      <c r="D139" s="416"/>
      <c r="E139" s="416"/>
      <c r="F139" s="416"/>
      <c r="G139" s="416"/>
      <c r="H139" s="416"/>
      <c r="I139" s="416"/>
      <c r="J139" s="416"/>
      <c r="K139" s="416"/>
      <c r="L139" s="416"/>
      <c r="M139" s="416"/>
      <c r="N139" s="416"/>
      <c r="O139" s="416"/>
      <c r="P139" s="416"/>
      <c r="Q139" s="416"/>
      <c r="R139" s="416"/>
      <c r="S139" s="416"/>
      <c r="T139" s="416"/>
      <c r="U139" s="416"/>
      <c r="V139" s="416"/>
      <c r="W139" s="416"/>
      <c r="X139" s="416"/>
      <c r="Y139" s="416"/>
      <c r="Z139" s="416"/>
      <c r="AA139" s="416"/>
      <c r="AB139" s="416"/>
      <c r="AC139" s="416"/>
      <c r="AD139" s="416"/>
      <c r="AE139" s="416"/>
      <c r="AF139" s="416"/>
      <c r="AG139" s="416"/>
      <c r="AH139" s="416"/>
      <c r="AI139" s="416"/>
      <c r="AJ139" s="416"/>
      <c r="AK139" s="416"/>
      <c r="AL139" s="416"/>
      <c r="AM139" s="416"/>
      <c r="AN139">
        <f t="shared" si="33"/>
        <v>0.01320544986</v>
      </c>
      <c r="AO139" s="416"/>
      <c r="AP139" s="416"/>
    </row>
    <row r="140">
      <c r="E140" s="275"/>
      <c r="F140" s="275"/>
      <c r="G140" s="275"/>
      <c r="H140" s="275"/>
      <c r="I140" s="275"/>
      <c r="J140" s="275"/>
      <c r="AJ140" s="269"/>
      <c r="AN140">
        <f>sum(AN106:AN139)</f>
        <v>1.10539701</v>
      </c>
    </row>
    <row r="141">
      <c r="B141" s="1" t="s">
        <v>740</v>
      </c>
      <c r="E141" s="275"/>
      <c r="F141" s="275"/>
      <c r="G141" s="275"/>
      <c r="H141" s="275"/>
      <c r="I141" s="275"/>
      <c r="J141" s="275"/>
      <c r="L141" s="1">
        <v>0.0</v>
      </c>
      <c r="M141" s="1">
        <v>0.0</v>
      </c>
      <c r="N141" s="1">
        <v>0.0</v>
      </c>
      <c r="O141" s="1">
        <v>0.0</v>
      </c>
      <c r="X141" s="418">
        <f>((((((J101+5)/2/2.5))*((M3+L101)/(M3)))^0.8)^(1/O101))^T101</f>
        <v>1.016367776</v>
      </c>
      <c r="AJ141" s="269"/>
    </row>
    <row r="142">
      <c r="B142" s="1">
        <v>0.0042</v>
      </c>
      <c r="C142">
        <f t="array" ref="C142:C166">TRANSPOSE(SkillTreeInfo2.10!BL3:CJ3)</f>
        <v>0.0004</v>
      </c>
      <c r="D142">
        <f t="array" ref="D142:D166">TRANSPOSE(SkillTreeInfo2.10!AJ3:BH3)</f>
        <v>1</v>
      </c>
      <c r="E142" s="275">
        <f t="shared" ref="E142:E166" si="34">((C142+$B$142)/($B$142))^(1/F142)</f>
        <v>1.095238095</v>
      </c>
      <c r="F142" s="275">
        <f t="shared" ref="F142:F166" si="35">SUM($D$142:D142)</f>
        <v>1</v>
      </c>
      <c r="G142" s="268">
        <v>1.0</v>
      </c>
      <c r="H142" s="275"/>
      <c r="I142" s="275">
        <f t="shared" ref="I142:I166" si="36">(((M142)*IFerror(pow($M$1+L142,2)/pow($M$1,2),0))^(1/O142))</f>
        <v>1.341639445</v>
      </c>
      <c r="J142" s="275"/>
      <c r="K142">
        <f>(((M142/1)*IFerror(pow($M$1+L142,2)/pow($M$1+L141,2),0))^(1/N142))</f>
        <v>1.341639445</v>
      </c>
      <c r="L142" s="1">
        <v>-0.01</v>
      </c>
      <c r="M142" s="1">
        <v>1.8</v>
      </c>
      <c r="N142" s="1">
        <v>2.0</v>
      </c>
      <c r="O142">
        <f t="shared" ref="O142:O166" si="37">sum($N$141:N142)</f>
        <v>2</v>
      </c>
      <c r="AJ142" s="269"/>
    </row>
    <row r="143">
      <c r="C143">
        <v>6.0E-4</v>
      </c>
      <c r="D143">
        <v>2.0</v>
      </c>
      <c r="E143" s="275">
        <f t="shared" si="34"/>
        <v>1.045515917</v>
      </c>
      <c r="F143" s="275">
        <f t="shared" si="35"/>
        <v>3</v>
      </c>
      <c r="G143" s="268">
        <f t="shared" ref="G143:G166" si="38">G142+1</f>
        <v>2</v>
      </c>
      <c r="H143" s="275"/>
      <c r="I143" s="275">
        <f t="shared" si="36"/>
        <v>1.281859737</v>
      </c>
      <c r="J143" s="275"/>
      <c r="K143">
        <f t="shared" ref="K143:K166" si="39">(((M143/M142)*IFerror(pow($M$1+L143,2)/pow($M$1+L142,2),0))^(1/N143))</f>
        <v>1.224743647</v>
      </c>
      <c r="L143" s="1">
        <v>-0.02</v>
      </c>
      <c r="M143" s="1">
        <v>2.7</v>
      </c>
      <c r="N143" s="1">
        <v>2.0</v>
      </c>
      <c r="O143">
        <f t="shared" si="37"/>
        <v>4</v>
      </c>
      <c r="AJ143" s="269"/>
    </row>
    <row r="144">
      <c r="C144">
        <v>0.001</v>
      </c>
      <c r="D144">
        <v>2.0</v>
      </c>
      <c r="E144" s="275">
        <f t="shared" si="34"/>
        <v>1.043640227</v>
      </c>
      <c r="F144" s="275">
        <f t="shared" si="35"/>
        <v>5</v>
      </c>
      <c r="G144" s="268">
        <f t="shared" si="38"/>
        <v>3</v>
      </c>
      <c r="H144" s="275"/>
      <c r="I144" s="275">
        <f t="shared" si="36"/>
        <v>1.23167215</v>
      </c>
      <c r="J144" s="275"/>
      <c r="K144">
        <f t="shared" si="39"/>
        <v>1.167798575</v>
      </c>
      <c r="L144" s="1">
        <v>-0.03</v>
      </c>
      <c r="M144" s="1">
        <v>4.3</v>
      </c>
      <c r="N144" s="1">
        <v>3.0</v>
      </c>
      <c r="O144">
        <f t="shared" si="37"/>
        <v>7</v>
      </c>
      <c r="AJ144" s="269"/>
    </row>
    <row r="145">
      <c r="C145">
        <v>0.0017</v>
      </c>
      <c r="D145">
        <v>3.0</v>
      </c>
      <c r="E145" s="275">
        <f t="shared" si="34"/>
        <v>1.043398817</v>
      </c>
      <c r="F145" s="275">
        <f t="shared" si="35"/>
        <v>8</v>
      </c>
      <c r="G145" s="268">
        <f t="shared" si="38"/>
        <v>4</v>
      </c>
      <c r="H145" s="275"/>
      <c r="I145" s="275">
        <f t="shared" si="36"/>
        <v>1.216537463</v>
      </c>
      <c r="J145" s="275"/>
      <c r="K145">
        <f t="shared" si="39"/>
        <v>1.181942479</v>
      </c>
      <c r="L145" s="1">
        <v>-0.04</v>
      </c>
      <c r="M145" s="1">
        <v>7.1</v>
      </c>
      <c r="N145" s="1">
        <v>3.0</v>
      </c>
      <c r="O145">
        <f t="shared" si="37"/>
        <v>10</v>
      </c>
      <c r="AJ145" s="269"/>
    </row>
    <row r="146">
      <c r="C146">
        <v>0.0028</v>
      </c>
      <c r="D146">
        <v>3.0</v>
      </c>
      <c r="E146" s="275">
        <f t="shared" si="34"/>
        <v>1.047533856</v>
      </c>
      <c r="F146" s="275">
        <f t="shared" si="35"/>
        <v>11</v>
      </c>
      <c r="G146" s="268">
        <f t="shared" si="38"/>
        <v>5</v>
      </c>
      <c r="H146" s="275"/>
      <c r="I146" s="275">
        <f t="shared" si="36"/>
        <v>1.211409146</v>
      </c>
      <c r="J146" s="275"/>
      <c r="K146">
        <f t="shared" si="39"/>
        <v>1.194470379</v>
      </c>
      <c r="L146" s="1">
        <v>-0.05</v>
      </c>
      <c r="M146" s="1">
        <v>12.1</v>
      </c>
      <c r="N146" s="1">
        <v>3.0</v>
      </c>
      <c r="O146">
        <f t="shared" si="37"/>
        <v>13</v>
      </c>
      <c r="AJ146" s="269"/>
    </row>
    <row r="147">
      <c r="C147">
        <v>0.0046</v>
      </c>
      <c r="D147">
        <v>3.0</v>
      </c>
      <c r="E147" s="275">
        <f t="shared" si="34"/>
        <v>1.054253961</v>
      </c>
      <c r="F147" s="275">
        <f t="shared" si="35"/>
        <v>14</v>
      </c>
      <c r="G147" s="268">
        <f t="shared" si="38"/>
        <v>6</v>
      </c>
      <c r="H147" s="275"/>
      <c r="I147" s="275">
        <f t="shared" si="36"/>
        <v>1.198436346</v>
      </c>
      <c r="J147" s="275"/>
      <c r="K147">
        <f t="shared" si="39"/>
        <v>1.157226509</v>
      </c>
      <c r="L147" s="1">
        <v>-0.06</v>
      </c>
      <c r="M147" s="1">
        <v>21.7</v>
      </c>
      <c r="N147" s="1">
        <v>4.0</v>
      </c>
      <c r="O147">
        <f t="shared" si="37"/>
        <v>17</v>
      </c>
      <c r="AJ147" s="269"/>
    </row>
    <row r="148">
      <c r="C148">
        <v>0.0082</v>
      </c>
      <c r="D148">
        <v>4.0</v>
      </c>
      <c r="E148" s="275">
        <f t="shared" si="34"/>
        <v>1.061990639</v>
      </c>
      <c r="F148" s="275">
        <f t="shared" si="35"/>
        <v>18</v>
      </c>
      <c r="G148" s="268">
        <f t="shared" si="38"/>
        <v>7</v>
      </c>
      <c r="H148" s="275"/>
      <c r="I148" s="275">
        <f t="shared" si="36"/>
        <v>1.184142974</v>
      </c>
      <c r="J148" s="275"/>
      <c r="K148">
        <f t="shared" si="39"/>
        <v>1.136808528</v>
      </c>
      <c r="L148" s="1">
        <v>-0.07</v>
      </c>
      <c r="M148" s="1">
        <v>41.2</v>
      </c>
      <c r="N148" s="1">
        <v>5.0</v>
      </c>
      <c r="O148">
        <f t="shared" si="37"/>
        <v>22</v>
      </c>
      <c r="AJ148" s="269"/>
    </row>
    <row r="149">
      <c r="C149">
        <v>0.0154</v>
      </c>
      <c r="D149">
        <v>5.0</v>
      </c>
      <c r="E149" s="275">
        <f t="shared" si="34"/>
        <v>1.069269678</v>
      </c>
      <c r="F149" s="275">
        <f t="shared" si="35"/>
        <v>23</v>
      </c>
      <c r="G149" s="268">
        <f t="shared" si="38"/>
        <v>8</v>
      </c>
      <c r="H149" s="275"/>
      <c r="I149" s="275">
        <f t="shared" si="36"/>
        <v>1.177918985</v>
      </c>
      <c r="J149" s="275"/>
      <c r="K149">
        <f t="shared" si="39"/>
        <v>1.150919765</v>
      </c>
      <c r="L149" s="1">
        <v>-0.08</v>
      </c>
      <c r="M149" s="1">
        <v>83.2</v>
      </c>
      <c r="N149" s="1">
        <v>5.0</v>
      </c>
      <c r="O149">
        <f t="shared" si="37"/>
        <v>27</v>
      </c>
      <c r="AJ149" s="269"/>
    </row>
    <row r="150">
      <c r="C150">
        <v>0.0291</v>
      </c>
      <c r="D150">
        <v>5.0</v>
      </c>
      <c r="E150" s="275">
        <f t="shared" si="34"/>
        <v>1.076748078</v>
      </c>
      <c r="F150" s="275">
        <f t="shared" si="35"/>
        <v>28</v>
      </c>
      <c r="G150" s="268">
        <f t="shared" si="38"/>
        <v>9</v>
      </c>
      <c r="H150" s="275"/>
      <c r="I150" s="275">
        <f t="shared" si="36"/>
        <v>1.170399266</v>
      </c>
      <c r="J150" s="275"/>
      <c r="K150">
        <f t="shared" si="39"/>
        <v>1.13715019</v>
      </c>
      <c r="L150" s="1">
        <v>-0.09</v>
      </c>
      <c r="M150" s="1">
        <v>179.9</v>
      </c>
      <c r="N150" s="1">
        <v>6.0</v>
      </c>
      <c r="O150">
        <f t="shared" si="37"/>
        <v>33</v>
      </c>
      <c r="AJ150" s="269"/>
    </row>
    <row r="151">
      <c r="C151">
        <v>0.0582</v>
      </c>
      <c r="D151">
        <v>6.0</v>
      </c>
      <c r="E151" s="275">
        <f t="shared" si="34"/>
        <v>1.082601652</v>
      </c>
      <c r="F151" s="275">
        <f t="shared" si="35"/>
        <v>34</v>
      </c>
      <c r="G151" s="268">
        <f t="shared" si="38"/>
        <v>10</v>
      </c>
      <c r="H151" s="275"/>
      <c r="I151" s="275">
        <f t="shared" si="36"/>
        <v>1.163010404</v>
      </c>
      <c r="J151" s="275"/>
      <c r="K151">
        <f t="shared" si="39"/>
        <v>1.128800611</v>
      </c>
      <c r="L151" s="1">
        <v>-0.1</v>
      </c>
      <c r="M151" s="1">
        <v>420.1</v>
      </c>
      <c r="N151" s="1">
        <v>7.0</v>
      </c>
      <c r="O151">
        <f t="shared" si="37"/>
        <v>40</v>
      </c>
      <c r="AJ151" s="269"/>
    </row>
    <row r="152">
      <c r="C152">
        <v>0.1237</v>
      </c>
      <c r="D152">
        <v>7.0</v>
      </c>
      <c r="E152" s="275">
        <f t="shared" si="34"/>
        <v>1.086890729</v>
      </c>
      <c r="F152" s="275">
        <f t="shared" si="35"/>
        <v>41</v>
      </c>
      <c r="G152" s="268">
        <f t="shared" si="38"/>
        <v>11</v>
      </c>
      <c r="H152" s="275"/>
      <c r="I152" s="275">
        <f t="shared" si="36"/>
        <v>1.156410331</v>
      </c>
      <c r="J152" s="275"/>
      <c r="K152">
        <f t="shared" si="39"/>
        <v>1.123967564</v>
      </c>
      <c r="L152" s="1">
        <v>-0.11</v>
      </c>
      <c r="M152" s="9">
        <v>1070.0</v>
      </c>
      <c r="N152" s="1">
        <v>8.0</v>
      </c>
      <c r="O152">
        <f t="shared" si="37"/>
        <v>48</v>
      </c>
      <c r="AJ152" s="269"/>
    </row>
    <row r="153">
      <c r="C153">
        <v>0.2797</v>
      </c>
      <c r="D153">
        <v>8.0</v>
      </c>
      <c r="E153" s="275">
        <f t="shared" si="34"/>
        <v>1.089796043</v>
      </c>
      <c r="F153" s="275">
        <f t="shared" si="35"/>
        <v>49</v>
      </c>
      <c r="G153" s="268">
        <f t="shared" si="38"/>
        <v>12</v>
      </c>
      <c r="H153" s="275"/>
      <c r="I153" s="275">
        <f t="shared" si="36"/>
        <v>1.150738132</v>
      </c>
      <c r="J153" s="275"/>
      <c r="K153">
        <f t="shared" si="39"/>
        <v>1.120952974</v>
      </c>
      <c r="L153" s="1">
        <v>-0.12</v>
      </c>
      <c r="M153" s="9">
        <v>2990.0</v>
      </c>
      <c r="N153" s="1">
        <v>9.0</v>
      </c>
      <c r="O153">
        <f t="shared" si="37"/>
        <v>57</v>
      </c>
      <c r="AJ153" s="269"/>
    </row>
    <row r="154">
      <c r="C154">
        <v>0.6728</v>
      </c>
      <c r="D154">
        <v>9.0</v>
      </c>
      <c r="E154" s="275">
        <f t="shared" si="34"/>
        <v>1.091585041</v>
      </c>
      <c r="F154" s="275">
        <f t="shared" si="35"/>
        <v>58</v>
      </c>
      <c r="G154" s="268">
        <f t="shared" si="38"/>
        <v>13</v>
      </c>
      <c r="H154" s="275"/>
      <c r="I154" s="275">
        <f t="shared" si="36"/>
        <v>1.143807675</v>
      </c>
      <c r="J154" s="275"/>
      <c r="K154">
        <f t="shared" si="39"/>
        <v>1.10855824</v>
      </c>
      <c r="L154" s="1">
        <v>-0.13</v>
      </c>
      <c r="M154" s="9">
        <v>9290.0</v>
      </c>
      <c r="N154" s="1">
        <v>11.0</v>
      </c>
      <c r="O154">
        <f t="shared" si="37"/>
        <v>68</v>
      </c>
      <c r="AJ154" s="269"/>
    </row>
    <row r="155">
      <c r="C155">
        <v>1.8343</v>
      </c>
      <c r="D155">
        <v>11.0</v>
      </c>
      <c r="E155" s="275">
        <f t="shared" si="34"/>
        <v>1.09214039</v>
      </c>
      <c r="F155" s="275">
        <f t="shared" si="35"/>
        <v>69</v>
      </c>
      <c r="G155" s="268">
        <f t="shared" si="38"/>
        <v>14</v>
      </c>
      <c r="H155" s="275"/>
      <c r="I155" s="275">
        <f t="shared" si="36"/>
        <v>1.138627479</v>
      </c>
      <c r="J155" s="275"/>
      <c r="K155">
        <f t="shared" si="39"/>
        <v>1.109713073</v>
      </c>
      <c r="L155" s="1">
        <v>-0.14</v>
      </c>
      <c r="M155" s="9">
        <v>32400.0</v>
      </c>
      <c r="N155" s="1">
        <v>12.0</v>
      </c>
      <c r="O155">
        <f t="shared" si="37"/>
        <v>80</v>
      </c>
      <c r="AJ155" s="269"/>
    </row>
    <row r="156">
      <c r="C156" s="8">
        <v>5.33</v>
      </c>
      <c r="D156">
        <v>12.0</v>
      </c>
      <c r="E156" s="275">
        <f t="shared" si="34"/>
        <v>1.092241731</v>
      </c>
      <c r="F156" s="275">
        <f t="shared" si="35"/>
        <v>81</v>
      </c>
      <c r="G156" s="268">
        <f t="shared" si="38"/>
        <v>15</v>
      </c>
      <c r="H156" s="275"/>
      <c r="I156" s="275">
        <f t="shared" si="36"/>
        <v>1.13326606</v>
      </c>
      <c r="J156" s="275"/>
      <c r="K156">
        <f t="shared" si="39"/>
        <v>1.103110107</v>
      </c>
      <c r="L156" s="1">
        <v>-0.15</v>
      </c>
      <c r="M156" s="9">
        <v>128000.0</v>
      </c>
      <c r="N156" s="1">
        <v>14.0</v>
      </c>
      <c r="O156">
        <f t="shared" si="37"/>
        <v>94</v>
      </c>
      <c r="AJ156" s="269"/>
    </row>
    <row r="157">
      <c r="C157" s="8">
        <v>17.6</v>
      </c>
      <c r="D157">
        <v>14.0</v>
      </c>
      <c r="E157" s="275">
        <f t="shared" si="34"/>
        <v>1.091767543</v>
      </c>
      <c r="F157" s="275">
        <f t="shared" si="35"/>
        <v>95</v>
      </c>
      <c r="G157" s="268">
        <f t="shared" si="38"/>
        <v>16</v>
      </c>
      <c r="H157" s="275"/>
      <c r="I157" s="275">
        <f t="shared" si="36"/>
        <v>1.128222284</v>
      </c>
      <c r="J157" s="275"/>
      <c r="K157">
        <f t="shared" si="39"/>
        <v>1.099040185</v>
      </c>
      <c r="L157" s="1">
        <v>-0.16</v>
      </c>
      <c r="M157" s="9">
        <v>580000.0</v>
      </c>
      <c r="N157" s="1">
        <v>16.0</v>
      </c>
      <c r="O157">
        <f t="shared" si="37"/>
        <v>110</v>
      </c>
      <c r="AJ157" s="269"/>
    </row>
    <row r="158">
      <c r="C158" s="8">
        <v>66.1</v>
      </c>
      <c r="D158">
        <v>16.0</v>
      </c>
      <c r="E158" s="275">
        <f t="shared" si="34"/>
        <v>1.090964524</v>
      </c>
      <c r="F158" s="275">
        <f t="shared" si="35"/>
        <v>111</v>
      </c>
      <c r="G158" s="268">
        <f t="shared" si="38"/>
        <v>17</v>
      </c>
      <c r="H158" s="275"/>
      <c r="I158" s="275">
        <f t="shared" si="36"/>
        <v>1.122705308</v>
      </c>
      <c r="J158" s="275"/>
      <c r="K158">
        <f t="shared" si="39"/>
        <v>1.091291011</v>
      </c>
      <c r="L158" s="1">
        <v>-0.17</v>
      </c>
      <c r="M158" s="9">
        <v>3050000.0</v>
      </c>
      <c r="N158" s="1">
        <v>19.0</v>
      </c>
      <c r="O158">
        <f t="shared" si="37"/>
        <v>129</v>
      </c>
      <c r="AJ158" s="269"/>
    </row>
    <row r="159">
      <c r="C159" s="8">
        <v>303.0</v>
      </c>
      <c r="D159">
        <v>19.0</v>
      </c>
      <c r="E159" s="275">
        <f t="shared" si="34"/>
        <v>1.089860128</v>
      </c>
      <c r="F159" s="275">
        <f t="shared" si="35"/>
        <v>130</v>
      </c>
      <c r="G159" s="268">
        <f t="shared" si="38"/>
        <v>18</v>
      </c>
      <c r="H159" s="275"/>
      <c r="I159" s="275">
        <f t="shared" si="36"/>
        <v>1.117308563</v>
      </c>
      <c r="J159" s="275"/>
      <c r="K159">
        <f t="shared" si="39"/>
        <v>1.08618199</v>
      </c>
      <c r="L159" s="1">
        <v>-0.18</v>
      </c>
      <c r="M159" s="9">
        <v>1.88E7</v>
      </c>
      <c r="N159" s="1">
        <v>22.0</v>
      </c>
      <c r="O159">
        <f t="shared" si="37"/>
        <v>151</v>
      </c>
      <c r="AJ159" s="269"/>
    </row>
    <row r="160">
      <c r="C160" s="8">
        <v>1700.0</v>
      </c>
      <c r="D160">
        <v>22.0</v>
      </c>
      <c r="E160" s="275">
        <f t="shared" si="34"/>
        <v>1.088653012</v>
      </c>
      <c r="F160" s="275">
        <f t="shared" si="35"/>
        <v>152</v>
      </c>
      <c r="G160" s="268">
        <f t="shared" si="38"/>
        <v>19</v>
      </c>
      <c r="H160" s="275"/>
      <c r="I160" s="275">
        <f t="shared" si="36"/>
        <v>1.112369876</v>
      </c>
      <c r="J160" s="275"/>
      <c r="K160">
        <f t="shared" si="39"/>
        <v>1.083000893</v>
      </c>
      <c r="L160" s="1">
        <v>-0.19</v>
      </c>
      <c r="M160" s="9">
        <v>1.38E8</v>
      </c>
      <c r="N160" s="1">
        <v>25.0</v>
      </c>
      <c r="O160">
        <f t="shared" si="37"/>
        <v>176</v>
      </c>
      <c r="AJ160" s="269"/>
    </row>
    <row r="161">
      <c r="C161" s="8">
        <v>11700.0</v>
      </c>
      <c r="D161">
        <v>25.0</v>
      </c>
      <c r="E161" s="275">
        <f t="shared" si="34"/>
        <v>1.087456947</v>
      </c>
      <c r="F161" s="275">
        <f t="shared" si="35"/>
        <v>177</v>
      </c>
      <c r="G161" s="268">
        <f t="shared" si="38"/>
        <v>20</v>
      </c>
      <c r="H161" s="275"/>
      <c r="I161" s="275">
        <f t="shared" si="36"/>
        <v>1.107958191</v>
      </c>
      <c r="J161" s="275"/>
      <c r="K161">
        <f t="shared" si="39"/>
        <v>1.080625455</v>
      </c>
      <c r="L161" s="1">
        <v>-0.2</v>
      </c>
      <c r="M161" s="9">
        <v>1.21E9</v>
      </c>
      <c r="N161" s="1">
        <v>28.0</v>
      </c>
      <c r="O161">
        <f t="shared" si="37"/>
        <v>204</v>
      </c>
    </row>
    <row r="162">
      <c r="C162" s="8">
        <v>99600.0</v>
      </c>
      <c r="D162">
        <v>28.0</v>
      </c>
      <c r="E162" s="275">
        <f t="shared" si="34"/>
        <v>1.086364734</v>
      </c>
      <c r="F162" s="275">
        <f t="shared" si="35"/>
        <v>205</v>
      </c>
      <c r="G162" s="268">
        <f t="shared" si="38"/>
        <v>21</v>
      </c>
      <c r="H162" s="275"/>
      <c r="I162" s="275">
        <f t="shared" si="36"/>
        <v>1.103252168</v>
      </c>
      <c r="J162" s="275"/>
      <c r="K162">
        <f t="shared" si="39"/>
        <v>1.074600864</v>
      </c>
      <c r="L162" s="1">
        <v>-0.21</v>
      </c>
      <c r="M162" s="9">
        <v>1.3E10</v>
      </c>
      <c r="N162" s="1">
        <v>33.0</v>
      </c>
      <c r="O162">
        <f t="shared" si="37"/>
        <v>237</v>
      </c>
    </row>
    <row r="163">
      <c r="C163" s="8">
        <v>1210000.0</v>
      </c>
      <c r="D163">
        <v>33.0</v>
      </c>
      <c r="E163" s="275">
        <f t="shared" si="34"/>
        <v>1.085286171</v>
      </c>
      <c r="F163" s="275">
        <f t="shared" si="35"/>
        <v>238</v>
      </c>
      <c r="G163" s="268">
        <f t="shared" si="38"/>
        <v>22</v>
      </c>
      <c r="H163" s="275"/>
      <c r="I163" s="275">
        <f t="shared" si="36"/>
        <v>1.098619211</v>
      </c>
      <c r="J163" s="275"/>
      <c r="K163">
        <f t="shared" si="39"/>
        <v>1.070160049</v>
      </c>
      <c r="L163" s="1">
        <v>-0.22</v>
      </c>
      <c r="M163" s="9">
        <v>1.71E11</v>
      </c>
      <c r="N163" s="1">
        <v>38.0</v>
      </c>
      <c r="O163">
        <f t="shared" si="37"/>
        <v>275</v>
      </c>
    </row>
    <row r="164">
      <c r="C164" s="8">
        <v>2.13E7</v>
      </c>
      <c r="D164">
        <v>38.0</v>
      </c>
      <c r="E164" s="275">
        <f t="shared" si="34"/>
        <v>1.084335099</v>
      </c>
      <c r="F164" s="275">
        <f t="shared" si="35"/>
        <v>276</v>
      </c>
      <c r="G164" s="268">
        <f t="shared" si="38"/>
        <v>23</v>
      </c>
      <c r="H164" s="275"/>
      <c r="I164" s="275">
        <f t="shared" si="36"/>
        <v>1.094301658</v>
      </c>
      <c r="J164" s="275"/>
      <c r="K164">
        <f t="shared" si="39"/>
        <v>1.067087833</v>
      </c>
      <c r="L164" s="1">
        <v>-0.23</v>
      </c>
      <c r="M164" s="9">
        <v>2.79E12</v>
      </c>
      <c r="N164" s="1">
        <v>43.0</v>
      </c>
      <c r="O164">
        <f t="shared" si="37"/>
        <v>318</v>
      </c>
    </row>
    <row r="165">
      <c r="C165" s="8">
        <v>5.47E8</v>
      </c>
      <c r="D165">
        <v>43.0</v>
      </c>
      <c r="E165" s="275">
        <f t="shared" si="34"/>
        <v>1.083533739</v>
      </c>
      <c r="F165" s="275">
        <f t="shared" si="35"/>
        <v>319</v>
      </c>
      <c r="G165" s="268">
        <f t="shared" si="38"/>
        <v>24</v>
      </c>
      <c r="H165" s="275"/>
      <c r="I165" s="275">
        <f t="shared" si="36"/>
        <v>1.089888592</v>
      </c>
      <c r="J165" s="275"/>
      <c r="K165">
        <f t="shared" si="39"/>
        <v>1.062235033</v>
      </c>
      <c r="L165" s="1">
        <v>-0.24</v>
      </c>
      <c r="M165" s="9">
        <v>5.71E13</v>
      </c>
      <c r="N165" s="1">
        <v>50.0</v>
      </c>
      <c r="O165">
        <f t="shared" si="37"/>
        <v>368</v>
      </c>
    </row>
    <row r="166">
      <c r="C166" s="8">
        <v>2.42E10</v>
      </c>
      <c r="D166">
        <v>50.0</v>
      </c>
      <c r="E166" s="275">
        <f t="shared" si="34"/>
        <v>1.08288286</v>
      </c>
      <c r="F166" s="275">
        <f t="shared" si="35"/>
        <v>369</v>
      </c>
      <c r="G166" s="268">
        <f t="shared" si="38"/>
        <v>25</v>
      </c>
      <c r="H166" s="275"/>
      <c r="I166" s="275">
        <f t="shared" si="36"/>
        <v>1.08550186</v>
      </c>
      <c r="J166" s="275"/>
      <c r="K166">
        <f t="shared" si="39"/>
        <v>1.057602376</v>
      </c>
      <c r="L166" s="1">
        <v>-0.25</v>
      </c>
      <c r="M166" s="9">
        <v>1.39E15</v>
      </c>
      <c r="N166" s="1">
        <v>57.0</v>
      </c>
      <c r="O166">
        <f t="shared" si="37"/>
        <v>425</v>
      </c>
    </row>
    <row r="167">
      <c r="E167" s="275"/>
      <c r="F167" s="275"/>
      <c r="G167" s="268"/>
      <c r="H167" s="275"/>
      <c r="I167" s="275"/>
      <c r="J167" s="275"/>
    </row>
    <row r="168">
      <c r="E168" s="275"/>
      <c r="F168" s="275"/>
      <c r="G168" s="268"/>
      <c r="H168" s="275"/>
      <c r="I168" s="275"/>
      <c r="J168" s="275"/>
    </row>
    <row r="169">
      <c r="E169" s="275"/>
      <c r="F169" s="275"/>
      <c r="G169" s="268"/>
      <c r="H169" s="275"/>
      <c r="I169" s="275"/>
      <c r="J169" s="275"/>
    </row>
    <row r="170">
      <c r="E170" s="275"/>
      <c r="F170" s="275"/>
      <c r="G170" s="268"/>
      <c r="H170" s="275"/>
      <c r="I170" s="275"/>
      <c r="J170" s="275"/>
    </row>
    <row r="171">
      <c r="E171" s="275"/>
      <c r="F171" s="275"/>
      <c r="G171" s="268"/>
      <c r="H171" s="275"/>
      <c r="I171" s="275"/>
      <c r="J171" s="275"/>
    </row>
    <row r="172">
      <c r="E172" s="275"/>
      <c r="F172" s="275"/>
      <c r="G172" s="268"/>
      <c r="H172" s="275"/>
      <c r="I172" s="275"/>
      <c r="J172" s="275"/>
    </row>
    <row r="173">
      <c r="E173" s="275"/>
      <c r="F173" s="275"/>
      <c r="G173" s="268"/>
      <c r="H173" s="275"/>
      <c r="I173" s="275"/>
      <c r="J173" s="431"/>
    </row>
    <row r="174">
      <c r="E174" s="275"/>
      <c r="F174" s="275"/>
      <c r="G174" s="268"/>
      <c r="H174" s="275"/>
      <c r="I174" s="275"/>
      <c r="J174" s="275"/>
    </row>
    <row r="175">
      <c r="E175" s="275"/>
      <c r="F175" s="275"/>
      <c r="G175" s="268"/>
      <c r="H175" s="275"/>
      <c r="I175" s="275"/>
      <c r="J175" s="275"/>
    </row>
    <row r="176">
      <c r="E176" s="275"/>
      <c r="F176" s="275"/>
      <c r="G176" s="275"/>
      <c r="H176" s="275"/>
      <c r="I176" s="275"/>
      <c r="J176" s="275"/>
    </row>
    <row r="177">
      <c r="E177" s="275"/>
      <c r="F177" s="275"/>
      <c r="G177" s="275"/>
      <c r="H177" s="275"/>
      <c r="I177" s="275"/>
      <c r="J177" s="275"/>
    </row>
    <row r="178">
      <c r="E178" s="275"/>
      <c r="F178" s="275"/>
      <c r="G178" s="275"/>
      <c r="H178" s="275"/>
      <c r="I178" s="275"/>
      <c r="J178" s="275"/>
    </row>
    <row r="179">
      <c r="E179" s="275"/>
      <c r="F179" s="275"/>
      <c r="G179" s="275"/>
      <c r="H179" s="275"/>
      <c r="I179" s="275"/>
      <c r="J179" s="275"/>
    </row>
    <row r="180">
      <c r="E180" s="275"/>
      <c r="F180" s="275"/>
      <c r="G180" s="275"/>
      <c r="H180" s="275"/>
      <c r="I180" s="275"/>
      <c r="J180" s="275"/>
    </row>
    <row r="181">
      <c r="E181" s="275"/>
      <c r="F181" s="275"/>
      <c r="G181" s="275"/>
      <c r="H181" s="275"/>
      <c r="I181" s="275"/>
      <c r="J181" s="275"/>
    </row>
    <row r="182">
      <c r="E182" s="275"/>
      <c r="F182" s="275"/>
      <c r="G182" s="275"/>
      <c r="H182" s="275"/>
      <c r="I182" s="275"/>
      <c r="J182" s="275"/>
    </row>
    <row r="183">
      <c r="E183" s="275"/>
      <c r="F183" s="275"/>
      <c r="G183" s="275"/>
      <c r="H183" s="275"/>
      <c r="I183" s="275"/>
      <c r="J183" s="275"/>
    </row>
    <row r="184">
      <c r="E184" s="275"/>
      <c r="F184" s="275"/>
      <c r="G184" s="275"/>
      <c r="H184" s="275"/>
      <c r="I184" s="275"/>
      <c r="J184" s="275"/>
    </row>
    <row r="185">
      <c r="E185" s="275"/>
      <c r="F185" s="275"/>
      <c r="G185" s="275"/>
      <c r="H185" s="275"/>
      <c r="I185" s="275"/>
      <c r="J185" s="275"/>
    </row>
  </sheetData>
  <mergeCells count="191">
    <mergeCell ref="M24:N24"/>
    <mergeCell ref="K24:L24"/>
    <mergeCell ref="I25:J25"/>
    <mergeCell ref="I24:J24"/>
    <mergeCell ref="G25:H25"/>
    <mergeCell ref="M23:N23"/>
    <mergeCell ref="G22:H22"/>
    <mergeCell ref="G23:H23"/>
    <mergeCell ref="K22:L22"/>
    <mergeCell ref="M22:N22"/>
    <mergeCell ref="I22:J22"/>
    <mergeCell ref="E22:F22"/>
    <mergeCell ref="G20:H20"/>
    <mergeCell ref="E20:F20"/>
    <mergeCell ref="K14:L14"/>
    <mergeCell ref="K16:L16"/>
    <mergeCell ref="E17:F17"/>
    <mergeCell ref="G17:H17"/>
    <mergeCell ref="I20:J20"/>
    <mergeCell ref="E18:F18"/>
    <mergeCell ref="K18:L18"/>
    <mergeCell ref="C2:D2"/>
    <mergeCell ref="C1:D1"/>
    <mergeCell ref="P4:S4"/>
    <mergeCell ref="P3:S3"/>
    <mergeCell ref="P2:S2"/>
    <mergeCell ref="P1:S1"/>
    <mergeCell ref="P5:S5"/>
    <mergeCell ref="K2:L2"/>
    <mergeCell ref="K3:L3"/>
    <mergeCell ref="K25:L25"/>
    <mergeCell ref="E25:F25"/>
    <mergeCell ref="E24:F24"/>
    <mergeCell ref="O20:P20"/>
    <mergeCell ref="M20:N20"/>
    <mergeCell ref="O25:P25"/>
    <mergeCell ref="O24:P24"/>
    <mergeCell ref="O18:P18"/>
    <mergeCell ref="O17:P17"/>
    <mergeCell ref="M25:N25"/>
    <mergeCell ref="I21:J21"/>
    <mergeCell ref="G21:H21"/>
    <mergeCell ref="E21:F21"/>
    <mergeCell ref="O13:P13"/>
    <mergeCell ref="O11:P11"/>
    <mergeCell ref="O10:P10"/>
    <mergeCell ref="O21:P21"/>
    <mergeCell ref="O22:P22"/>
    <mergeCell ref="O14:P14"/>
    <mergeCell ref="M13:N13"/>
    <mergeCell ref="M14:N14"/>
    <mergeCell ref="M16:N16"/>
    <mergeCell ref="M18:N18"/>
    <mergeCell ref="O9:P9"/>
    <mergeCell ref="K9:N10"/>
    <mergeCell ref="I16:J16"/>
    <mergeCell ref="I13:J13"/>
    <mergeCell ref="O8:P8"/>
    <mergeCell ref="O12:P12"/>
    <mergeCell ref="K12:L12"/>
    <mergeCell ref="M12:N12"/>
    <mergeCell ref="I11:J11"/>
    <mergeCell ref="AD29:AG29"/>
    <mergeCell ref="X29:AC32"/>
    <mergeCell ref="S23:AM23"/>
    <mergeCell ref="S24:AM26"/>
    <mergeCell ref="AD30:AJ33"/>
    <mergeCell ref="AH29:AP29"/>
    <mergeCell ref="AM30:AP30"/>
    <mergeCell ref="R28:AP28"/>
    <mergeCell ref="R29:W29"/>
    <mergeCell ref="G32:H32"/>
    <mergeCell ref="G31:H31"/>
    <mergeCell ref="E35:F35"/>
    <mergeCell ref="E37:F37"/>
    <mergeCell ref="E36:F36"/>
    <mergeCell ref="E31:F31"/>
    <mergeCell ref="E32:F32"/>
    <mergeCell ref="O31:P31"/>
    <mergeCell ref="O32:P32"/>
    <mergeCell ref="O29:P29"/>
    <mergeCell ref="O28:P28"/>
    <mergeCell ref="O30:P30"/>
    <mergeCell ref="O26:P27"/>
    <mergeCell ref="E30:F30"/>
    <mergeCell ref="AM5:AP5"/>
    <mergeCell ref="T4:X4"/>
    <mergeCell ref="K21:L21"/>
    <mergeCell ref="K20:L20"/>
    <mergeCell ref="M21:N21"/>
    <mergeCell ref="K17:L17"/>
    <mergeCell ref="M17:N17"/>
    <mergeCell ref="G16:H16"/>
    <mergeCell ref="O16:P16"/>
    <mergeCell ref="G18:H18"/>
    <mergeCell ref="I18:J18"/>
    <mergeCell ref="I17:J17"/>
    <mergeCell ref="K1:L1"/>
    <mergeCell ref="M2:N2"/>
    <mergeCell ref="M1:N1"/>
    <mergeCell ref="M5:N5"/>
    <mergeCell ref="M6:N7"/>
    <mergeCell ref="M3:N3"/>
    <mergeCell ref="M4:N4"/>
    <mergeCell ref="C6:D6"/>
    <mergeCell ref="C3:D3"/>
    <mergeCell ref="I1:J7"/>
    <mergeCell ref="F1:H7"/>
    <mergeCell ref="C7:D7"/>
    <mergeCell ref="A1:B7"/>
    <mergeCell ref="K4:L4"/>
    <mergeCell ref="K37:L37"/>
    <mergeCell ref="M36:N36"/>
    <mergeCell ref="M37:N37"/>
    <mergeCell ref="G44:H44"/>
    <mergeCell ref="I44:J44"/>
    <mergeCell ref="E39:F39"/>
    <mergeCell ref="E40:F40"/>
    <mergeCell ref="E41:F41"/>
    <mergeCell ref="M41:N41"/>
    <mergeCell ref="G40:H40"/>
    <mergeCell ref="I39:J39"/>
    <mergeCell ref="I40:J40"/>
    <mergeCell ref="K40:L40"/>
    <mergeCell ref="K39:L39"/>
    <mergeCell ref="K28:N29"/>
    <mergeCell ref="E33:F33"/>
    <mergeCell ref="E28:H29"/>
    <mergeCell ref="G33:H33"/>
    <mergeCell ref="M31:N31"/>
    <mergeCell ref="E44:F44"/>
    <mergeCell ref="M40:N40"/>
    <mergeCell ref="M39:N39"/>
    <mergeCell ref="G39:H39"/>
    <mergeCell ref="G37:H37"/>
    <mergeCell ref="G35:H35"/>
    <mergeCell ref="G36:H36"/>
    <mergeCell ref="M32:N32"/>
    <mergeCell ref="K32:L32"/>
    <mergeCell ref="I28:J28"/>
    <mergeCell ref="I29:J29"/>
    <mergeCell ref="I36:J36"/>
    <mergeCell ref="I35:J35"/>
    <mergeCell ref="J173:K173"/>
    <mergeCell ref="K31:L31"/>
    <mergeCell ref="K30:L30"/>
    <mergeCell ref="K35:L35"/>
    <mergeCell ref="K33:L33"/>
    <mergeCell ref="X141:AF141"/>
    <mergeCell ref="O40:P40"/>
    <mergeCell ref="O39:P39"/>
    <mergeCell ref="E13:F13"/>
    <mergeCell ref="E14:F14"/>
    <mergeCell ref="A8:B9"/>
    <mergeCell ref="C8:C9"/>
    <mergeCell ref="D8:D9"/>
    <mergeCell ref="E9:H10"/>
    <mergeCell ref="C4:D4"/>
    <mergeCell ref="C5:D5"/>
    <mergeCell ref="G13:H13"/>
    <mergeCell ref="G14:H14"/>
    <mergeCell ref="E16:F16"/>
    <mergeCell ref="E12:F12"/>
    <mergeCell ref="G12:H12"/>
    <mergeCell ref="G43:H43"/>
    <mergeCell ref="I43:J43"/>
    <mergeCell ref="G41:H41"/>
    <mergeCell ref="O37:P37"/>
    <mergeCell ref="O35:P35"/>
    <mergeCell ref="O36:P36"/>
    <mergeCell ref="K36:L36"/>
    <mergeCell ref="M35:N35"/>
    <mergeCell ref="E43:F43"/>
    <mergeCell ref="AC10:AM10"/>
    <mergeCell ref="S10:U10"/>
    <mergeCell ref="AK17:AL17"/>
    <mergeCell ref="AA17:AB17"/>
    <mergeCell ref="AK11:AM11"/>
    <mergeCell ref="AA12:AB12"/>
    <mergeCell ref="AK12:AL12"/>
    <mergeCell ref="AM6:AP6"/>
    <mergeCell ref="S9:AM9"/>
    <mergeCell ref="K13:L13"/>
    <mergeCell ref="K11:L11"/>
    <mergeCell ref="K5:L5"/>
    <mergeCell ref="K6:L7"/>
    <mergeCell ref="I9:J9"/>
    <mergeCell ref="I8:J8"/>
    <mergeCell ref="I12:J12"/>
    <mergeCell ref="I14:J14"/>
    <mergeCell ref="K8:N8"/>
  </mergeCells>
  <conditionalFormatting sqref="O17 M21 O21">
    <cfRule type="expression" dxfId="5" priority="1">
      <formula> $I$1 = "Ship Damage"</formula>
    </cfRule>
  </conditionalFormatting>
  <conditionalFormatting sqref="O17 M21 O21">
    <cfRule type="expression" dxfId="0" priority="2">
      <formula> $I$1 = "HS Damage"</formula>
    </cfRule>
  </conditionalFormatting>
  <conditionalFormatting sqref="O17 M21 O21">
    <cfRule type="expression" dxfId="6" priority="3">
      <formula> $I$1 = "SC Damage"</formula>
    </cfRule>
  </conditionalFormatting>
  <conditionalFormatting sqref="O17 M21 O21">
    <cfRule type="expression" dxfId="7" priority="4">
      <formula> $I$1 = "Pet Damage"</formula>
    </cfRule>
  </conditionalFormatting>
  <conditionalFormatting sqref="O17 M21 O21">
    <cfRule type="expression" dxfId="8" priority="5">
      <formula> $I$1 = "Tap Damage"</formula>
    </cfRule>
  </conditionalFormatting>
  <conditionalFormatting sqref="O17 M21 O21">
    <cfRule type="expression" dxfId="5" priority="6">
      <formula> $I$1 = "Hero Damage"</formula>
    </cfRule>
  </conditionalFormatting>
  <conditionalFormatting sqref="O18:O19 M19">
    <cfRule type="expression" dxfId="9" priority="7">
      <formula> $M$18 &lt;&gt; "|||"</formula>
    </cfRule>
  </conditionalFormatting>
  <conditionalFormatting sqref="O12:O15">
    <cfRule type="expression" dxfId="9" priority="8">
      <formula> $M$14 &lt;&gt; "|||"</formula>
    </cfRule>
  </conditionalFormatting>
  <conditionalFormatting sqref="O22">
    <cfRule type="expression" dxfId="9" priority="9">
      <formula> $M$22 &lt;&gt; ""</formula>
    </cfRule>
  </conditionalFormatting>
  <conditionalFormatting sqref="E1:E6">
    <cfRule type="expression" dxfId="10" priority="10" operator="containsText">
      <formula>NOT(ISERROR(SEARCH((char(10006)),(E1))))</formula>
    </cfRule>
  </conditionalFormatting>
  <conditionalFormatting sqref="E1:E6">
    <cfRule type="cellIs" dxfId="11" priority="11" operator="equal">
      <formula>Char(10004)</formula>
    </cfRule>
  </conditionalFormatting>
  <conditionalFormatting sqref="I1 A8:D8 G13 M13 E17:K17 M17 E21:K21 E25 I25:K25 O25 G32 M32 E36 G36 I36 K36 M36 O36 E40 G40 I40 K40 M40 O40 E44 G44 I44">
    <cfRule type="expression" dxfId="5" priority="12">
      <formula> $I$1 = "Hero Damage"</formula>
    </cfRule>
  </conditionalFormatting>
  <conditionalFormatting sqref="I1 A8:D8 G13 M13 E17:K17 M17 E21:K21 E25 I25:K25 O25 G32 M32 E36 G36 I36 K36 M36 O36 E40 G40 I40 K40 M40 O40 E44 G44 I44">
    <cfRule type="expression" dxfId="8" priority="13">
      <formula> $I$1 = "Tap Damage"</formula>
    </cfRule>
  </conditionalFormatting>
  <conditionalFormatting sqref="I1 A8:D8 G13 M13 E17:K17 M17 E21:K21 E25 I25:K25 O25 G32 M32 E36 G36 I36 K36 M36 O36 E40 G40 I40 K40 M40 O40 E44 G44 I44">
    <cfRule type="expression" dxfId="7" priority="14">
      <formula> $I$1 = "Pet Damage"</formula>
    </cfRule>
  </conditionalFormatting>
  <conditionalFormatting sqref="I1 A8:D8 G13 M13 E17:K17 M17 E21:K21 E25 I25:K25 O25 G32 M32 E36 G36 I36 K36 M36 O36 E40 G40 I40 K40 M40 O40 E44 G44 I44">
    <cfRule type="expression" dxfId="6" priority="15">
      <formula> $I$1 = "SC Damage"</formula>
    </cfRule>
  </conditionalFormatting>
  <conditionalFormatting sqref="I1 A8:D8 G13 M13 E17:K17 M17 E21:K21 E25 I25:K25 O25 G32 M32 E36 G36 I36 K36 M36 O36 E40 G40 I40 K40 M40 O40 E44 G44 I44">
    <cfRule type="expression" dxfId="0" priority="16">
      <formula> $I$1 = "HS Damage"</formula>
    </cfRule>
  </conditionalFormatting>
  <conditionalFormatting sqref="I1 A8:D8 G13 M13 E17:K17 M17 E21:K21 E25 I25:K25 O25 G32 M32 E36 G36 I36 K36 M36 O36 E40 G40 I40 K40 M40 O40 E44 G44 I44">
    <cfRule type="expression" dxfId="5" priority="17">
      <formula> $I$1 = "Ship Damage"</formula>
    </cfRule>
  </conditionalFormatting>
  <conditionalFormatting sqref="E12:E15 I12 I13 F14:G15 H14:I15">
    <cfRule type="expression" dxfId="9" priority="18">
      <formula>$G$14 &lt;&gt; "|||"</formula>
    </cfRule>
  </conditionalFormatting>
  <conditionalFormatting sqref="E18:I19">
    <cfRule type="expression" dxfId="9" priority="19">
      <formula>$G$18 &lt;&gt; "|||"</formula>
    </cfRule>
  </conditionalFormatting>
  <conditionalFormatting sqref="E22:E23 F22:G22 H22:I22 I23">
    <cfRule type="expression" dxfId="9" priority="20">
      <formula> $G$22 &lt;&gt; ""</formula>
    </cfRule>
  </conditionalFormatting>
  <conditionalFormatting sqref="K12:K15 M14:M15 O12:P15">
    <cfRule type="expression" dxfId="9" priority="21">
      <formula> $M$14 &lt;&gt; "|||"</formula>
    </cfRule>
  </conditionalFormatting>
  <conditionalFormatting sqref="K18:K19 M18">
    <cfRule type="expression" dxfId="9" priority="22">
      <formula> $M$18 &lt;&gt; "|||"</formula>
    </cfRule>
  </conditionalFormatting>
  <conditionalFormatting sqref="K22:K23 M22 O23">
    <cfRule type="expression" dxfId="9" priority="23">
      <formula> $M$22 &lt;&gt; ""</formula>
    </cfRule>
  </conditionalFormatting>
  <conditionalFormatting sqref="E31:E34 I31:I34 G33:G34">
    <cfRule type="expression" dxfId="9" priority="24">
      <formula> $G$33 &lt;&gt; "|||"</formula>
    </cfRule>
  </conditionalFormatting>
  <conditionalFormatting sqref="E37:E38 G37:G38 I37:I38">
    <cfRule type="expression" dxfId="9" priority="25">
      <formula> $G$37 &lt;&gt; "|||"</formula>
    </cfRule>
  </conditionalFormatting>
  <conditionalFormatting sqref="E41:E42 G41:G42 I41:I42">
    <cfRule type="expression" dxfId="9" priority="26">
      <formula> $G$41 &lt;&gt; "|||"</formula>
    </cfRule>
  </conditionalFormatting>
  <conditionalFormatting sqref="K31:K34 O31:O34 M33:M34">
    <cfRule type="expression" dxfId="9" priority="27">
      <formula> $M$33 &lt;&gt; "|||"</formula>
    </cfRule>
  </conditionalFormatting>
  <conditionalFormatting sqref="K37:K38 M37:M38 O37:O38">
    <cfRule type="expression" dxfId="9" priority="28">
      <formula> $M$37 &lt;&gt; "|||"</formula>
    </cfRule>
  </conditionalFormatting>
  <conditionalFormatting sqref="S10:S21 T10:T12 U10:V21 W10:W11 X10:Y21 Z10:Z12 AA10:AC21 AD10:AD12 AE10:AF21 AG10:AG11 AH10:AI21 AJ10:AJ12 AK10:AM21 AG14:AG16 W15:W16 T16:T17 Z16:Z17 AD16:AD17 AJ16:AJ17 AD20:AD21 AG20:AG21 AJ20:AJ21 T21 W21 Z21">
    <cfRule type="containsBlanks" dxfId="12" priority="29">
      <formula>LEN(TRIM(S10))=0</formula>
    </cfRule>
  </conditionalFormatting>
  <conditionalFormatting sqref="R8:R22 S8:S23 T8:AP22">
    <cfRule type="containsBlanks" dxfId="12" priority="30">
      <formula>LEN(TRIM(R8))=0</formula>
    </cfRule>
  </conditionalFormatting>
  <conditionalFormatting sqref="AC70:AF104 AG70:AG107 AH70:AJ104">
    <cfRule type="cellIs" dxfId="8" priority="31" operator="equal">
      <formula>"TRUE"</formula>
    </cfRule>
  </conditionalFormatting>
  <conditionalFormatting sqref="A10:D44">
    <cfRule type="expression" dxfId="13" priority="32">
      <formula>RANK($C10,$C$10:$C$44) &lt;= 1</formula>
    </cfRule>
  </conditionalFormatting>
  <conditionalFormatting sqref="A10:D44">
    <cfRule type="expression" dxfId="14" priority="33">
      <formula>RANK($C10,$C$10:$C$44) &lt;= 5</formula>
    </cfRule>
  </conditionalFormatting>
  <conditionalFormatting sqref="H11 N11 F15 H15 J15 L15 N15 P15 F19 H19 J19 L19 N19 P19 F23 J23 L23 P23 H30 N30 F34 H34 J34 L34 N34 P34 F38 H38 J38 L38 N38 P38 F42 H42 J42">
    <cfRule type="notContainsText" dxfId="15" priority="34" operator="notContains" text="✔">
      <formula>ISERROR(SEARCH(("✔"),(H11)))</formula>
    </cfRule>
  </conditionalFormatting>
  <conditionalFormatting sqref="AM5:AM6 AL6 Q28 P33 Q34:Q35 Q38:Q40">
    <cfRule type="expression" dxfId="16" priority="35">
      <formula>$AM$6="On"</formula>
    </cfRule>
  </conditionalFormatting>
  <conditionalFormatting sqref="G11">
    <cfRule type="expression" dxfId="17" priority="36">
      <formula>H11="✖"</formula>
    </cfRule>
  </conditionalFormatting>
  <conditionalFormatting sqref="E15">
    <cfRule type="expression" dxfId="17" priority="37">
      <formula>F15="✖"</formula>
    </cfRule>
  </conditionalFormatting>
  <conditionalFormatting sqref="G15">
    <cfRule type="expression" dxfId="17" priority="38">
      <formula>H15="✖"</formula>
    </cfRule>
  </conditionalFormatting>
  <conditionalFormatting sqref="I15">
    <cfRule type="expression" dxfId="17" priority="39">
      <formula>J15="✖"</formula>
    </cfRule>
  </conditionalFormatting>
  <conditionalFormatting sqref="K15">
    <cfRule type="expression" dxfId="17" priority="40">
      <formula>L15="✖"</formula>
    </cfRule>
  </conditionalFormatting>
  <conditionalFormatting sqref="M15">
    <cfRule type="expression" dxfId="17" priority="41">
      <formula>N15="✖"</formula>
    </cfRule>
  </conditionalFormatting>
  <conditionalFormatting sqref="O15">
    <cfRule type="expression" dxfId="17" priority="42">
      <formula>P15="✖"</formula>
    </cfRule>
  </conditionalFormatting>
  <conditionalFormatting sqref="M11">
    <cfRule type="expression" dxfId="17" priority="43">
      <formula>N11="✖"</formula>
    </cfRule>
  </conditionalFormatting>
  <conditionalFormatting sqref="E19">
    <cfRule type="expression" dxfId="17" priority="44">
      <formula>F19="✖"</formula>
    </cfRule>
  </conditionalFormatting>
  <conditionalFormatting sqref="G19">
    <cfRule type="expression" dxfId="17" priority="45">
      <formula>H19="✖"</formula>
    </cfRule>
  </conditionalFormatting>
  <conditionalFormatting sqref="I19">
    <cfRule type="expression" dxfId="17" priority="46">
      <formula>J19="✖"</formula>
    </cfRule>
  </conditionalFormatting>
  <conditionalFormatting sqref="K19">
    <cfRule type="expression" dxfId="17" priority="47">
      <formula>L19="✖"</formula>
    </cfRule>
  </conditionalFormatting>
  <conditionalFormatting sqref="M19 O19">
    <cfRule type="expression" dxfId="17" priority="48">
      <formula>N19="✖"</formula>
    </cfRule>
  </conditionalFormatting>
  <conditionalFormatting sqref="E23">
    <cfRule type="expression" dxfId="17" priority="49">
      <formula>F23="✖"</formula>
    </cfRule>
  </conditionalFormatting>
  <conditionalFormatting sqref="I23">
    <cfRule type="expression" dxfId="17" priority="50">
      <formula>J23="✖"</formula>
    </cfRule>
  </conditionalFormatting>
  <conditionalFormatting sqref="K23">
    <cfRule type="expression" dxfId="17" priority="51">
      <formula>L23="✖"</formula>
    </cfRule>
  </conditionalFormatting>
  <conditionalFormatting sqref="O23">
    <cfRule type="expression" dxfId="17" priority="52">
      <formula>P23="✖"</formula>
    </cfRule>
  </conditionalFormatting>
  <conditionalFormatting sqref="G30">
    <cfRule type="expression" dxfId="17" priority="53">
      <formula>H30="✖"</formula>
    </cfRule>
  </conditionalFormatting>
  <conditionalFormatting sqref="M30">
    <cfRule type="expression" dxfId="17" priority="54">
      <formula>N30="✖"</formula>
    </cfRule>
  </conditionalFormatting>
  <conditionalFormatting sqref="E34">
    <cfRule type="expression" dxfId="17" priority="55">
      <formula>F34="✖"</formula>
    </cfRule>
  </conditionalFormatting>
  <conditionalFormatting sqref="G34">
    <cfRule type="expression" dxfId="17" priority="56">
      <formula>H34="✖"</formula>
    </cfRule>
  </conditionalFormatting>
  <conditionalFormatting sqref="I34">
    <cfRule type="expression" dxfId="17" priority="57">
      <formula>J34="✖"</formula>
    </cfRule>
  </conditionalFormatting>
  <conditionalFormatting sqref="K34">
    <cfRule type="expression" dxfId="17" priority="58">
      <formula>L34="✖"</formula>
    </cfRule>
  </conditionalFormatting>
  <conditionalFormatting sqref="M34">
    <cfRule type="expression" dxfId="17" priority="59">
      <formula>N34="✖"</formula>
    </cfRule>
  </conditionalFormatting>
  <conditionalFormatting sqref="O34">
    <cfRule type="expression" dxfId="17" priority="60">
      <formula>P34="✖"</formula>
    </cfRule>
  </conditionalFormatting>
  <conditionalFormatting sqref="E38">
    <cfRule type="expression" dxfId="17" priority="61">
      <formula>F38="✖"</formula>
    </cfRule>
  </conditionalFormatting>
  <conditionalFormatting sqref="G38">
    <cfRule type="expression" dxfId="17" priority="62">
      <formula>H38="✖"</formula>
    </cfRule>
  </conditionalFormatting>
  <conditionalFormatting sqref="I38">
    <cfRule type="expression" dxfId="17" priority="63">
      <formula>J38="✖"</formula>
    </cfRule>
  </conditionalFormatting>
  <conditionalFormatting sqref="K38">
    <cfRule type="expression" dxfId="17" priority="64">
      <formula>L38="✖"</formula>
    </cfRule>
  </conditionalFormatting>
  <conditionalFormatting sqref="M38">
    <cfRule type="expression" dxfId="17" priority="65">
      <formula>N38="✖"</formula>
    </cfRule>
  </conditionalFormatting>
  <conditionalFormatting sqref="O38">
    <cfRule type="expression" dxfId="17" priority="66">
      <formula>P38="✖"</formula>
    </cfRule>
  </conditionalFormatting>
  <conditionalFormatting sqref="E42">
    <cfRule type="expression" dxfId="17" priority="67">
      <formula>F42="✖"</formula>
    </cfRule>
  </conditionalFormatting>
  <conditionalFormatting sqref="G42">
    <cfRule type="expression" dxfId="17" priority="68">
      <formula>H42="✖"</formula>
    </cfRule>
  </conditionalFormatting>
  <conditionalFormatting sqref="I42">
    <cfRule type="expression" dxfId="17" priority="69">
      <formula>J42="✖"</formula>
    </cfRule>
  </conditionalFormatting>
  <conditionalFormatting sqref="AN105:AN139">
    <cfRule type="colorScale" priority="70">
      <colorScale>
        <cfvo type="min"/>
        <cfvo type="max"/>
        <color rgb="FFFFFFFF"/>
        <color rgb="FFEA9999"/>
      </colorScale>
    </cfRule>
  </conditionalFormatting>
  <dataValidations>
    <dataValidation type="list" allowBlank="1" showErrorMessage="1" sqref="E24 I24 K24 O24 E43 G43 I43">
      <formula1>"0,1,2,3,4,5,6,7,8,9,10,11,12,13,14,15"</formula1>
    </dataValidation>
    <dataValidation type="list" allowBlank="1" sqref="M4">
      <formula1>"Obtained,Not Obtained"</formula1>
    </dataValidation>
    <dataValidation type="list" allowBlank="1" showErrorMessage="1" sqref="G12 M12 E16 G16 I16 K16 M16 O16 E20 G20 I20 K20 M20 O20 G31 M31 E35 G35 I35 K35 M35 O35 G39 I39">
      <formula1>"0,1,2,3,4,5,6,7,8,9,10,11,12,13,14,15,16,17,18,19,20,21,22,23,24,25"</formula1>
    </dataValidation>
    <dataValidation type="list" allowBlank="1" showErrorMessage="1" sqref="X29">
      <formula1>MyBuilds!$A$3:$A$965</formula1>
    </dataValidation>
    <dataValidation type="list" allowBlank="1" showErrorMessage="1" sqref="P1:P5 M5:M6 AM6">
      <formula1>"On,Off"</formula1>
    </dataValidation>
    <dataValidation type="list" allowBlank="1" sqref="E7">
      <formula1>"Chesterson,Fairy,All Gold,pHoM,Boss Gold"</formula1>
    </dataValidation>
    <dataValidation type="list" allowBlank="1" showErrorMessage="1" sqref="I1">
      <formula1>"Hero Damage,Tap Damage,Pet Damage,SC Damage,HS Damage,Ship Damage"</formula1>
    </dataValidation>
    <dataValidation type="list" allowBlank="1" showErrorMessage="1" sqref="H11 N11 F15 H15 J15 L15 N15 P15 F19 H19 J19 L19 N19 P19 F23 J23 L23 P23 H30 N30 F34 H34 J34 L34 N34 P34 F38 H38 J38 L38 N38 P38 F42 H42 J42">
      <formula1>"✖,✔"</formula1>
    </dataValidation>
    <dataValidation type="list" allowBlank="1" showErrorMessage="1" sqref="E39 K39 M39 O39">
      <formula1>"0,1,2,3,4,5,6,7,8,9,10"</formula1>
    </dataValidation>
    <dataValidation type="list" allowBlank="1" showErrorMessage="1" sqref="E1:E6">
      <formula1>'2.10.3 SP Bonus Optimizer'!$A$68:$B$68</formula1>
    </dataValidation>
    <dataValidation type="list" allowBlank="1" showDropDown="1" showErrorMessage="1" sqref="AI42:AK42">
      <formula1>"USE MINI TREE,USE ADVANCED SHEETS"</formula1>
    </dataValidation>
  </dataValidations>
  <hyperlinks>
    <hyperlink r:id="rId2" ref="AM21"/>
    <hyperlink r:id="rId3" ref="AA70"/>
    <hyperlink r:id="rId4" ref="AK70"/>
    <hyperlink r:id="rId5" ref="AA71"/>
    <hyperlink r:id="rId6" ref="AK71"/>
    <hyperlink r:id="rId7" ref="AA72"/>
    <hyperlink r:id="rId8" ref="AK72"/>
    <hyperlink r:id="rId9" ref="AA73"/>
    <hyperlink r:id="rId10" ref="AK73"/>
    <hyperlink r:id="rId11" ref="AA74"/>
    <hyperlink r:id="rId12" ref="AK74"/>
    <hyperlink r:id="rId13" ref="AA75"/>
    <hyperlink r:id="rId14" ref="AK75"/>
    <hyperlink r:id="rId15" ref="AA76"/>
    <hyperlink r:id="rId16" ref="AK76"/>
    <hyperlink r:id="rId17" ref="AA77"/>
    <hyperlink r:id="rId18" ref="AK77"/>
    <hyperlink r:id="rId19" ref="AA78"/>
    <hyperlink r:id="rId20" ref="AK78"/>
    <hyperlink r:id="rId21" ref="AA79"/>
    <hyperlink r:id="rId22" ref="AK79"/>
    <hyperlink r:id="rId23" ref="AA80"/>
    <hyperlink r:id="rId24" ref="AK80"/>
    <hyperlink r:id="rId25" ref="AA81"/>
    <hyperlink r:id="rId26" ref="AK81"/>
    <hyperlink r:id="rId27" ref="AA82"/>
    <hyperlink r:id="rId28" ref="AK82"/>
    <hyperlink r:id="rId29" ref="AA83"/>
    <hyperlink r:id="rId30" ref="AK83"/>
    <hyperlink r:id="rId31" ref="AA84"/>
    <hyperlink r:id="rId32" ref="AK84"/>
    <hyperlink r:id="rId33" ref="AA85"/>
    <hyperlink r:id="rId34" ref="AK85"/>
    <hyperlink r:id="rId35" ref="AA86"/>
    <hyperlink r:id="rId36" ref="AK86"/>
    <hyperlink r:id="rId37" ref="AA87"/>
    <hyperlink r:id="rId38" ref="AK87"/>
    <hyperlink r:id="rId39" ref="AA88"/>
    <hyperlink r:id="rId40" ref="AK88"/>
    <hyperlink r:id="rId41" ref="AA89"/>
    <hyperlink r:id="rId42" ref="AK89"/>
    <hyperlink r:id="rId43" ref="AA90"/>
    <hyperlink r:id="rId44" ref="AK90"/>
    <hyperlink r:id="rId45" ref="AA91"/>
    <hyperlink r:id="rId46" ref="AK91"/>
    <hyperlink r:id="rId47" ref="AA92"/>
    <hyperlink r:id="rId48" ref="AK92"/>
    <hyperlink r:id="rId49" ref="AA93"/>
    <hyperlink r:id="rId50" ref="AK93"/>
    <hyperlink r:id="rId51" ref="AA94"/>
    <hyperlink r:id="rId52" ref="AK94"/>
    <hyperlink r:id="rId53" ref="AA95"/>
    <hyperlink r:id="rId54" ref="AK95"/>
    <hyperlink r:id="rId55" ref="AA96"/>
    <hyperlink r:id="rId56" ref="AK96"/>
    <hyperlink r:id="rId57" ref="AA97"/>
    <hyperlink r:id="rId58" ref="AK97"/>
    <hyperlink r:id="rId59" ref="AA98"/>
    <hyperlink r:id="rId60" ref="AK98"/>
    <hyperlink r:id="rId61" ref="AA99"/>
    <hyperlink r:id="rId62" ref="AK99"/>
    <hyperlink r:id="rId63" ref="AA100"/>
    <hyperlink r:id="rId64" ref="AK100"/>
    <hyperlink r:id="rId65" ref="AA101"/>
    <hyperlink r:id="rId66" ref="AK101"/>
    <hyperlink r:id="rId67" ref="AA102"/>
    <hyperlink r:id="rId68" ref="AK102"/>
    <hyperlink r:id="rId69" ref="AA103"/>
    <hyperlink r:id="rId70" ref="AK103"/>
    <hyperlink r:id="rId71" ref="AA104"/>
    <hyperlink r:id="rId72" ref="AK104"/>
  </hyperlinks>
  <drawing r:id="rId73"/>
  <legacyDrawing r:id="rId74"/>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00FFFF"/>
    <outlinePr summaryBelow="0" summaryRight="0"/>
  </sheetPr>
  <sheetViews>
    <sheetView workbookViewId="0"/>
  </sheetViews>
  <sheetFormatPr customHeight="1" defaultColWidth="14.43" defaultRowHeight="15.0"/>
  <cols>
    <col customWidth="1" min="1" max="1" width="5.71"/>
    <col customWidth="1" min="2" max="2" width="14.43"/>
    <col customWidth="1" min="3" max="3" width="3.0"/>
    <col customWidth="1" min="4" max="4" width="24.14"/>
    <col customWidth="1" min="5" max="5" width="2.43"/>
    <col customWidth="1" min="6" max="6" width="5.86"/>
    <col customWidth="1" min="7" max="8" width="5.71"/>
    <col customWidth="1" min="9" max="9" width="2.86"/>
    <col customWidth="1" min="10" max="10" width="23.43"/>
    <col customWidth="1" min="11" max="11" width="2.43"/>
    <col customWidth="1" min="12" max="12" width="5.86"/>
    <col customWidth="1" min="13" max="13" width="5.14"/>
    <col customWidth="1" min="14" max="21" width="5.71"/>
    <col customWidth="1" min="23" max="23" width="3.71"/>
    <col customWidth="1" min="34" max="34" width="3.14"/>
  </cols>
  <sheetData>
    <row r="1" ht="27.75" customHeight="1">
      <c r="A1" s="2"/>
      <c r="B1" s="2"/>
      <c r="C1" s="2"/>
      <c r="D1" s="2"/>
      <c r="E1" s="2"/>
      <c r="F1" s="2"/>
      <c r="G1" s="3"/>
      <c r="H1" s="2"/>
      <c r="I1" s="2"/>
      <c r="J1" s="2"/>
      <c r="K1" s="2"/>
      <c r="L1" s="2"/>
      <c r="M1" s="2"/>
      <c r="N1" s="3"/>
      <c r="O1" s="3"/>
      <c r="V1" s="4"/>
      <c r="W1" s="5"/>
      <c r="Y1" s="6"/>
      <c r="AC1" s="7"/>
      <c r="AF1" s="8"/>
      <c r="AJ1" s="5"/>
      <c r="AK1" s="5"/>
      <c r="AL1" s="5"/>
      <c r="AM1" s="5"/>
      <c r="AN1" s="5"/>
      <c r="AO1" s="5"/>
      <c r="AP1" s="1"/>
      <c r="AQ1" s="1" t="s">
        <v>125</v>
      </c>
    </row>
    <row r="2" ht="27.75" customHeight="1">
      <c r="A2" s="15" t="s">
        <v>150</v>
      </c>
      <c r="B2" s="17"/>
      <c r="C2" s="17"/>
      <c r="D2" s="17"/>
      <c r="E2" s="17"/>
      <c r="F2" s="17"/>
      <c r="G2" s="17"/>
      <c r="H2" s="17"/>
      <c r="I2" s="17"/>
      <c r="J2" s="17"/>
      <c r="K2" s="17"/>
      <c r="L2" s="17"/>
      <c r="M2" s="19"/>
      <c r="N2" s="21" t="s">
        <v>170</v>
      </c>
      <c r="V2" s="4"/>
      <c r="W2" s="5"/>
      <c r="Y2" s="6"/>
      <c r="AC2" s="7"/>
      <c r="AF2" s="8"/>
      <c r="AH2" t="str">
        <f>fixed(AI2,1)</f>
        <v>765.1</v>
      </c>
      <c r="AI2">
        <f t="array" ref="AI2">SUM(LOG(AI4:AI50))</f>
        <v>765.053771</v>
      </c>
      <c r="AJ2" s="5"/>
      <c r="AK2" s="5"/>
      <c r="AL2" s="5"/>
      <c r="AM2" s="5"/>
      <c r="AN2" s="5"/>
      <c r="AO2" s="5"/>
      <c r="AP2" s="28"/>
      <c r="AQ2" s="28">
        <v>0.1</v>
      </c>
    </row>
    <row r="3" ht="21.0" customHeight="1">
      <c r="A3" s="29" t="s">
        <v>194</v>
      </c>
      <c r="B3" s="31"/>
      <c r="C3" s="33"/>
      <c r="D3" s="35" t="s">
        <v>210</v>
      </c>
      <c r="E3" s="37" t="s">
        <v>5</v>
      </c>
      <c r="F3" s="39" t="s">
        <v>223</v>
      </c>
      <c r="G3" s="41" t="s">
        <v>228</v>
      </c>
      <c r="H3" s="43"/>
      <c r="I3" s="43"/>
      <c r="J3" s="43"/>
      <c r="K3" s="43"/>
      <c r="L3" s="45" t="s">
        <v>238</v>
      </c>
      <c r="M3" s="47"/>
      <c r="P3" t="s">
        <v>249</v>
      </c>
      <c r="Q3" t="s">
        <v>250</v>
      </c>
      <c r="R3" t="s">
        <v>251</v>
      </c>
      <c r="S3" t="s">
        <v>252</v>
      </c>
      <c r="T3" t="s">
        <v>253</v>
      </c>
      <c r="U3" t="s">
        <v>254</v>
      </c>
      <c r="V3" s="4" t="s">
        <v>255</v>
      </c>
      <c r="W3" s="5" t="s">
        <v>256</v>
      </c>
      <c r="X3" t="s">
        <v>257</v>
      </c>
      <c r="Y3" s="6" t="s">
        <v>258</v>
      </c>
      <c r="Z3" s="1" t="s">
        <v>259</v>
      </c>
      <c r="AA3" t="s">
        <v>261</v>
      </c>
      <c r="AB3" t="s">
        <v>262</v>
      </c>
      <c r="AC3" s="7" t="s">
        <v>263</v>
      </c>
      <c r="AD3" t="s">
        <v>264</v>
      </c>
      <c r="AE3" s="1" t="s">
        <v>265</v>
      </c>
      <c r="AF3" s="8" t="s">
        <v>266</v>
      </c>
      <c r="AG3" t="s">
        <v>267</v>
      </c>
      <c r="AH3" s="1"/>
      <c r="AI3" s="1" t="s">
        <v>270</v>
      </c>
      <c r="AJ3" s="5"/>
      <c r="AK3" s="5"/>
      <c r="AL3" s="5"/>
      <c r="AM3" s="5"/>
      <c r="AN3" s="5"/>
      <c r="AO3" s="5"/>
      <c r="AP3" s="1"/>
      <c r="AQ3" s="1" t="s">
        <v>271</v>
      </c>
      <c r="AR3" s="1" t="s">
        <v>272</v>
      </c>
      <c r="AU3" s="1" t="str">
        <f>"Hi! Parrot6 here to annoy you! " &amp; CONCATENATE(AU4:AU10)</f>
        <v>Hi! Parrot6 here to annoy you! DS or CRH not ignored? Your BoS is pretty healthy!</v>
      </c>
    </row>
    <row r="4">
      <c r="A4" s="51" t="str">
        <f t="shared" ref="A4:A54" si="1">"#"&amp;AG4</f>
        <v>#41</v>
      </c>
      <c r="B4" s="52">
        <v>1.63</v>
      </c>
      <c r="C4" s="54" t="str">
        <f t="shared" ref="C4:C54" si="2">W4</f>
        <v/>
      </c>
      <c r="D4" s="56" t="str">
        <f t="shared" ref="D4:D54" si="3">AQ4</f>
        <v>Book of Shadows (57.1%)</v>
      </c>
      <c r="E4" s="43" t="str">
        <f t="shared" ref="E4:E54" si="4">INDEX($BA$5:$BE$90,COUNTIF($D$4:D4,"&lt;&gt;"""),MATCH($AY$4,$BA$4:$BE$4,0))</f>
        <v>S</v>
      </c>
      <c r="F4" s="59" t="s">
        <v>301</v>
      </c>
      <c r="G4" s="61" t="s">
        <v>306</v>
      </c>
      <c r="H4" s="3"/>
      <c r="I4" s="3"/>
      <c r="J4" s="3"/>
      <c r="K4" s="3"/>
      <c r="L4" s="3" t="str">
        <f>IF(L3&lt;&gt;"TIPS ON",image("https://freepngimg.com/thumb/parrot/36700-1-cute-parrot-clipart-thumb.png") ,"")</f>
        <v/>
      </c>
      <c r="M4" s="47"/>
      <c r="N4" s="3"/>
      <c r="O4" s="3"/>
      <c r="P4">
        <f>'EDITING Artifact Optimizer'!Q90</f>
        <v>0</v>
      </c>
      <c r="Q4">
        <f t="shared" ref="Q4:Q54" si="5">MAX(B4*(10^(INDEX($AT$4:$AT$9,Match($A$3,$AS$4:$AS$9,0),1))),0.01)</f>
        <v>1.63E+15</v>
      </c>
      <c r="R4" t="b">
        <f t="shared" ref="R4:R88" si="6">if(Q4&lt;1,false,TRUE)</f>
        <v>1</v>
      </c>
      <c r="S4" t="b">
        <f t="shared" ref="S4:S14" si="7">IF(F4="☑",true,false)</f>
        <v>1</v>
      </c>
      <c r="U4" t="b">
        <f t="shared" ref="U4:U88" si="8">and(R4:T4)</f>
        <v>1</v>
      </c>
      <c r="V4" s="4" t="s">
        <v>332</v>
      </c>
      <c r="W4" s="68" t="str">
        <f>image("https://vignette.wikia.nocookie.net/tap-titans-2/images/1/18/Book_of_Shadows.png/revision/latest?cb=20171024224110")</f>
        <v/>
      </c>
      <c r="X4" s="70">
        <f t="shared" ref="X4:X88" si="9">INDEX($AK$5:$AO$40,MATCH($V4,$AJ$5:$AJ$40,0),MATCH($J$5,$AK$4:$AO$4,0))</f>
        <v>1</v>
      </c>
      <c r="Y4" s="6">
        <f>1+'EDITING Artifact Optimizer'!S90*Q4 ^ (1 + ('EDITING Artifact Optimizer'!Y90-1)*min('EDITING Artifact Optimizer'!U90*Q4,'EDITING Artifact Optimizer'!T90))^'EDITING Artifact Optimizer'!V90</f>
        <v>1.67354E+15</v>
      </c>
      <c r="Z4">
        <f t="shared" ref="Z4:Z53" si="10">(Y4*AC4)^X4</f>
        <v>1.67355E+15</v>
      </c>
      <c r="AA4">
        <f t="array" ref="AA4:AA88">'EDITING Artifact Optimizer'!X90:X174*Q4:Q88^'EDITING Artifact Optimizer'!Y90:Y174</f>
        <v>7.50874E+37</v>
      </c>
      <c r="AB4">
        <f>Q4*'EDITING Artifact Optimizer'!W90</f>
        <v>489000000000000</v>
      </c>
      <c r="AC4" s="7">
        <f>('EDITING Artifact Optimizer'!W90*Q4*$Y$16+$AB$89)/$AB$89</f>
        <v>1.000010237</v>
      </c>
      <c r="AD4">
        <f>('EDITING Artifact Optimizer'!X90/(1+'EDITING Artifact Optimizer'!Y90))*Q4^(1+'EDITING Artifact Optimizer'!Y90)</f>
        <v>3.49693E+52</v>
      </c>
      <c r="AE4" s="93">
        <f t="shared" ref="AE4:AE88" si="11">AD4/(SUM($AD$4:$AD$88)+$AX$5)</f>
        <v>0.5706410626</v>
      </c>
      <c r="AF4" s="8">
        <f t="shared" ref="AF4:AF88" si="12">if(U4=TRUE,log(AC4*Y4^X4)/AD4,0)</f>
        <v>0</v>
      </c>
      <c r="AG4">
        <f t="shared" ref="AG4:AG54" si="13">RANK(AF4,$AF$4:$AF$54,0)+COUNTIF($AF4:AF$54,AF4)-1</f>
        <v>41</v>
      </c>
      <c r="AH4" s="1" t="str">
        <f t="shared" ref="AH4:AH13" si="14">W4</f>
        <v/>
      </c>
      <c r="AI4" s="1">
        <f t="shared" ref="AI4:AI50" si="15">IF(AG4&lt;=32,Z4,1)</f>
        <v>1</v>
      </c>
      <c r="AJ4" s="5" t="s">
        <v>368</v>
      </c>
      <c r="AK4" s="5" t="s">
        <v>369</v>
      </c>
      <c r="AL4" s="5" t="s">
        <v>370</v>
      </c>
      <c r="AM4" s="5" t="s">
        <v>371</v>
      </c>
      <c r="AN4" s="5" t="s">
        <v>372</v>
      </c>
      <c r="AO4" s="5" t="s">
        <v>373</v>
      </c>
      <c r="AP4" s="1" t="b">
        <v>1</v>
      </c>
      <c r="AQ4" t="str">
        <f t="shared" ref="AQ4:AQ54" si="16">IF(AP4,AR4&amp;" (" &amp; FIXED(AE4*100,1) &amp; "%)",AR4)</f>
        <v>Book of Shadows (57.1%)</v>
      </c>
      <c r="AR4" s="1" t="s">
        <v>374</v>
      </c>
      <c r="AS4" s="5" t="s">
        <v>375</v>
      </c>
      <c r="AT4" s="5">
        <v>0.0</v>
      </c>
      <c r="AU4" s="1" t="str">
        <f>IF($AE$4 &lt; 0.1, "BoS too low! ","")</f>
        <v/>
      </c>
      <c r="AV4" t="s">
        <v>377</v>
      </c>
      <c r="AW4" t="s">
        <v>378</v>
      </c>
      <c r="AX4">
        <f>countIF(Q4:Q88,"&gt;.99")</f>
        <v>85</v>
      </c>
      <c r="AY4" t="str">
        <f t="shared" ref="AY4:AY5" si="17">J5</f>
        <v>SC</v>
      </c>
      <c r="AZ4" s="5" t="s">
        <v>379</v>
      </c>
      <c r="BA4" s="5" t="s">
        <v>369</v>
      </c>
      <c r="BB4" s="5" t="s">
        <v>370</v>
      </c>
      <c r="BC4" s="5" t="s">
        <v>371</v>
      </c>
      <c r="BD4" s="5" t="s">
        <v>372</v>
      </c>
      <c r="BE4" s="5" t="s">
        <v>373</v>
      </c>
      <c r="BF4" s="5"/>
    </row>
    <row r="5">
      <c r="A5" s="51" t="str">
        <f t="shared" si="1"/>
        <v>#5</v>
      </c>
      <c r="B5" s="102">
        <v>3000.0</v>
      </c>
      <c r="C5" s="54" t="str">
        <f t="shared" si="2"/>
        <v/>
      </c>
      <c r="D5" s="104" t="str">
        <f t="shared" si="3"/>
        <v>Stone of the Valrunes</v>
      </c>
      <c r="E5" s="43" t="str">
        <f t="shared" si="4"/>
        <v>S</v>
      </c>
      <c r="F5" s="106" t="s">
        <v>301</v>
      </c>
      <c r="G5" s="108" t="s">
        <v>381</v>
      </c>
      <c r="J5" s="111" t="s">
        <v>371</v>
      </c>
      <c r="K5" s="112"/>
      <c r="M5" s="47"/>
      <c r="N5" s="3"/>
      <c r="O5" s="3"/>
      <c r="P5">
        <f>'EDITING Artifact Optimizer'!Q91</f>
        <v>0</v>
      </c>
      <c r="Q5">
        <f t="shared" si="5"/>
        <v>3E+18</v>
      </c>
      <c r="R5" t="b">
        <f t="shared" si="6"/>
        <v>1</v>
      </c>
      <c r="S5" t="b">
        <f t="shared" si="7"/>
        <v>1</v>
      </c>
      <c r="T5" t="b">
        <f>IF(J7="offline",false,true)</f>
        <v>1</v>
      </c>
      <c r="U5" t="b">
        <f t="shared" si="8"/>
        <v>1</v>
      </c>
      <c r="V5" s="116" t="s">
        <v>383</v>
      </c>
      <c r="W5" s="118" t="str">
        <f>image("https://vignette.wikia.nocookie.net/tap-titans-2/images/0/06/Stone_of_the_Valrunes.png/revision/latest?cb=20171024225037")</f>
        <v/>
      </c>
      <c r="X5" s="70">
        <f t="shared" si="9"/>
        <v>3.2</v>
      </c>
      <c r="Y5" s="6">
        <f>1+'EDITING Artifact Optimizer'!S91*Q5 ^ (1 + ('EDITING Artifact Optimizer'!Y91-1)*min('EDITING Artifact Optimizer'!U91*Q5,'EDITING Artifact Optimizer'!T91))^'EDITING Artifact Optimizer'!V91</f>
        <v>9.32612E+18</v>
      </c>
      <c r="Z5">
        <f t="shared" si="10"/>
        <v>5.2528E+60</v>
      </c>
      <c r="AA5" s="120">
        <v>1.088853643976942E33</v>
      </c>
      <c r="AB5">
        <f>Q5*'EDITING Artifact Optimizer'!W91</f>
        <v>6E+17</v>
      </c>
      <c r="AC5" s="7">
        <f>('EDITING Artifact Optimizer'!W91*Q5*$Y$16+$AB$89)/$AB$89</f>
        <v>1.012560446</v>
      </c>
      <c r="AD5">
        <f>('EDITING Artifact Optimizer'!X91/(1+'EDITING Artifact Optimizer'!Y91))*Q5^(1+'EDITING Artifact Optimizer'!Y91)</f>
        <v>1.16663E+51</v>
      </c>
      <c r="AE5" s="93">
        <f t="shared" si="11"/>
        <v>0.01903746601</v>
      </c>
      <c r="AF5" s="8">
        <f t="shared" si="12"/>
        <v>0</v>
      </c>
      <c r="AG5">
        <f t="shared" si="13"/>
        <v>5</v>
      </c>
      <c r="AH5" s="1" t="str">
        <f t="shared" si="14"/>
        <v/>
      </c>
      <c r="AI5" s="1">
        <f t="shared" si="15"/>
        <v>5.2528E+60</v>
      </c>
      <c r="AJ5" s="127" t="s">
        <v>385</v>
      </c>
      <c r="AK5" s="128">
        <v>1.0</v>
      </c>
      <c r="AL5" s="128">
        <v>1.0</v>
      </c>
      <c r="AM5" s="128">
        <v>0.6</v>
      </c>
      <c r="AN5" s="128">
        <v>1.0</v>
      </c>
      <c r="AO5" s="128">
        <v>0.0</v>
      </c>
      <c r="AP5" s="1" t="b">
        <f t="shared" ref="AP5:AP54" si="18">IF(OR(AND($J$62="&gt;10%lifetime",AE5&gt;0.1),$J$62="All Non Max"),TRUE,FALSE)</f>
        <v>0</v>
      </c>
      <c r="AQ5" t="str">
        <f t="shared" si="16"/>
        <v>Stone of the Valrunes</v>
      </c>
      <c r="AR5" t="s">
        <v>386</v>
      </c>
      <c r="AS5" s="5" t="s">
        <v>387</v>
      </c>
      <c r="AT5" s="5">
        <v>6.0</v>
      </c>
      <c r="AU5" s="1" t="str">
        <f>IF(OR($AE$4 &lt; 0.01,$AE$4 &gt;0.99), "Something is wrong with BoS%! ","")</f>
        <v/>
      </c>
      <c r="AV5" s="131">
        <v>1.0</v>
      </c>
      <c r="AW5" s="133" t="s">
        <v>388</v>
      </c>
      <c r="AX5" s="131">
        <f>SUM(offset(AV5,0,0,AX4,1))</f>
        <v>4.311E+34</v>
      </c>
      <c r="AY5" t="str">
        <f t="shared" si="17"/>
        <v>FairyGold</v>
      </c>
      <c r="AZ5" t="str">
        <f t="shared" ref="AZ5:AZ16" si="19">W4</f>
        <v/>
      </c>
      <c r="BA5" t="s">
        <v>389</v>
      </c>
      <c r="BB5" t="s">
        <v>389</v>
      </c>
      <c r="BC5" t="s">
        <v>389</v>
      </c>
      <c r="BD5" t="s">
        <v>389</v>
      </c>
      <c r="BE5" t="s">
        <v>389</v>
      </c>
      <c r="BF5" t="str">
        <f t="shared" ref="BF5:BF55" si="20">AR4</f>
        <v>Book of Shadows</v>
      </c>
    </row>
    <row r="6">
      <c r="A6" s="51" t="str">
        <f t="shared" si="1"/>
        <v>#10</v>
      </c>
      <c r="B6" s="102">
        <v>1600.0</v>
      </c>
      <c r="C6" s="54" t="str">
        <f t="shared" si="2"/>
        <v/>
      </c>
      <c r="D6" s="104" t="str">
        <f t="shared" si="3"/>
        <v>Chest of Contentment</v>
      </c>
      <c r="E6" s="43" t="str">
        <f t="shared" si="4"/>
        <v>A</v>
      </c>
      <c r="F6" s="137" t="s">
        <v>301</v>
      </c>
      <c r="G6" s="108" t="s">
        <v>390</v>
      </c>
      <c r="J6" s="139" t="s">
        <v>243</v>
      </c>
      <c r="K6" s="141"/>
      <c r="M6" s="47"/>
      <c r="N6" s="3"/>
      <c r="O6" s="3"/>
      <c r="P6">
        <f>'EDITING Artifact Optimizer'!Q92</f>
        <v>0</v>
      </c>
      <c r="Q6">
        <f t="shared" si="5"/>
        <v>1.6E+18</v>
      </c>
      <c r="R6" t="b">
        <f t="shared" si="6"/>
        <v>1</v>
      </c>
      <c r="S6" t="b">
        <f t="shared" si="7"/>
        <v>1</v>
      </c>
      <c r="T6" t="b">
        <f>IF(OR(J6="BossGold",J6="PHoM"),False,true)</f>
        <v>1</v>
      </c>
      <c r="U6" t="b">
        <f t="shared" si="8"/>
        <v>1</v>
      </c>
      <c r="V6" s="116" t="s">
        <v>392</v>
      </c>
      <c r="W6" s="118" t="str">
        <f>image("https://vignette.wikia.nocookie.net/tap-titans-2/images/c/c5/Chest_of_Contentment.png/revision/latest?cb=20171024225305")</f>
        <v/>
      </c>
      <c r="X6" s="70">
        <f t="shared" si="9"/>
        <v>0.79</v>
      </c>
      <c r="Y6" s="6">
        <f>1+'EDITING Artifact Optimizer'!S92*Q6 ^ (1 + ('EDITING Artifact Optimizer'!Y92-1)*min('EDITING Artifact Optimizer'!U92*Q6,'EDITING Artifact Optimizer'!T92))^'EDITING Artifact Optimizer'!V92</f>
        <v>2.05533E+20</v>
      </c>
      <c r="Z6">
        <f t="shared" si="10"/>
        <v>1.12653E+16</v>
      </c>
      <c r="AA6">
        <v>5.8535046646697884E32</v>
      </c>
      <c r="AB6">
        <f>Q6*'EDITING Artifact Optimizer'!W92</f>
        <v>6.4E+17</v>
      </c>
      <c r="AC6" s="7">
        <f>('EDITING Artifact Optimizer'!W92*Q6*$Y$16+$AB$89)/$AB$89</f>
        <v>1.013397809</v>
      </c>
      <c r="AD6">
        <f>('EDITING Artifact Optimizer'!X92/(1+'EDITING Artifact Optimizer'!Y92))*Q6^(1+'EDITING Artifact Optimizer'!Y92)</f>
        <v>3.34486E+50</v>
      </c>
      <c r="AE6" s="93">
        <f t="shared" si="11"/>
        <v>0.005458261378</v>
      </c>
      <c r="AF6" s="8">
        <f t="shared" si="12"/>
        <v>0</v>
      </c>
      <c r="AG6">
        <f t="shared" si="13"/>
        <v>10</v>
      </c>
      <c r="AH6" s="1" t="str">
        <f t="shared" si="14"/>
        <v/>
      </c>
      <c r="AI6" s="1">
        <f t="shared" si="15"/>
        <v>1.12653E+16</v>
      </c>
      <c r="AJ6" s="149" t="s">
        <v>395</v>
      </c>
      <c r="AK6" s="151">
        <v>0.0</v>
      </c>
      <c r="AL6" s="128">
        <f>1/2</f>
        <v>0.5</v>
      </c>
      <c r="AM6" s="128">
        <v>0.6</v>
      </c>
      <c r="AN6" s="128">
        <f>1/2</f>
        <v>0.5</v>
      </c>
      <c r="AO6" s="128">
        <v>1.0</v>
      </c>
      <c r="AP6" s="1" t="b">
        <f t="shared" si="18"/>
        <v>0</v>
      </c>
      <c r="AQ6" t="str">
        <f t="shared" si="16"/>
        <v>Chest of Contentment</v>
      </c>
      <c r="AR6" t="s">
        <v>396</v>
      </c>
      <c r="AS6" s="5" t="s">
        <v>397</v>
      </c>
      <c r="AT6" s="5">
        <v>9.0</v>
      </c>
      <c r="AU6" s="1" t="str">
        <f>IF(AND($AE$4 &gt; 0.65,AE4&lt;0.99), "Very healthy BoS! ","")</f>
        <v/>
      </c>
      <c r="AV6" s="131">
        <v>3.0</v>
      </c>
      <c r="AY6" t="str">
        <f>J9</f>
        <v>Ground</v>
      </c>
      <c r="AZ6" t="str">
        <f t="shared" si="19"/>
        <v/>
      </c>
      <c r="BA6" t="s">
        <v>389</v>
      </c>
      <c r="BB6" t="s">
        <v>389</v>
      </c>
      <c r="BC6" t="s">
        <v>389</v>
      </c>
      <c r="BD6" t="s">
        <v>389</v>
      </c>
      <c r="BE6" t="s">
        <v>389</v>
      </c>
      <c r="BF6" t="str">
        <f t="shared" si="20"/>
        <v>Stone of the Valrunes</v>
      </c>
    </row>
    <row r="7">
      <c r="A7" s="51" t="str">
        <f t="shared" si="1"/>
        <v>#51</v>
      </c>
      <c r="B7" s="102">
        <v>40.0</v>
      </c>
      <c r="C7" s="54" t="str">
        <f t="shared" si="2"/>
        <v/>
      </c>
      <c r="D7" s="104" t="str">
        <f t="shared" si="3"/>
        <v>Heroic Shield</v>
      </c>
      <c r="E7" s="43" t="str">
        <f t="shared" si="4"/>
        <v>A</v>
      </c>
      <c r="F7" s="106" t="s">
        <v>301</v>
      </c>
      <c r="G7" s="156" t="s">
        <v>398</v>
      </c>
      <c r="J7" s="158" t="s">
        <v>311</v>
      </c>
      <c r="K7" s="141"/>
      <c r="L7" s="3"/>
      <c r="M7" s="159"/>
      <c r="N7" s="3"/>
      <c r="O7" s="3"/>
      <c r="P7">
        <f>'EDITING Artifact Optimizer'!Q93</f>
        <v>0</v>
      </c>
      <c r="Q7">
        <f t="shared" si="5"/>
        <v>4E+16</v>
      </c>
      <c r="R7" t="b">
        <f t="shared" si="6"/>
        <v>1</v>
      </c>
      <c r="S7" t="b">
        <f t="shared" si="7"/>
        <v>1</v>
      </c>
      <c r="T7" t="b">
        <f>IF(OR(J6="PHoM",J6="BossGold"),true,false)</f>
        <v>0</v>
      </c>
      <c r="U7" t="b">
        <f t="shared" si="8"/>
        <v>0</v>
      </c>
      <c r="V7" s="116" t="s">
        <v>392</v>
      </c>
      <c r="W7" s="118" t="str">
        <f>image("https://vignette.wikia.nocookie.net/tap-titans-2/images/e/ee/Heroic_Shield.png/revision/latest?cb=20170927231600")</f>
        <v/>
      </c>
      <c r="X7" s="70">
        <f t="shared" si="9"/>
        <v>0.79</v>
      </c>
      <c r="Y7" s="6">
        <f>1+'EDITING Artifact Optimizer'!S93*Q7 ^ (1 + ('EDITING Artifact Optimizer'!Y93-1)*min('EDITING Artifact Optimizer'!U93*Q7,'EDITING Artifact Optimizer'!T93))^'EDITING Artifact Optimizer'!V93</f>
        <v>2.37326E+18</v>
      </c>
      <c r="Z7">
        <f t="shared" si="10"/>
        <v>328577057675961</v>
      </c>
      <c r="AA7">
        <v>5.355573998824215E29</v>
      </c>
      <c r="AB7">
        <f>Q7*'EDITING Artifact Optimizer'!W93</f>
        <v>1.6E+16</v>
      </c>
      <c r="AC7" s="7">
        <f>('EDITING Artifact Optimizer'!W93*Q7*$Y$16+$AB$89)/$AB$89</f>
        <v>1.000334945</v>
      </c>
      <c r="AD7">
        <f>('EDITING Artifact Optimizer'!X93/(1+'EDITING Artifact Optimizer'!Y93))*Q7^(1+'EDITING Artifact Optimizer'!Y93)</f>
        <v>7.65082E+45</v>
      </c>
      <c r="AE7" s="93">
        <f t="shared" si="11"/>
        <v>0.0000001248488059</v>
      </c>
      <c r="AF7" s="8">
        <f t="shared" si="12"/>
        <v>0</v>
      </c>
      <c r="AG7">
        <f t="shared" si="13"/>
        <v>51</v>
      </c>
      <c r="AH7" s="1" t="str">
        <f t="shared" si="14"/>
        <v/>
      </c>
      <c r="AI7" s="1">
        <f t="shared" si="15"/>
        <v>1</v>
      </c>
      <c r="AJ7" s="165" t="s">
        <v>400</v>
      </c>
      <c r="AK7" s="128">
        <v>1.0</v>
      </c>
      <c r="AL7" s="151">
        <v>0.6</v>
      </c>
      <c r="AM7" s="128">
        <v>0.6</v>
      </c>
      <c r="AN7" s="151">
        <v>0.6</v>
      </c>
      <c r="AO7" s="128">
        <f>1/2</f>
        <v>0.5</v>
      </c>
      <c r="AP7" s="1" t="b">
        <f t="shared" si="18"/>
        <v>0</v>
      </c>
      <c r="AQ7" t="str">
        <f t="shared" si="16"/>
        <v>Heroic Shield</v>
      </c>
      <c r="AR7" t="s">
        <v>401</v>
      </c>
      <c r="AS7" s="5" t="s">
        <v>402</v>
      </c>
      <c r="AT7" s="5">
        <v>12.0</v>
      </c>
      <c r="AU7" s="1" t="str">
        <f>IF(countIF(AE4:AE81,"&gt;.1")&gt;=4, "Your artis are pretty unbalanced rn! ","")</f>
        <v/>
      </c>
      <c r="AV7" s="131">
        <v>6.0</v>
      </c>
      <c r="AZ7" t="str">
        <f t="shared" si="19"/>
        <v/>
      </c>
      <c r="BA7" t="s">
        <v>403</v>
      </c>
      <c r="BB7" t="s">
        <v>403</v>
      </c>
      <c r="BC7" t="s">
        <v>403</v>
      </c>
      <c r="BD7" t="s">
        <v>403</v>
      </c>
      <c r="BE7" t="s">
        <v>403</v>
      </c>
      <c r="BF7" t="str">
        <f t="shared" si="20"/>
        <v>Chest of Contentment</v>
      </c>
    </row>
    <row r="8">
      <c r="A8" s="51" t="str">
        <f t="shared" si="1"/>
        <v>#31</v>
      </c>
      <c r="B8" s="102">
        <v>12.0</v>
      </c>
      <c r="C8" s="54" t="str">
        <f t="shared" si="2"/>
        <v/>
      </c>
      <c r="D8" s="104" t="str">
        <f t="shared" si="3"/>
        <v>Book of Prophecy</v>
      </c>
      <c r="E8" s="43" t="str">
        <f t="shared" si="4"/>
        <v>A</v>
      </c>
      <c r="F8" s="106" t="s">
        <v>301</v>
      </c>
      <c r="G8" s="108" t="s">
        <v>404</v>
      </c>
      <c r="J8" s="139" t="s">
        <v>405</v>
      </c>
      <c r="K8" s="141"/>
      <c r="L8" s="3"/>
      <c r="M8" s="159"/>
      <c r="N8" s="3"/>
      <c r="O8" s="3"/>
      <c r="P8">
        <f>'EDITING Artifact Optimizer'!Q94</f>
        <v>0</v>
      </c>
      <c r="Q8">
        <f t="shared" si="5"/>
        <v>1.2E+16</v>
      </c>
      <c r="R8" t="b">
        <f t="shared" si="6"/>
        <v>1</v>
      </c>
      <c r="S8" t="b">
        <f t="shared" si="7"/>
        <v>1</v>
      </c>
      <c r="U8" t="b">
        <f t="shared" si="8"/>
        <v>1</v>
      </c>
      <c r="V8" s="116" t="s">
        <v>392</v>
      </c>
      <c r="W8" s="118" t="str">
        <f>image("https://vignette.wikia.nocookie.net/tap-titans-2/images/2/2a/Book_of_Prophecy.png/revision/latest?cb=20171024224837")</f>
        <v/>
      </c>
      <c r="X8" s="70">
        <f t="shared" si="9"/>
        <v>0.79</v>
      </c>
      <c r="Y8" s="6">
        <f>1+'EDITING Artifact Optimizer'!S94*Q8 ^ (1 + ('EDITING Artifact Optimizer'!Y94-1)*min('EDITING Artifact Optimizer'!U94*Q8,'EDITING Artifact Optimizer'!T94))^'EDITING Artifact Optimizer'!V94</f>
        <v>7.28112E+18</v>
      </c>
      <c r="Z8">
        <f t="shared" si="10"/>
        <v>796457235090684</v>
      </c>
      <c r="AA8">
        <v>1.6569018441533742E35</v>
      </c>
      <c r="AB8">
        <f>Q8*'EDITING Artifact Optimizer'!W94</f>
        <v>3.6E+15</v>
      </c>
      <c r="AC8" s="7">
        <f>('EDITING Artifact Optimizer'!W94*Q8*$Y$16+$AB$89)/$AB$89</f>
        <v>1.000075363</v>
      </c>
      <c r="AD8">
        <f>('EDITING Artifact Optimizer'!X94/(1+'EDITING Artifact Optimizer'!Y94))*Q8^(1+'EDITING Artifact Optimizer'!Y94)</f>
        <v>6.21338E+50</v>
      </c>
      <c r="AE8" s="93">
        <f t="shared" si="11"/>
        <v>0.01013921793</v>
      </c>
      <c r="AF8" s="8">
        <f t="shared" si="12"/>
        <v>0</v>
      </c>
      <c r="AG8">
        <f t="shared" si="13"/>
        <v>31</v>
      </c>
      <c r="AH8" s="1" t="str">
        <f t="shared" si="14"/>
        <v/>
      </c>
      <c r="AI8" s="1">
        <f t="shared" si="15"/>
        <v>796457235090684</v>
      </c>
      <c r="AJ8" s="149" t="s">
        <v>407</v>
      </c>
      <c r="AK8" s="128">
        <f>1/2</f>
        <v>0.5</v>
      </c>
      <c r="AL8" s="128">
        <v>0.5</v>
      </c>
      <c r="AM8" s="128">
        <v>0.6</v>
      </c>
      <c r="AN8" s="128">
        <f>1/2</f>
        <v>0.5</v>
      </c>
      <c r="AO8" s="128">
        <v>1.0</v>
      </c>
      <c r="AP8" s="1" t="b">
        <f t="shared" si="18"/>
        <v>0</v>
      </c>
      <c r="AQ8" t="str">
        <f t="shared" si="16"/>
        <v>Book of Prophecy</v>
      </c>
      <c r="AR8" t="s">
        <v>408</v>
      </c>
      <c r="AS8" t="s">
        <v>194</v>
      </c>
      <c r="AT8">
        <v>15.0</v>
      </c>
      <c r="AU8" s="1" t="str">
        <f>IF(OR(U36 &lt;&gt; FALSE,U35 &lt;&gt; FALSE), "DS or CRH not ignored? ","")</f>
        <v>DS or CRH not ignored? </v>
      </c>
      <c r="AV8" s="131">
        <v>11.0</v>
      </c>
      <c r="AZ8" t="str">
        <f t="shared" si="19"/>
        <v/>
      </c>
      <c r="BA8" t="s">
        <v>403</v>
      </c>
      <c r="BB8" t="s">
        <v>403</v>
      </c>
      <c r="BC8" t="s">
        <v>403</v>
      </c>
      <c r="BD8" t="s">
        <v>403</v>
      </c>
      <c r="BE8" t="s">
        <v>403</v>
      </c>
      <c r="BF8" t="str">
        <f t="shared" si="20"/>
        <v>Heroic Shield</v>
      </c>
    </row>
    <row r="9">
      <c r="A9" s="51" t="str">
        <f t="shared" si="1"/>
        <v>#18</v>
      </c>
      <c r="B9" s="169">
        <v>1900.0</v>
      </c>
      <c r="C9" s="54" t="str">
        <f t="shared" si="2"/>
        <v/>
      </c>
      <c r="D9" s="104" t="str">
        <f t="shared" si="3"/>
        <v>Khrysos Bowl</v>
      </c>
      <c r="E9" s="43" t="str">
        <f t="shared" si="4"/>
        <v>A</v>
      </c>
      <c r="F9" s="137" t="s">
        <v>301</v>
      </c>
      <c r="G9" s="156" t="s">
        <v>409</v>
      </c>
      <c r="J9" s="170" t="s">
        <v>410</v>
      </c>
      <c r="K9" s="171"/>
      <c r="L9" s="43"/>
      <c r="M9" s="172"/>
      <c r="N9" s="3"/>
      <c r="O9" s="3"/>
      <c r="P9">
        <f>'EDITING Artifact Optimizer'!Q95</f>
        <v>0</v>
      </c>
      <c r="Q9">
        <f t="shared" si="5"/>
        <v>1.9E+18</v>
      </c>
      <c r="R9" t="b">
        <f t="shared" si="6"/>
        <v>1</v>
      </c>
      <c r="S9" t="b">
        <f t="shared" si="7"/>
        <v>1</v>
      </c>
      <c r="U9" t="b">
        <f t="shared" si="8"/>
        <v>1</v>
      </c>
      <c r="V9" s="116" t="s">
        <v>411</v>
      </c>
      <c r="W9" s="118" t="str">
        <f>image("https://vignette.wikia.nocookie.net/tap-titans-2/images/0/01/Khrysos_Bowl.png/revision/latest?cb=20180406183745")</f>
        <v/>
      </c>
      <c r="X9" s="70">
        <f t="shared" si="9"/>
        <v>0.79</v>
      </c>
      <c r="Y9" s="6">
        <f>1+'EDITING Artifact Optimizer'!S95*Q9 ^ (1 + ('EDITING Artifact Optimizer'!Y95-1)*min('EDITING Artifact Optimizer'!U95*Q9,'EDITING Artifact Optimizer'!T95))^'EDITING Artifact Optimizer'!V95</f>
        <v>4.00635E+19</v>
      </c>
      <c r="Z9">
        <f t="shared" si="10"/>
        <v>3.09201E+15</v>
      </c>
      <c r="AA9">
        <v>5.582831518996982E32</v>
      </c>
      <c r="AB9">
        <f>Q9*'EDITING Artifact Optimizer'!W95</f>
        <v>5.7E+17</v>
      </c>
      <c r="AC9" s="7">
        <f>('EDITING Artifact Optimizer'!W95*Q9*$Y$16+$AB$89)/$AB$89</f>
        <v>1.011932424</v>
      </c>
      <c r="AD9">
        <f>('EDITING Artifact Optimizer'!X95/(1+'EDITING Artifact Optimizer'!Y95))*Q9^(1+'EDITING Artifact Optimizer'!Y95)</f>
        <v>3.78835E+50</v>
      </c>
      <c r="AE9" s="93">
        <f t="shared" si="11"/>
        <v>0.006181964403</v>
      </c>
      <c r="AF9" s="8">
        <f t="shared" si="12"/>
        <v>0</v>
      </c>
      <c r="AG9">
        <f t="shared" si="13"/>
        <v>18</v>
      </c>
      <c r="AH9" s="1" t="str">
        <f t="shared" si="14"/>
        <v/>
      </c>
      <c r="AI9" s="1">
        <f t="shared" si="15"/>
        <v>3.09201E+15</v>
      </c>
      <c r="AJ9" s="176" t="s">
        <v>412</v>
      </c>
      <c r="AK9" s="128">
        <v>1.0</v>
      </c>
      <c r="AL9" s="128">
        <v>1.0</v>
      </c>
      <c r="AM9" s="128">
        <v>0.6</v>
      </c>
      <c r="AN9" s="128">
        <v>1.0</v>
      </c>
      <c r="AO9" s="128">
        <v>0.0</v>
      </c>
      <c r="AP9" s="1" t="b">
        <f t="shared" si="18"/>
        <v>0</v>
      </c>
      <c r="AQ9" t="str">
        <f t="shared" si="16"/>
        <v>Khrysos Bowl</v>
      </c>
      <c r="AR9" t="s">
        <v>413</v>
      </c>
      <c r="AS9" t="s">
        <v>414</v>
      </c>
      <c r="AT9">
        <v>20.0</v>
      </c>
      <c r="AU9" s="1" t="str">
        <f>IF(and($AE$4 &lt; 0.65,$AE$4 &gt; 0.35), "Your BoS is pretty healthy!","")</f>
        <v>Your BoS is pretty healthy!</v>
      </c>
      <c r="AV9" s="131">
        <v>19.0</v>
      </c>
      <c r="AZ9" t="str">
        <f t="shared" si="19"/>
        <v/>
      </c>
      <c r="BA9" t="s">
        <v>403</v>
      </c>
      <c r="BB9" t="s">
        <v>403</v>
      </c>
      <c r="BC9" t="s">
        <v>403</v>
      </c>
      <c r="BD9" t="s">
        <v>403</v>
      </c>
      <c r="BE9" t="s">
        <v>403</v>
      </c>
      <c r="BF9" t="str">
        <f t="shared" si="20"/>
        <v>Book of Prophecy</v>
      </c>
    </row>
    <row r="10">
      <c r="A10" s="51" t="str">
        <f t="shared" si="1"/>
        <v>#50</v>
      </c>
      <c r="B10" s="102">
        <v>0.004</v>
      </c>
      <c r="C10" s="54" t="str">
        <f t="shared" si="2"/>
        <v/>
      </c>
      <c r="D10" s="104" t="str">
        <f t="shared" si="3"/>
        <v>Zakynthos Coin</v>
      </c>
      <c r="E10" s="43" t="str">
        <f t="shared" si="4"/>
        <v>F</v>
      </c>
      <c r="F10" s="106" t="s">
        <v>301</v>
      </c>
      <c r="G10" s="180" t="s">
        <v>415</v>
      </c>
      <c r="J10" s="182" t="s">
        <v>416</v>
      </c>
      <c r="L10" s="183" t="s">
        <v>417</v>
      </c>
      <c r="M10" s="47"/>
      <c r="N10" s="3"/>
      <c r="O10" s="3"/>
      <c r="P10">
        <f>'EDITING Artifact Optimizer'!Q96</f>
        <v>0</v>
      </c>
      <c r="Q10">
        <f t="shared" si="5"/>
        <v>4000000000000</v>
      </c>
      <c r="R10" t="b">
        <f t="shared" si="6"/>
        <v>1</v>
      </c>
      <c r="S10" t="b">
        <f t="shared" si="7"/>
        <v>1</v>
      </c>
      <c r="T10" t="b">
        <f>IF(J7="online",false,true)</f>
        <v>0</v>
      </c>
      <c r="U10" t="b">
        <f t="shared" si="8"/>
        <v>0</v>
      </c>
      <c r="V10" s="116" t="s">
        <v>392</v>
      </c>
      <c r="W10" s="118" t="str">
        <f>image("https://vignette.wikia.nocookie.net/tap-titans-2/images/8/81/Zakynthos_Coin.png/revision/latest?cb=20171024231542")</f>
        <v/>
      </c>
      <c r="X10" s="70">
        <f t="shared" si="9"/>
        <v>0.79</v>
      </c>
      <c r="Y10" s="6">
        <f>1+'EDITING Artifact Optimizer'!S96*Q10 ^ (1 + ('EDITING Artifact Optimizer'!Y96-1)*min('EDITING Artifact Optimizer'!U96*Q10,'EDITING Artifact Optimizer'!T96))^'EDITING Artifact Optimizer'!V96</f>
        <v>180640808972142</v>
      </c>
      <c r="Z10">
        <f t="shared" si="10"/>
        <v>183182737779</v>
      </c>
      <c r="AA10">
        <v>3.3791387484652957E22</v>
      </c>
      <c r="AB10">
        <f>Q10*'EDITING Artifact Optimizer'!W96</f>
        <v>1200000000000</v>
      </c>
      <c r="AC10" s="7">
        <f>('EDITING Artifact Optimizer'!W96*Q10*$Y$16+$AB$89)/$AB$89</f>
        <v>1.000000025</v>
      </c>
      <c r="AD10">
        <f>('EDITING Artifact Optimizer'!X96/(1+'EDITING Artifact Optimizer'!Y96))*Q10^(1+'EDITING Artifact Optimizer'!Y96)</f>
        <v>4.82734E+34</v>
      </c>
      <c r="AE10" s="93">
        <f t="shared" si="11"/>
        <v>0</v>
      </c>
      <c r="AF10" s="8">
        <f t="shared" si="12"/>
        <v>0</v>
      </c>
      <c r="AG10">
        <f t="shared" si="13"/>
        <v>50</v>
      </c>
      <c r="AH10" s="1" t="str">
        <f t="shared" si="14"/>
        <v/>
      </c>
      <c r="AI10" s="1">
        <f t="shared" si="15"/>
        <v>1</v>
      </c>
      <c r="AJ10" s="176" t="s">
        <v>418</v>
      </c>
      <c r="AK10" s="128">
        <v>1.0</v>
      </c>
      <c r="AL10" s="128">
        <v>0.0</v>
      </c>
      <c r="AM10" s="128">
        <v>0.6</v>
      </c>
      <c r="AN10" s="151">
        <v>0.8</v>
      </c>
      <c r="AO10" s="128">
        <v>0.0</v>
      </c>
      <c r="AP10" s="1" t="b">
        <f t="shared" si="18"/>
        <v>0</v>
      </c>
      <c r="AQ10" t="str">
        <f t="shared" si="16"/>
        <v>Zakynthos Coin</v>
      </c>
      <c r="AR10" t="s">
        <v>419</v>
      </c>
      <c r="AU10" s="1" t="str">
        <f t="shared" ref="AU10:AU17" si="21">IF($AE$4 &lt; 0.1, "","")</f>
        <v/>
      </c>
      <c r="AV10" s="131">
        <v>30.0</v>
      </c>
      <c r="AZ10" t="str">
        <f t="shared" si="19"/>
        <v/>
      </c>
      <c r="BA10" t="s">
        <v>403</v>
      </c>
      <c r="BB10" t="s">
        <v>403</v>
      </c>
      <c r="BC10" t="s">
        <v>403</v>
      </c>
      <c r="BD10" t="s">
        <v>403</v>
      </c>
      <c r="BE10" t="s">
        <v>403</v>
      </c>
      <c r="BF10" t="str">
        <f t="shared" si="20"/>
        <v>Khrysos Bowl</v>
      </c>
    </row>
    <row r="11">
      <c r="A11" s="51" t="str">
        <f t="shared" si="1"/>
        <v>#19</v>
      </c>
      <c r="B11" s="102">
        <v>1700.0</v>
      </c>
      <c r="C11" s="54" t="str">
        <f t="shared" si="2"/>
        <v/>
      </c>
      <c r="D11" s="104" t="str">
        <f t="shared" si="3"/>
        <v>Great Fay Medallion</v>
      </c>
      <c r="E11" s="43" t="str">
        <f t="shared" si="4"/>
        <v>A</v>
      </c>
      <c r="F11" s="106" t="s">
        <v>301</v>
      </c>
      <c r="G11" s="3"/>
      <c r="H11" s="3"/>
      <c r="I11" s="3"/>
      <c r="J11" s="3"/>
      <c r="K11" s="3"/>
      <c r="L11" s="43"/>
      <c r="M11" s="47"/>
      <c r="N11" s="3"/>
      <c r="O11" s="3"/>
      <c r="P11">
        <f>'EDITING Artifact Optimizer'!Q97</f>
        <v>0</v>
      </c>
      <c r="Q11">
        <f t="shared" si="5"/>
        <v>1.7E+18</v>
      </c>
      <c r="R11" t="b">
        <f t="shared" si="6"/>
        <v>1</v>
      </c>
      <c r="S11" t="b">
        <f t="shared" si="7"/>
        <v>1</v>
      </c>
      <c r="T11" t="b">
        <f>IF(J6&lt;&gt;"FairyGold",false,true)</f>
        <v>1</v>
      </c>
      <c r="U11" t="b">
        <f t="shared" si="8"/>
        <v>1</v>
      </c>
      <c r="V11" s="116" t="s">
        <v>392</v>
      </c>
      <c r="W11" s="118" t="str">
        <f>image("https://vignette.wikia.nocookie.net/tap-titans-2/images/8/8e/Great_Fay_Medallion.png/revision/latest?cb=20171024221832")</f>
        <v/>
      </c>
      <c r="X11" s="70">
        <f t="shared" si="9"/>
        <v>0.79</v>
      </c>
      <c r="Y11" s="6">
        <f>1+'EDITING Artifact Optimizer'!S97*Q11 ^ (1 + ('EDITING Artifact Optimizer'!Y97-1)*min('EDITING Artifact Optimizer'!U97*Q11,'EDITING Artifact Optimizer'!T97))^'EDITING Artifact Optimizer'!V97</f>
        <v>2.64431E+20</v>
      </c>
      <c r="Z11">
        <f t="shared" si="10"/>
        <v>1.37555E+16</v>
      </c>
      <c r="AA11">
        <v>6.528419577494004E32</v>
      </c>
      <c r="AB11">
        <f>Q11*'EDITING Artifact Optimizer'!W97</f>
        <v>6.8E+17</v>
      </c>
      <c r="AC11" s="7">
        <f>('EDITING Artifact Optimizer'!W97*Q11*$Y$16+$AB$89)/$AB$89</f>
        <v>1.014235172</v>
      </c>
      <c r="AD11">
        <f>('EDITING Artifact Optimizer'!X97/(1+'EDITING Artifact Optimizer'!Y97))*Q11^(1+'EDITING Artifact Optimizer'!Y97)</f>
        <v>3.96368E+50</v>
      </c>
      <c r="AE11" s="93">
        <f t="shared" si="11"/>
        <v>0.006468079618</v>
      </c>
      <c r="AF11" s="8">
        <f t="shared" si="12"/>
        <v>0</v>
      </c>
      <c r="AG11">
        <f t="shared" si="13"/>
        <v>19</v>
      </c>
      <c r="AH11" s="1" t="str">
        <f t="shared" si="14"/>
        <v/>
      </c>
      <c r="AI11" s="1">
        <f t="shared" si="15"/>
        <v>1.37555E+16</v>
      </c>
      <c r="AJ11" s="4" t="s">
        <v>420</v>
      </c>
      <c r="AK11" s="128">
        <v>1.0</v>
      </c>
      <c r="AL11" s="128">
        <v>1.0</v>
      </c>
      <c r="AM11" s="128">
        <v>1.0</v>
      </c>
      <c r="AN11" s="128">
        <v>1.0</v>
      </c>
      <c r="AO11" s="128">
        <v>1.0</v>
      </c>
      <c r="AP11" s="1" t="b">
        <f t="shared" si="18"/>
        <v>0</v>
      </c>
      <c r="AQ11" t="str">
        <f t="shared" si="16"/>
        <v>Great Fay Medallion</v>
      </c>
      <c r="AR11" t="s">
        <v>421</v>
      </c>
      <c r="AU11" s="1" t="str">
        <f t="shared" si="21"/>
        <v/>
      </c>
      <c r="AV11" s="131">
        <v>46.0</v>
      </c>
      <c r="AZ11" t="str">
        <f t="shared" si="19"/>
        <v/>
      </c>
      <c r="BA11" t="s">
        <v>422</v>
      </c>
      <c r="BB11" t="s">
        <v>422</v>
      </c>
      <c r="BC11" t="s">
        <v>422</v>
      </c>
      <c r="BD11" t="s">
        <v>422</v>
      </c>
      <c r="BE11" t="s">
        <v>422</v>
      </c>
      <c r="BF11" t="str">
        <f t="shared" si="20"/>
        <v>Zakynthos Coin</v>
      </c>
    </row>
    <row r="12">
      <c r="A12" s="51" t="str">
        <f t="shared" si="1"/>
        <v>#49</v>
      </c>
      <c r="B12" s="102">
        <v>1.4</v>
      </c>
      <c r="C12" s="54" t="str">
        <f t="shared" si="2"/>
        <v/>
      </c>
      <c r="D12" s="104" t="str">
        <f t="shared" si="3"/>
        <v>Neko Sculpture</v>
      </c>
      <c r="E12" s="43" t="str">
        <f t="shared" si="4"/>
        <v>A</v>
      </c>
      <c r="F12" s="137" t="s">
        <v>301</v>
      </c>
      <c r="G12" s="3"/>
      <c r="H12" s="3"/>
      <c r="I12" s="3"/>
      <c r="J12" s="189" t="str">
        <f>IF(L3="TIPS ON",AU3,"")</f>
        <v/>
      </c>
      <c r="K12" s="3" t="str">
        <f>IF(L3="TIPS ON",image("https://freepngimg.com/thumb/parrot/36700-1-cute-parrot-clipart-thumb.png") ,"")</f>
        <v/>
      </c>
      <c r="M12" s="159"/>
      <c r="N12" s="3"/>
      <c r="O12" s="61"/>
      <c r="P12">
        <f>'EDITING Artifact Optimizer'!Q98</f>
        <v>0</v>
      </c>
      <c r="Q12">
        <f t="shared" si="5"/>
        <v>1.4E+15</v>
      </c>
      <c r="R12" t="b">
        <f t="shared" si="6"/>
        <v>1</v>
      </c>
      <c r="S12" t="b">
        <f t="shared" si="7"/>
        <v>1</v>
      </c>
      <c r="T12" t="b">
        <f>IF(J6="PHoM",True, false)</f>
        <v>0</v>
      </c>
      <c r="U12" t="b">
        <f t="shared" si="8"/>
        <v>0</v>
      </c>
      <c r="V12" s="190" t="s">
        <v>392</v>
      </c>
      <c r="W12" t="str">
        <f>image("https://vignette.wikia.nocookie.net/tap-titans-2/images/3/32/Neko_Sculpture.png/revision/latest?cb=20180904201919")</f>
        <v/>
      </c>
      <c r="X12" s="70">
        <f t="shared" si="9"/>
        <v>0.79</v>
      </c>
      <c r="Y12" s="6">
        <f>1+'EDITING Artifact Optimizer'!S98*Q12 ^ (1 + ('EDITING Artifact Optimizer'!Y98-1)*min('EDITING Artifact Optimizer'!U98*Q12,'EDITING Artifact Optimizer'!T98))^'EDITING Artifact Optimizer'!V98</f>
        <v>7.56306E+16</v>
      </c>
      <c r="Z12">
        <f t="shared" si="10"/>
        <v>21586193841936</v>
      </c>
      <c r="AA12">
        <v>1.2827100700757029E27</v>
      </c>
      <c r="AB12">
        <f>Q12*'EDITING Artifact Optimizer'!W98</f>
        <v>700000000000000</v>
      </c>
      <c r="AC12" s="7">
        <f>('EDITING Artifact Optimizer'!W98*Q12*$Y$16+$AB$89)/$AB$89</f>
        <v>1.000014654</v>
      </c>
      <c r="AD12">
        <f>('EDITING Artifact Optimizer'!X98/(1+'EDITING Artifact Optimizer'!Y98))*Q12^(1+'EDITING Artifact Optimizer'!Y98)</f>
        <v>6.41355E+41</v>
      </c>
      <c r="AE12" s="93">
        <f t="shared" si="11"/>
        <v>0</v>
      </c>
      <c r="AF12" s="8">
        <f t="shared" si="12"/>
        <v>0</v>
      </c>
      <c r="AG12">
        <f t="shared" si="13"/>
        <v>49</v>
      </c>
      <c r="AH12" s="1" t="str">
        <f t="shared" si="14"/>
        <v/>
      </c>
      <c r="AI12" s="1">
        <f t="shared" si="15"/>
        <v>1</v>
      </c>
      <c r="AJ12" s="116" t="s">
        <v>392</v>
      </c>
      <c r="AK12" s="128">
        <v>0.79</v>
      </c>
      <c r="AL12" s="128">
        <v>0.79</v>
      </c>
      <c r="AM12" s="128">
        <v>0.79</v>
      </c>
      <c r="AN12" s="128">
        <v>0.79</v>
      </c>
      <c r="AO12" s="128">
        <v>0.79</v>
      </c>
      <c r="AP12" s="1" t="b">
        <f t="shared" si="18"/>
        <v>0</v>
      </c>
      <c r="AQ12" t="str">
        <f t="shared" si="16"/>
        <v>Neko Sculpture</v>
      </c>
      <c r="AR12" s="1" t="s">
        <v>423</v>
      </c>
      <c r="AU12" s="1" t="str">
        <f t="shared" si="21"/>
        <v/>
      </c>
      <c r="AV12" s="131">
        <v>69.0</v>
      </c>
      <c r="AZ12" t="str">
        <f t="shared" si="19"/>
        <v/>
      </c>
      <c r="BA12" t="s">
        <v>403</v>
      </c>
      <c r="BB12" t="s">
        <v>403</v>
      </c>
      <c r="BC12" t="s">
        <v>403</v>
      </c>
      <c r="BD12" t="s">
        <v>403</v>
      </c>
      <c r="BE12" t="s">
        <v>403</v>
      </c>
      <c r="BF12" t="str">
        <f t="shared" si="20"/>
        <v>Great Fay Medallion</v>
      </c>
    </row>
    <row r="13">
      <c r="A13" s="51" t="str">
        <f t="shared" si="1"/>
        <v>#48</v>
      </c>
      <c r="B13" s="102">
        <v>0.7</v>
      </c>
      <c r="C13" s="54" t="str">
        <f t="shared" si="2"/>
        <v/>
      </c>
      <c r="D13" s="104" t="str">
        <f t="shared" si="3"/>
        <v>Coins of Ebizu</v>
      </c>
      <c r="E13" s="43" t="str">
        <f t="shared" si="4"/>
        <v>B</v>
      </c>
      <c r="F13" s="137" t="s">
        <v>301</v>
      </c>
      <c r="G13" s="3"/>
      <c r="H13" s="3"/>
      <c r="I13" s="3"/>
      <c r="M13" s="172"/>
      <c r="N13" s="3"/>
      <c r="O13" s="3"/>
      <c r="P13">
        <f>'EDITING Artifact Optimizer'!Q99</f>
        <v>0</v>
      </c>
      <c r="Q13">
        <f t="shared" si="5"/>
        <v>700000000000000</v>
      </c>
      <c r="R13" t="b">
        <f t="shared" si="6"/>
        <v>1</v>
      </c>
      <c r="S13" t="b">
        <f t="shared" si="7"/>
        <v>1</v>
      </c>
      <c r="T13" t="b">
        <f>if(J6="ChestersonGold",true,false)</f>
        <v>0</v>
      </c>
      <c r="U13" t="b">
        <f t="shared" si="8"/>
        <v>0</v>
      </c>
      <c r="V13" s="190" t="s">
        <v>392</v>
      </c>
      <c r="W13" s="118" t="str">
        <f>image("https://vignette.wikia.nocookie.net/tap-titans-2/images/6/66/Coins_of_Ebizu.png/revision/latest?cb=20171024231637")</f>
        <v/>
      </c>
      <c r="X13" s="70">
        <f t="shared" si="9"/>
        <v>0.79</v>
      </c>
      <c r="Y13" s="6">
        <f>1+'EDITING Artifact Optimizer'!S99*Q13 ^ (1 + ('EDITING Artifact Optimizer'!Y99-1)*min('EDITING Artifact Optimizer'!U99*Q13,'EDITING Artifact Optimizer'!T99))^'EDITING Artifact Optimizer'!V99</f>
        <v>2.27378E+16</v>
      </c>
      <c r="Z13">
        <f t="shared" si="10"/>
        <v>8352823855029</v>
      </c>
      <c r="AA13">
        <v>3.683617368585229E26</v>
      </c>
      <c r="AB13">
        <f>Q13*'EDITING Artifact Optimizer'!W99</f>
        <v>210000000000000</v>
      </c>
      <c r="AC13" s="7">
        <f>('EDITING Artifact Optimizer'!W99*Q13*$Y$16+$AB$89)/$AB$89</f>
        <v>1.000004396</v>
      </c>
      <c r="AD13">
        <f>('EDITING Artifact Optimizer'!X99/(1+'EDITING Artifact Optimizer'!Y99))*Q13^(1+'EDITING Artifact Optimizer'!Y99)</f>
        <v>9.20904E+40</v>
      </c>
      <c r="AE13" s="93">
        <f t="shared" si="11"/>
        <v>0</v>
      </c>
      <c r="AF13" s="8">
        <f t="shared" si="12"/>
        <v>0</v>
      </c>
      <c r="AG13">
        <f t="shared" si="13"/>
        <v>48</v>
      </c>
      <c r="AH13" s="1" t="str">
        <f t="shared" si="14"/>
        <v/>
      </c>
      <c r="AI13" s="1">
        <f t="shared" si="15"/>
        <v>1</v>
      </c>
      <c r="AJ13" s="190" t="s">
        <v>425</v>
      </c>
      <c r="AK13" s="128">
        <v>0.79</v>
      </c>
      <c r="AL13" s="128">
        <v>0.79</v>
      </c>
      <c r="AM13" s="128">
        <v>0.79</v>
      </c>
      <c r="AN13" s="128">
        <v>0.79</v>
      </c>
      <c r="AO13" s="128">
        <v>0.79</v>
      </c>
      <c r="AP13" s="1" t="b">
        <f t="shared" si="18"/>
        <v>0</v>
      </c>
      <c r="AQ13" t="str">
        <f t="shared" si="16"/>
        <v>Coins of Ebizu</v>
      </c>
      <c r="AR13" s="1" t="s">
        <v>426</v>
      </c>
      <c r="AU13" s="1" t="str">
        <f t="shared" si="21"/>
        <v/>
      </c>
      <c r="AV13" s="131">
        <v>102.0</v>
      </c>
      <c r="AZ13" t="str">
        <f t="shared" si="19"/>
        <v/>
      </c>
      <c r="BA13" t="s">
        <v>403</v>
      </c>
      <c r="BB13" t="s">
        <v>403</v>
      </c>
      <c r="BC13" t="s">
        <v>403</v>
      </c>
      <c r="BD13" t="s">
        <v>403</v>
      </c>
      <c r="BE13" t="s">
        <v>403</v>
      </c>
      <c r="BF13" t="str">
        <f t="shared" si="20"/>
        <v>Neko Sculpture</v>
      </c>
    </row>
    <row r="14">
      <c r="A14" s="51" t="str">
        <f t="shared" si="1"/>
        <v>#20</v>
      </c>
      <c r="B14" s="102">
        <v>1900.0</v>
      </c>
      <c r="C14" s="54" t="str">
        <f t="shared" si="2"/>
        <v/>
      </c>
      <c r="D14" s="104" t="str">
        <f t="shared" si="3"/>
        <v>The Bronzed Compass</v>
      </c>
      <c r="E14" s="43" t="str">
        <f t="shared" si="4"/>
        <v>A</v>
      </c>
      <c r="F14" s="137" t="s">
        <v>301</v>
      </c>
      <c r="G14" s="3"/>
      <c r="H14" s="3"/>
      <c r="I14" s="3"/>
      <c r="M14" s="172"/>
      <c r="N14" s="61" t="s">
        <v>427</v>
      </c>
      <c r="O14" s="3"/>
      <c r="P14">
        <f>'EDITING Artifact Optimizer'!Q100</f>
        <v>0</v>
      </c>
      <c r="Q14">
        <f t="shared" si="5"/>
        <v>1.9E+18</v>
      </c>
      <c r="R14" t="b">
        <f t="shared" si="6"/>
        <v>1</v>
      </c>
      <c r="S14" t="b">
        <f t="shared" si="7"/>
        <v>1</v>
      </c>
      <c r="T14" t="b">
        <f>if(OR(J6="PHoM",J6="FairyGold"),true,false)</f>
        <v>1</v>
      </c>
      <c r="U14" t="b">
        <f t="shared" si="8"/>
        <v>1</v>
      </c>
      <c r="V14" s="190" t="s">
        <v>392</v>
      </c>
      <c r="W14" s="194" t="str">
        <f>image("https://i.imgur.com/XHVF7sG.png")</f>
        <v/>
      </c>
      <c r="X14" s="70">
        <f t="shared" si="9"/>
        <v>0.79</v>
      </c>
      <c r="Y14" s="6">
        <f>1+'EDITING Artifact Optimizer'!S100*Q14 ^ (1 + ('EDITING Artifact Optimizer'!Y100-1)*min('EDITING Artifact Optimizer'!U100*Q14,'EDITING Artifact Optimizer'!T100))^'EDITING Artifact Optimizer'!V100</f>
        <v>1.22269E+19</v>
      </c>
      <c r="Z14">
        <f t="shared" si="10"/>
        <v>1.21074E+15</v>
      </c>
      <c r="AA14">
        <v>5.582831518996982E32</v>
      </c>
      <c r="AB14">
        <f>Q14*'EDITING Artifact Optimizer'!W100</f>
        <v>5.7E+17</v>
      </c>
      <c r="AC14" s="7">
        <f>('EDITING Artifact Optimizer'!W100*Q14*$Y$16+$AB$89)/$AB$89</f>
        <v>1.011932424</v>
      </c>
      <c r="AD14">
        <f>('EDITING Artifact Optimizer'!X100/(1+'EDITING Artifact Optimizer'!Y100))*Q14^(1+'EDITING Artifact Optimizer'!Y100)</f>
        <v>3.78835E+50</v>
      </c>
      <c r="AE14" s="93">
        <f t="shared" si="11"/>
        <v>0.006181964403</v>
      </c>
      <c r="AF14" s="8">
        <f t="shared" si="12"/>
        <v>0</v>
      </c>
      <c r="AG14">
        <f t="shared" si="13"/>
        <v>20</v>
      </c>
      <c r="AH14" s="1" t="str">
        <f>W21</f>
        <v/>
      </c>
      <c r="AI14" s="1">
        <f t="shared" si="15"/>
        <v>1.21074E+15</v>
      </c>
      <c r="AJ14" s="196" t="s">
        <v>429</v>
      </c>
      <c r="AK14" s="128">
        <v>1.0</v>
      </c>
      <c r="AL14" s="128">
        <v>1.0</v>
      </c>
      <c r="AM14" s="128">
        <v>1.0</v>
      </c>
      <c r="AN14" s="128">
        <v>1.0</v>
      </c>
      <c r="AO14" s="128">
        <v>1.0</v>
      </c>
      <c r="AP14" s="1" t="b">
        <f t="shared" si="18"/>
        <v>0</v>
      </c>
      <c r="AQ14" t="str">
        <f t="shared" si="16"/>
        <v>The Bronzed Compass</v>
      </c>
      <c r="AR14" s="1" t="s">
        <v>430</v>
      </c>
      <c r="AU14" s="1" t="str">
        <f t="shared" si="21"/>
        <v/>
      </c>
      <c r="AV14" s="131">
        <v>148.0</v>
      </c>
      <c r="AZ14" t="str">
        <f t="shared" si="19"/>
        <v/>
      </c>
      <c r="BA14" t="s">
        <v>431</v>
      </c>
      <c r="BB14" t="s">
        <v>431</v>
      </c>
      <c r="BC14" t="s">
        <v>431</v>
      </c>
      <c r="BD14" t="s">
        <v>431</v>
      </c>
      <c r="BE14" t="s">
        <v>431</v>
      </c>
      <c r="BF14" t="str">
        <f t="shared" si="20"/>
        <v>Coins of Ebizu</v>
      </c>
    </row>
    <row r="15">
      <c r="A15" s="51" t="str">
        <f t="shared" si="1"/>
        <v>#4</v>
      </c>
      <c r="B15" s="102">
        <v>15.0</v>
      </c>
      <c r="C15" s="54" t="str">
        <f t="shared" si="2"/>
        <v/>
      </c>
      <c r="D15" s="104" t="str">
        <f t="shared" si="3"/>
        <v>Flute of the Soloist</v>
      </c>
      <c r="E15" s="43" t="str">
        <f t="shared" si="4"/>
        <v>S</v>
      </c>
      <c r="F15" s="137" t="s">
        <v>301</v>
      </c>
      <c r="G15" s="3"/>
      <c r="H15" s="3"/>
      <c r="I15" s="3"/>
      <c r="K15" s="3"/>
      <c r="L15" s="3"/>
      <c r="M15" s="172"/>
      <c r="N15" s="3"/>
      <c r="O15" s="3"/>
      <c r="P15">
        <f>'EDITING Artifact Optimizer'!Q101</f>
        <v>0</v>
      </c>
      <c r="Q15">
        <f t="shared" si="5"/>
        <v>1.5E+16</v>
      </c>
      <c r="R15" t="b">
        <f t="shared" si="6"/>
        <v>1</v>
      </c>
      <c r="U15" t="b">
        <f t="shared" si="8"/>
        <v>1</v>
      </c>
      <c r="V15" s="1" t="s">
        <v>432</v>
      </c>
      <c r="W15" s="194" t="str">
        <f>image("https://i.imgur.com/VcBvaQ6.png")</f>
        <v/>
      </c>
      <c r="X15" s="70">
        <f t="shared" si="9"/>
        <v>4</v>
      </c>
      <c r="Y15" s="6">
        <f>1+'EDITING Artifact Optimizer'!S101*Q15 ^ (1 + ('EDITING Artifact Optimizer'!Y101-1)*min('EDITING Artifact Optimizer'!U101*Q15,'EDITING Artifact Optimizer'!T101))^'EDITING Artifact Optimizer'!V101</f>
        <v>2.28171E+16</v>
      </c>
      <c r="Z15">
        <f t="shared" si="10"/>
        <v>2.71113E+65</v>
      </c>
      <c r="AA15">
        <v>2.3203421022431116E35</v>
      </c>
      <c r="AB15">
        <f>Q15*'EDITING Artifact Optimizer'!W101</f>
        <v>3E+15</v>
      </c>
      <c r="AC15" s="7">
        <f>('EDITING Artifact Optimizer'!W101*Q15*$Y$16+$AB$89)/$AB$89</f>
        <v>1.000062802</v>
      </c>
      <c r="AD15">
        <f>('EDITING Artifact Optimizer'!X101/(1+'EDITING Artifact Optimizer'!Y101))*Q15^(1+'EDITING Artifact Optimizer'!Y101)</f>
        <v>1.08766E+51</v>
      </c>
      <c r="AE15" s="93">
        <f t="shared" si="11"/>
        <v>0.01774882918</v>
      </c>
      <c r="AF15" s="8">
        <f t="shared" si="12"/>
        <v>0</v>
      </c>
      <c r="AG15">
        <f t="shared" si="13"/>
        <v>4</v>
      </c>
      <c r="AH15" s="1" t="str">
        <f t="shared" ref="AH15:AH84" si="22">W16</f>
        <v/>
      </c>
      <c r="AI15" s="1">
        <f t="shared" si="15"/>
        <v>2.71113E+65</v>
      </c>
      <c r="AJ15" s="4" t="s">
        <v>332</v>
      </c>
      <c r="AK15" s="128">
        <v>1.0</v>
      </c>
      <c r="AL15" s="128">
        <v>1.0</v>
      </c>
      <c r="AM15" s="128">
        <v>1.0</v>
      </c>
      <c r="AN15" s="128">
        <v>1.0</v>
      </c>
      <c r="AO15" s="128">
        <v>1.0</v>
      </c>
      <c r="AP15" s="1" t="b">
        <f t="shared" si="18"/>
        <v>0</v>
      </c>
      <c r="AQ15" t="str">
        <f t="shared" si="16"/>
        <v>Flute of the Soloist</v>
      </c>
      <c r="AR15" s="1" t="s">
        <v>433</v>
      </c>
      <c r="AU15" s="1" t="str">
        <f t="shared" si="21"/>
        <v/>
      </c>
      <c r="AV15" s="131">
        <v>214.0</v>
      </c>
      <c r="AW15" s="133"/>
      <c r="AX15" s="133"/>
      <c r="AZ15" t="str">
        <f t="shared" si="19"/>
        <v/>
      </c>
      <c r="BA15" s="5" t="s">
        <v>403</v>
      </c>
      <c r="BB15" s="5" t="s">
        <v>403</v>
      </c>
      <c r="BC15" s="5" t="s">
        <v>403</v>
      </c>
      <c r="BD15" s="5" t="s">
        <v>403</v>
      </c>
      <c r="BE15" s="5" t="s">
        <v>403</v>
      </c>
      <c r="BF15" t="str">
        <f t="shared" si="20"/>
        <v>The Bronzed Compass</v>
      </c>
    </row>
    <row r="16">
      <c r="A16" s="51" t="str">
        <f t="shared" si="1"/>
        <v>#21</v>
      </c>
      <c r="B16" s="102">
        <v>11.0</v>
      </c>
      <c r="C16" s="54" t="str">
        <f t="shared" si="2"/>
        <v/>
      </c>
      <c r="D16" s="104" t="str">
        <f t="shared" si="3"/>
        <v>Heavenly Sword</v>
      </c>
      <c r="E16" s="43" t="str">
        <f t="shared" si="4"/>
        <v>B</v>
      </c>
      <c r="F16" s="106" t="s">
        <v>301</v>
      </c>
      <c r="G16" s="3"/>
      <c r="H16" s="3"/>
      <c r="I16" s="3"/>
      <c r="J16" s="3"/>
      <c r="K16" s="3"/>
      <c r="L16" s="3"/>
      <c r="M16" s="172"/>
      <c r="N16" s="3"/>
      <c r="O16" s="3"/>
      <c r="P16">
        <f>'EDITING Artifact Optimizer'!Q102</f>
        <v>0</v>
      </c>
      <c r="Q16">
        <f t="shared" si="5"/>
        <v>1.1E+16</v>
      </c>
      <c r="R16" t="b">
        <f t="shared" si="6"/>
        <v>1</v>
      </c>
      <c r="S16" t="b">
        <f t="shared" ref="S16:S54" si="23">IF(F16="☑",true,false)</f>
        <v>1</v>
      </c>
      <c r="U16" t="b">
        <f t="shared" si="8"/>
        <v>1</v>
      </c>
      <c r="V16" s="4" t="s">
        <v>332</v>
      </c>
      <c r="W16" s="118" t="str">
        <f>image("https://vignette.wikia.nocookie.net/tap-titans-2/images/e/e6/Heavenly_Sword.png/revision/latest?cb=20171024233710")</f>
        <v/>
      </c>
      <c r="X16" s="70">
        <f t="shared" si="9"/>
        <v>1</v>
      </c>
      <c r="Y16" s="6">
        <f>1+'EDITING Artifact Optimizer'!S102*Q16 ^ (1 + ('EDITING Artifact Optimizer'!Y102-1)*min('EDITING Artifact Optimizer'!U102*Q16,'EDITING Artifact Optimizer'!T102))^'EDITING Artifact Optimizer'!V102</f>
        <v>1.63744E+18</v>
      </c>
      <c r="Z16">
        <f t="shared" si="10"/>
        <v>1.63782E+18</v>
      </c>
      <c r="AA16">
        <v>1.3682389434732536E35</v>
      </c>
      <c r="AB16">
        <f>Q16*'EDITING Artifact Optimizer'!W102</f>
        <v>1.1E+16</v>
      </c>
      <c r="AC16" s="7">
        <f>('EDITING Artifact Optimizer'!W102*Q16*$Y$16+$AB$89)/$AB$89</f>
        <v>1.000230275</v>
      </c>
      <c r="AD16">
        <f>('EDITING Artifact Optimizer'!X102/(1+'EDITING Artifact Optimizer'!Y102))*Q16^(1+'EDITING Artifact Optimizer'!Y102)</f>
        <v>4.70332E+50</v>
      </c>
      <c r="AE16" s="93">
        <f t="shared" si="11"/>
        <v>0.007675047339</v>
      </c>
      <c r="AF16" s="8">
        <f t="shared" si="12"/>
        <v>0</v>
      </c>
      <c r="AG16">
        <f t="shared" si="13"/>
        <v>21</v>
      </c>
      <c r="AH16" s="1" t="str">
        <f t="shared" si="22"/>
        <v/>
      </c>
      <c r="AI16" s="1">
        <f t="shared" si="15"/>
        <v>1.63782E+18</v>
      </c>
      <c r="AJ16" s="208" t="s">
        <v>435</v>
      </c>
      <c r="AK16" s="210">
        <v>0.0</v>
      </c>
      <c r="AL16" s="210">
        <v>0.0</v>
      </c>
      <c r="AM16" s="210">
        <v>1.0</v>
      </c>
      <c r="AN16" s="210">
        <v>0.0</v>
      </c>
      <c r="AO16" s="210">
        <v>0.0</v>
      </c>
      <c r="AP16" s="1" t="b">
        <f t="shared" si="18"/>
        <v>0</v>
      </c>
      <c r="AQ16" t="str">
        <f t="shared" si="16"/>
        <v>Heavenly Sword</v>
      </c>
      <c r="AR16" t="s">
        <v>437</v>
      </c>
      <c r="AU16" s="1" t="str">
        <f t="shared" si="21"/>
        <v/>
      </c>
      <c r="AV16" s="131">
        <v>306.0</v>
      </c>
      <c r="AZ16" t="str">
        <f t="shared" si="19"/>
        <v/>
      </c>
      <c r="BA16" s="1" t="s">
        <v>389</v>
      </c>
      <c r="BB16" s="1" t="s">
        <v>389</v>
      </c>
      <c r="BC16" s="1" t="s">
        <v>389</v>
      </c>
      <c r="BD16" s="1" t="s">
        <v>389</v>
      </c>
      <c r="BE16" s="1" t="s">
        <v>389</v>
      </c>
      <c r="BF16" t="str">
        <f t="shared" si="20"/>
        <v>Flute of the Soloist</v>
      </c>
    </row>
    <row r="17">
      <c r="A17" s="51" t="str">
        <f t="shared" si="1"/>
        <v>#22</v>
      </c>
      <c r="B17" s="102">
        <v>120.0</v>
      </c>
      <c r="C17" s="54" t="str">
        <f t="shared" si="2"/>
        <v/>
      </c>
      <c r="D17" s="104" t="str">
        <f t="shared" si="3"/>
        <v>Divine Retribution</v>
      </c>
      <c r="E17" s="43" t="str">
        <f t="shared" si="4"/>
        <v>A</v>
      </c>
      <c r="F17" s="106" t="s">
        <v>301</v>
      </c>
      <c r="G17" s="3"/>
      <c r="H17" s="212" t="s">
        <v>438</v>
      </c>
      <c r="I17" s="43"/>
      <c r="J17" s="43"/>
      <c r="K17" s="43"/>
      <c r="L17" s="43"/>
      <c r="M17" s="172"/>
      <c r="N17" s="3"/>
      <c r="O17" s="3"/>
      <c r="P17">
        <f>'EDITING Artifact Optimizer'!Q103</f>
        <v>0</v>
      </c>
      <c r="Q17">
        <f t="shared" si="5"/>
        <v>1.2E+17</v>
      </c>
      <c r="R17" t="b">
        <f t="shared" si="6"/>
        <v>1</v>
      </c>
      <c r="S17" t="b">
        <f t="shared" si="23"/>
        <v>1</v>
      </c>
      <c r="U17" t="b">
        <f t="shared" si="8"/>
        <v>1</v>
      </c>
      <c r="V17" s="4" t="s">
        <v>332</v>
      </c>
      <c r="W17" s="118" t="str">
        <f>image("https://vignette.wikia.nocookie.net/tap-titans-2/images/3/38/Divine_Retribution.png/revision/latest?cb=20171024233639")</f>
        <v/>
      </c>
      <c r="X17" s="70">
        <f t="shared" si="9"/>
        <v>1</v>
      </c>
      <c r="Y17" s="6">
        <f>1+'EDITING Artifact Optimizer'!S103*Q17 ^ (1 + ('EDITING Artifact Optimizer'!Y103-1)*min('EDITING Artifact Optimizer'!U103*Q17,'EDITING Artifact Optimizer'!T103))^'EDITING Artifact Optimizer'!V103</f>
        <v>4.19262E+18</v>
      </c>
      <c r="Z17">
        <f t="shared" si="10"/>
        <v>4.20315E+18</v>
      </c>
      <c r="AA17">
        <v>1.44E34</v>
      </c>
      <c r="AB17">
        <f>Q17*'EDITING Artifact Optimizer'!W103</f>
        <v>1.2E+17</v>
      </c>
      <c r="AC17" s="7">
        <f>('EDITING Artifact Optimizer'!W103*Q17*$Y$16+$AB$89)/$AB$89</f>
        <v>1.002512089</v>
      </c>
      <c r="AD17">
        <f>('EDITING Artifact Optimizer'!X103/(1+'EDITING Artifact Optimizer'!Y103))*Q17^(1+'EDITING Artifact Optimizer'!Y103)</f>
        <v>5.76E+50</v>
      </c>
      <c r="AE17" s="93">
        <f t="shared" si="11"/>
        <v>0.009399373168</v>
      </c>
      <c r="AF17" s="8">
        <f t="shared" si="12"/>
        <v>0</v>
      </c>
      <c r="AG17">
        <f t="shared" si="13"/>
        <v>22</v>
      </c>
      <c r="AH17" s="1" t="str">
        <f t="shared" si="22"/>
        <v/>
      </c>
      <c r="AI17" s="1">
        <f t="shared" si="15"/>
        <v>4.20315E+18</v>
      </c>
      <c r="AJ17" s="149" t="s">
        <v>441</v>
      </c>
      <c r="AK17" s="210">
        <v>0.0</v>
      </c>
      <c r="AL17" s="210">
        <v>0.0</v>
      </c>
      <c r="AM17" s="210">
        <v>0.0</v>
      </c>
      <c r="AN17" s="210">
        <v>0.0</v>
      </c>
      <c r="AO17" s="210">
        <v>1.0</v>
      </c>
      <c r="AP17" s="1" t="b">
        <f t="shared" si="18"/>
        <v>0</v>
      </c>
      <c r="AQ17" t="str">
        <f t="shared" si="16"/>
        <v>Divine Retribution</v>
      </c>
      <c r="AR17" t="s">
        <v>442</v>
      </c>
      <c r="AU17" s="1" t="str">
        <f t="shared" si="21"/>
        <v/>
      </c>
      <c r="AV17" s="131">
        <v>434.0</v>
      </c>
      <c r="AZ17" t="str">
        <f>W21</f>
        <v/>
      </c>
      <c r="BA17" t="s">
        <v>431</v>
      </c>
      <c r="BB17" t="s">
        <v>431</v>
      </c>
      <c r="BC17" t="s">
        <v>431</v>
      </c>
      <c r="BD17" t="s">
        <v>431</v>
      </c>
      <c r="BE17" t="s">
        <v>431</v>
      </c>
      <c r="BF17" t="str">
        <f t="shared" si="20"/>
        <v>Heavenly Sword</v>
      </c>
    </row>
    <row r="18">
      <c r="A18" s="51" t="str">
        <f t="shared" si="1"/>
        <v>#35</v>
      </c>
      <c r="B18" s="102">
        <v>11000.0</v>
      </c>
      <c r="C18" s="54" t="str">
        <f t="shared" si="2"/>
        <v/>
      </c>
      <c r="D18" s="104" t="str">
        <f t="shared" si="3"/>
        <v>Drunken Hammer</v>
      </c>
      <c r="E18" s="43" t="str">
        <f t="shared" si="4"/>
        <v>A</v>
      </c>
      <c r="F18" s="106" t="s">
        <v>301</v>
      </c>
      <c r="G18" s="3"/>
      <c r="H18" s="222" t="s">
        <v>444</v>
      </c>
      <c r="M18" s="172"/>
      <c r="N18" s="3"/>
      <c r="O18" s="3"/>
      <c r="P18">
        <f>'EDITING Artifact Optimizer'!Q104</f>
        <v>0</v>
      </c>
      <c r="Q18">
        <f t="shared" si="5"/>
        <v>1.1E+19</v>
      </c>
      <c r="R18" t="b">
        <f t="shared" si="6"/>
        <v>1</v>
      </c>
      <c r="S18" t="b">
        <f t="shared" si="23"/>
        <v>1</v>
      </c>
      <c r="U18" t="b">
        <f t="shared" si="8"/>
        <v>1</v>
      </c>
      <c r="V18" s="127" t="s">
        <v>385</v>
      </c>
      <c r="W18" s="118" t="str">
        <f>image("https://vignette.wikia.nocookie.net/tap-titans-2/images/e/e8/Drunken_Hammer.png/revision/latest?cb=20171024233643")</f>
        <v/>
      </c>
      <c r="X18" s="70">
        <f t="shared" si="9"/>
        <v>0.6</v>
      </c>
      <c r="Y18" s="6">
        <f>1+'EDITING Artifact Optimizer'!S104*Q18 ^ (1 + ('EDITING Artifact Optimizer'!Y104-1)*min('EDITING Artifact Optimizer'!U104*Q18,'EDITING Artifact Optimizer'!T104))^'EDITING Artifact Optimizer'!V104</f>
        <v>3.49041E+20</v>
      </c>
      <c r="Z18">
        <f t="shared" si="10"/>
        <v>2203599659390</v>
      </c>
      <c r="AA18">
        <v>1.4077282147403573E32</v>
      </c>
      <c r="AB18">
        <f>Q18*'EDITING Artifact Optimizer'!W104</f>
        <v>3.3E+18</v>
      </c>
      <c r="AC18" s="7">
        <f>('EDITING Artifact Optimizer'!W104*Q18*$Y$16+$AB$89)/$AB$89</f>
        <v>1.069082455</v>
      </c>
      <c r="AD18">
        <f>('EDITING Artifact Optimizer'!X104/(1+'EDITING Artifact Optimizer'!Y104))*Q18^(1+'EDITING Artifact Optimizer'!Y104)</f>
        <v>5.73519E+50</v>
      </c>
      <c r="AE18" s="93">
        <f t="shared" si="11"/>
        <v>0.009358885732</v>
      </c>
      <c r="AF18" s="8">
        <f t="shared" si="12"/>
        <v>0</v>
      </c>
      <c r="AG18">
        <f t="shared" si="13"/>
        <v>35</v>
      </c>
      <c r="AH18" s="1" t="str">
        <f t="shared" si="22"/>
        <v/>
      </c>
      <c r="AI18" s="1">
        <f t="shared" si="15"/>
        <v>1</v>
      </c>
      <c r="AJ18" s="229" t="s">
        <v>446</v>
      </c>
      <c r="AK18" s="210">
        <v>0.0</v>
      </c>
      <c r="AL18" s="210">
        <v>0.0</v>
      </c>
      <c r="AM18" s="210">
        <v>0.0</v>
      </c>
      <c r="AN18" s="210">
        <v>1.0</v>
      </c>
      <c r="AO18" s="210">
        <v>0.0</v>
      </c>
      <c r="AP18" s="1" t="b">
        <f t="shared" si="18"/>
        <v>0</v>
      </c>
      <c r="AQ18" t="str">
        <f t="shared" si="16"/>
        <v>Drunken Hammer</v>
      </c>
      <c r="AR18" t="s">
        <v>447</v>
      </c>
      <c r="AV18" s="131">
        <v>613.0</v>
      </c>
      <c r="AZ18" t="str">
        <f t="shared" ref="AZ18:AZ90" si="24">W16</f>
        <v/>
      </c>
      <c r="BA18" t="s">
        <v>403</v>
      </c>
      <c r="BB18" t="s">
        <v>403</v>
      </c>
      <c r="BC18" t="s">
        <v>403</v>
      </c>
      <c r="BD18" t="s">
        <v>403</v>
      </c>
      <c r="BE18" t="s">
        <v>403</v>
      </c>
      <c r="BF18" t="str">
        <f t="shared" si="20"/>
        <v>Divine Retribution</v>
      </c>
    </row>
    <row r="19">
      <c r="A19" s="51" t="str">
        <f t="shared" si="1"/>
        <v>#34</v>
      </c>
      <c r="B19" s="102">
        <v>130.0</v>
      </c>
      <c r="C19" s="54" t="str">
        <f t="shared" si="2"/>
        <v/>
      </c>
      <c r="D19" s="104" t="str">
        <f t="shared" si="3"/>
        <v>Samosek Sword</v>
      </c>
      <c r="E19" s="43" t="str">
        <f t="shared" si="4"/>
        <v>A</v>
      </c>
      <c r="F19" s="106" t="s">
        <v>301</v>
      </c>
      <c r="G19" s="3"/>
      <c r="H19" s="232" t="s">
        <v>448</v>
      </c>
      <c r="I19" s="234"/>
      <c r="J19" s="234"/>
      <c r="K19" s="234"/>
      <c r="L19" s="236"/>
      <c r="M19" s="159"/>
      <c r="N19" s="3"/>
      <c r="O19" s="3"/>
      <c r="P19">
        <f>'EDITING Artifact Optimizer'!Q105</f>
        <v>0</v>
      </c>
      <c r="Q19">
        <f t="shared" si="5"/>
        <v>1.3E+17</v>
      </c>
      <c r="R19" t="b">
        <f t="shared" si="6"/>
        <v>1</v>
      </c>
      <c r="S19" t="b">
        <f t="shared" si="23"/>
        <v>1</v>
      </c>
      <c r="U19" t="b">
        <f t="shared" si="8"/>
        <v>1</v>
      </c>
      <c r="V19" s="176" t="s">
        <v>418</v>
      </c>
      <c r="W19" s="118" t="str">
        <f>image("https://vignette.wikia.nocookie.net/tap-titans-2/images/a/a2/Samosek_Sword.png/revision/latest?cb=20171024223128")</f>
        <v/>
      </c>
      <c r="X19" s="70">
        <f t="shared" si="9"/>
        <v>0.6</v>
      </c>
      <c r="Y19" s="6">
        <f>1+'EDITING Artifact Optimizer'!S105*Q19 ^ (1 + ('EDITING Artifact Optimizer'!Y105-1)*min('EDITING Artifact Optimizer'!U105*Q19,'EDITING Artifact Optimizer'!T105))^'EDITING Artifact Optimizer'!V105</f>
        <v>4.59646E+18</v>
      </c>
      <c r="Z19">
        <f t="shared" si="10"/>
        <v>157691649337</v>
      </c>
      <c r="AA19">
        <v>1.183E34</v>
      </c>
      <c r="AB19">
        <f>Q19*'EDITING Artifact Optimizer'!W105</f>
        <v>6.5E+16</v>
      </c>
      <c r="AC19" s="7">
        <f>('EDITING Artifact Optimizer'!W105*Q19*$Y$16+$AB$89)/$AB$89</f>
        <v>1.001360715</v>
      </c>
      <c r="AD19">
        <f>('EDITING Artifact Optimizer'!X105/(1+'EDITING Artifact Optimizer'!Y105))*Q19^(1+'EDITING Artifact Optimizer'!Y105)</f>
        <v>5.12633E+50</v>
      </c>
      <c r="AE19" s="93">
        <f t="shared" si="11"/>
        <v>0.008365333331</v>
      </c>
      <c r="AF19" s="8">
        <f t="shared" si="12"/>
        <v>0</v>
      </c>
      <c r="AG19">
        <f t="shared" si="13"/>
        <v>34</v>
      </c>
      <c r="AH19" s="1" t="str">
        <f t="shared" si="22"/>
        <v/>
      </c>
      <c r="AI19" s="1">
        <f t="shared" si="15"/>
        <v>1</v>
      </c>
      <c r="AJ19" s="242" t="s">
        <v>454</v>
      </c>
      <c r="AK19" s="210">
        <v>0.0</v>
      </c>
      <c r="AL19" s="210">
        <v>1.0</v>
      </c>
      <c r="AM19" s="210">
        <v>0.0</v>
      </c>
      <c r="AN19" s="210">
        <v>0.0</v>
      </c>
      <c r="AO19" s="210">
        <v>0.0</v>
      </c>
      <c r="AP19" s="1" t="b">
        <f t="shared" si="18"/>
        <v>0</v>
      </c>
      <c r="AQ19" t="str">
        <f t="shared" si="16"/>
        <v>Samosek Sword</v>
      </c>
      <c r="AR19" t="s">
        <v>455</v>
      </c>
      <c r="AV19" s="131">
        <v>861.0</v>
      </c>
      <c r="AZ19" t="str">
        <f t="shared" si="24"/>
        <v/>
      </c>
      <c r="BA19" t="s">
        <v>403</v>
      </c>
      <c r="BB19" t="s">
        <v>403</v>
      </c>
      <c r="BC19" t="s">
        <v>403</v>
      </c>
      <c r="BD19" t="s">
        <v>403</v>
      </c>
      <c r="BE19" t="s">
        <v>403</v>
      </c>
      <c r="BF19" t="str">
        <f t="shared" si="20"/>
        <v>Drunken Hammer</v>
      </c>
    </row>
    <row r="20">
      <c r="A20" s="51" t="str">
        <f t="shared" si="1"/>
        <v>#24</v>
      </c>
      <c r="B20" s="102">
        <v>12000.0</v>
      </c>
      <c r="C20" s="54" t="str">
        <f t="shared" si="2"/>
        <v/>
      </c>
      <c r="D20" s="104" t="str">
        <f t="shared" si="3"/>
        <v>The Retaliator</v>
      </c>
      <c r="E20" s="43" t="str">
        <f t="shared" si="4"/>
        <v>A</v>
      </c>
      <c r="F20" s="106" t="s">
        <v>301</v>
      </c>
      <c r="G20" s="3"/>
      <c r="H20" s="43"/>
      <c r="J20" s="246" t="s">
        <v>456</v>
      </c>
      <c r="K20" s="247" t="s">
        <v>5</v>
      </c>
      <c r="L20" s="248" t="s">
        <v>223</v>
      </c>
      <c r="M20" s="159"/>
      <c r="N20" s="3"/>
      <c r="O20" s="3"/>
      <c r="P20">
        <f>'EDITING Artifact Optimizer'!Q106</f>
        <v>0</v>
      </c>
      <c r="Q20">
        <f t="shared" si="5"/>
        <v>1.2E+19</v>
      </c>
      <c r="R20" t="b">
        <f t="shared" si="6"/>
        <v>1</v>
      </c>
      <c r="S20" t="b">
        <f t="shared" si="23"/>
        <v>1</v>
      </c>
      <c r="U20" t="b">
        <f t="shared" si="8"/>
        <v>1</v>
      </c>
      <c r="V20" s="4" t="s">
        <v>420</v>
      </c>
      <c r="W20" s="118" t="str">
        <f>image("https://vignette.wikia.nocookie.net/tap-titans-2/images/a/ae/The_Retaliator.png/revision/latest?cb=20171117220555")</f>
        <v/>
      </c>
      <c r="X20" s="70">
        <f t="shared" si="9"/>
        <v>1</v>
      </c>
      <c r="Y20" s="6">
        <f>1+'EDITING Artifact Optimizer'!S106*Q20 ^ (1 + ('EDITING Artifact Optimizer'!Y106-1)*min('EDITING Artifact Optimizer'!U106*Q20,'EDITING Artifact Optimizer'!T106))^'EDITING Artifact Optimizer'!V106</f>
        <v>3.8515E+20</v>
      </c>
      <c r="Z20">
        <f t="shared" si="10"/>
        <v>4.045E+20</v>
      </c>
      <c r="AA20">
        <v>1.632147366689601E32</v>
      </c>
      <c r="AB20">
        <f>Q20*'EDITING Artifact Optimizer'!W106</f>
        <v>2.4E+18</v>
      </c>
      <c r="AC20" s="7">
        <f>('EDITING Artifact Optimizer'!W106*Q20*$Y$16+$AB$89)/$AB$89</f>
        <v>1.050241785</v>
      </c>
      <c r="AD20">
        <f>('EDITING Artifact Optimizer'!X106/(1+'EDITING Artifact Optimizer'!Y106))*Q20^(1+'EDITING Artifact Optimizer'!Y106)</f>
        <v>7.25399E+50</v>
      </c>
      <c r="AE20" s="93">
        <f t="shared" si="11"/>
        <v>0.01183731649</v>
      </c>
      <c r="AF20" s="8">
        <f t="shared" si="12"/>
        <v>0</v>
      </c>
      <c r="AG20">
        <f t="shared" si="13"/>
        <v>24</v>
      </c>
      <c r="AH20" s="1" t="str">
        <f t="shared" si="22"/>
        <v/>
      </c>
      <c r="AI20" s="1">
        <f t="shared" si="15"/>
        <v>4.045E+20</v>
      </c>
      <c r="AJ20" s="253" t="s">
        <v>459</v>
      </c>
      <c r="AK20" s="210">
        <v>0.0</v>
      </c>
      <c r="AL20" s="210">
        <v>1.0</v>
      </c>
      <c r="AM20" s="210">
        <v>1.0</v>
      </c>
      <c r="AN20" s="210">
        <v>0.0</v>
      </c>
      <c r="AO20" s="210">
        <v>1.0</v>
      </c>
      <c r="AP20" s="1" t="b">
        <f t="shared" si="18"/>
        <v>0</v>
      </c>
      <c r="AQ20" t="str">
        <f t="shared" si="16"/>
        <v>The Retaliator</v>
      </c>
      <c r="AR20" t="s">
        <v>461</v>
      </c>
      <c r="AV20" s="131">
        <v>1203.0</v>
      </c>
      <c r="AZ20" t="str">
        <f t="shared" si="24"/>
        <v/>
      </c>
      <c r="BA20" t="s">
        <v>403</v>
      </c>
      <c r="BB20" t="s">
        <v>403</v>
      </c>
      <c r="BC20" t="s">
        <v>403</v>
      </c>
      <c r="BD20" t="s">
        <v>403</v>
      </c>
      <c r="BE20" t="s">
        <v>422</v>
      </c>
      <c r="BF20" t="str">
        <f t="shared" si="20"/>
        <v>Samosek Sword</v>
      </c>
    </row>
    <row r="21" ht="15.75" customHeight="1">
      <c r="A21" s="51" t="str">
        <f t="shared" si="1"/>
        <v>#23</v>
      </c>
      <c r="B21" s="102">
        <v>130.0</v>
      </c>
      <c r="C21" s="54" t="str">
        <f t="shared" si="2"/>
        <v/>
      </c>
      <c r="D21" s="104" t="str">
        <f t="shared" si="3"/>
        <v>Stryfe's Peace</v>
      </c>
      <c r="E21" s="43" t="str">
        <f t="shared" si="4"/>
        <v>A</v>
      </c>
      <c r="F21" s="137" t="s">
        <v>301</v>
      </c>
      <c r="G21" s="3"/>
      <c r="H21" s="255"/>
      <c r="I21" s="56" t="str">
        <f t="shared" ref="I21:I54" si="26">W55</f>
        <v/>
      </c>
      <c r="J21" s="56" t="s">
        <v>462</v>
      </c>
      <c r="K21" s="43" t="str">
        <f t="shared" ref="K21:K54" si="27">INDEX($BA$57:$BE$90,COUNTIF($J$21:J21,"&lt;&gt;"""),MATCH($AY$4,$BA$4:$BE$4,0))</f>
        <v>B</v>
      </c>
      <c r="L21" s="256" t="s">
        <v>301</v>
      </c>
      <c r="M21" s="159"/>
      <c r="N21" s="3"/>
      <c r="O21" s="3"/>
      <c r="P21">
        <f>'EDITING Artifact Optimizer'!Q107</f>
        <v>0</v>
      </c>
      <c r="Q21">
        <f t="shared" si="5"/>
        <v>1.3E+17</v>
      </c>
      <c r="R21" t="b">
        <f t="shared" si="6"/>
        <v>1</v>
      </c>
      <c r="S21" t="b">
        <f t="shared" si="23"/>
        <v>1</v>
      </c>
      <c r="U21" t="b">
        <f t="shared" si="8"/>
        <v>1</v>
      </c>
      <c r="V21" s="1" t="s">
        <v>463</v>
      </c>
      <c r="W21" t="str">
        <f>image("https://i.imgur.com/OEc7gTc.png")</f>
        <v/>
      </c>
      <c r="X21" s="70">
        <f t="shared" si="9"/>
        <v>1.2</v>
      </c>
      <c r="Y21" s="6">
        <f>1+'EDITING Artifact Optimizer'!S107*Q21 ^ (1 + ('EDITING Artifact Optimizer'!Y107-1)*min('EDITING Artifact Optimizer'!U107*Q21,'EDITING Artifact Optimizer'!T107))^'EDITING Artifact Optimizer'!V107</f>
        <v>1.83859E+18</v>
      </c>
      <c r="Z21">
        <f t="shared" si="10"/>
        <v>8.29463E+21</v>
      </c>
      <c r="AA21">
        <v>1.69E34</v>
      </c>
      <c r="AB21">
        <f>Q21*'EDITING Artifact Optimizer'!W107</f>
        <v>1.3E+17</v>
      </c>
      <c r="AC21" s="7">
        <f>('EDITING Artifact Optimizer'!W107*Q21*$Y$16+$AB$89)/$AB$89</f>
        <v>1.00272143</v>
      </c>
      <c r="AD21">
        <f>('EDITING Artifact Optimizer'!X107/(1+'EDITING Artifact Optimizer'!Y107))*Q21^(1+'EDITING Artifact Optimizer'!Y107)</f>
        <v>7.32333E+50</v>
      </c>
      <c r="AE21" s="93">
        <f t="shared" si="11"/>
        <v>0.01195047619</v>
      </c>
      <c r="AF21" s="8">
        <f t="shared" si="12"/>
        <v>0</v>
      </c>
      <c r="AG21">
        <f t="shared" si="13"/>
        <v>23</v>
      </c>
      <c r="AH21" s="1" t="str">
        <f t="shared" si="22"/>
        <v/>
      </c>
      <c r="AI21" s="1">
        <f t="shared" si="15"/>
        <v>8.29463E+21</v>
      </c>
      <c r="AJ21" s="258" t="s">
        <v>465</v>
      </c>
      <c r="AK21">
        <f t="shared" ref="AK21:AO21" si="25">2*AK6+2*AK5+2*AK6+2</f>
        <v>4</v>
      </c>
      <c r="AL21">
        <f t="shared" si="25"/>
        <v>6</v>
      </c>
      <c r="AM21">
        <f t="shared" si="25"/>
        <v>5.6</v>
      </c>
      <c r="AN21">
        <f t="shared" si="25"/>
        <v>6</v>
      </c>
      <c r="AO21">
        <f t="shared" si="25"/>
        <v>6</v>
      </c>
      <c r="AP21" s="1" t="b">
        <f t="shared" si="18"/>
        <v>0</v>
      </c>
      <c r="AQ21" t="str">
        <f t="shared" si="16"/>
        <v>Stryfe's Peace</v>
      </c>
      <c r="AR21" s="1" t="s">
        <v>466</v>
      </c>
      <c r="AV21" s="131">
        <v>1675.0</v>
      </c>
      <c r="AZ21" t="str">
        <f t="shared" si="24"/>
        <v/>
      </c>
      <c r="BA21" t="s">
        <v>403</v>
      </c>
      <c r="BB21" t="s">
        <v>403</v>
      </c>
      <c r="BC21" t="s">
        <v>403</v>
      </c>
      <c r="BD21" t="s">
        <v>403</v>
      </c>
      <c r="BE21" t="s">
        <v>403</v>
      </c>
      <c r="BF21" t="str">
        <f t="shared" si="20"/>
        <v>The Retaliator</v>
      </c>
    </row>
    <row r="22" ht="15.75" customHeight="1">
      <c r="A22" s="51" t="str">
        <f t="shared" si="1"/>
        <v>#38</v>
      </c>
      <c r="B22" s="102">
        <v>19000.0</v>
      </c>
      <c r="C22" s="54" t="str">
        <f t="shared" si="2"/>
        <v/>
      </c>
      <c r="D22" s="104" t="str">
        <f t="shared" si="3"/>
        <v>Hero's Blade</v>
      </c>
      <c r="E22" s="43" t="str">
        <f t="shared" si="4"/>
        <v>A</v>
      </c>
      <c r="F22" s="137" t="s">
        <v>301</v>
      </c>
      <c r="G22" s="3"/>
      <c r="H22" s="259"/>
      <c r="I22" s="104" t="str">
        <f t="shared" si="26"/>
        <v/>
      </c>
      <c r="J22" s="104" t="s">
        <v>468</v>
      </c>
      <c r="K22" s="43" t="str">
        <f t="shared" si="27"/>
        <v>B</v>
      </c>
      <c r="L22" s="106" t="s">
        <v>301</v>
      </c>
      <c r="M22" s="159"/>
      <c r="N22" s="3"/>
      <c r="O22" s="3"/>
      <c r="P22">
        <f>'EDITING Artifact Optimizer'!Q108</f>
        <v>0</v>
      </c>
      <c r="Q22">
        <f t="shared" si="5"/>
        <v>1.9E+19</v>
      </c>
      <c r="R22" t="b">
        <f t="shared" si="6"/>
        <v>1</v>
      </c>
      <c r="S22" t="b">
        <f t="shared" si="23"/>
        <v>1</v>
      </c>
      <c r="U22" t="b">
        <f t="shared" si="8"/>
        <v>1</v>
      </c>
      <c r="V22" s="149" t="s">
        <v>395</v>
      </c>
      <c r="W22" s="118" t="str">
        <f>image("https://vignette.wikia.nocookie.net/tap-titans-2/images/5/5e/Hero%27s_Blade.png/revision/latest?cb=20170927233654")</f>
        <v/>
      </c>
      <c r="X22" s="70">
        <f t="shared" si="9"/>
        <v>0.6</v>
      </c>
      <c r="Y22" s="6">
        <f>1+'EDITING Artifact Optimizer'!S108*Q22 ^ (1 + ('EDITING Artifact Optimizer'!Y108-1)*min('EDITING Artifact Optimizer'!U108*Q22,'EDITING Artifact Optimizer'!T108))^'EDITING Artifact Optimizer'!V108</f>
        <v>9.71653E+20</v>
      </c>
      <c r="Z22">
        <f t="shared" si="10"/>
        <v>4362854507764</v>
      </c>
      <c r="AA22">
        <v>4.158906547038058E32</v>
      </c>
      <c r="AB22">
        <f>Q22*'EDITING Artifact Optimizer'!W108</f>
        <v>9.5E+18</v>
      </c>
      <c r="AC22" s="7">
        <f>('EDITING Artifact Optimizer'!W108*Q22*$Y$16+$AB$89)/$AB$89</f>
        <v>1.198873733</v>
      </c>
      <c r="AD22">
        <f>('EDITING Artifact Optimizer'!X108/(1+'EDITING Artifact Optimizer'!Y108))*Q22^(1+'EDITING Artifact Optimizer'!Y108)</f>
        <v>2.92664E+51</v>
      </c>
      <c r="AE22" s="93">
        <f t="shared" si="11"/>
        <v>0.04775792037</v>
      </c>
      <c r="AF22" s="8">
        <f t="shared" si="12"/>
        <v>0</v>
      </c>
      <c r="AG22">
        <f t="shared" si="13"/>
        <v>38</v>
      </c>
      <c r="AH22" s="1" t="str">
        <f t="shared" si="22"/>
        <v/>
      </c>
      <c r="AI22" s="1">
        <f t="shared" si="15"/>
        <v>1</v>
      </c>
      <c r="AJ22" s="258" t="s">
        <v>469</v>
      </c>
      <c r="AK22" s="210">
        <f t="shared" ref="AK22:AO22" si="28">2*AK12</f>
        <v>1.58</v>
      </c>
      <c r="AL22" s="210">
        <f t="shared" si="28"/>
        <v>1.58</v>
      </c>
      <c r="AM22" s="210">
        <f t="shared" si="28"/>
        <v>1.58</v>
      </c>
      <c r="AN22" s="210">
        <f t="shared" si="28"/>
        <v>1.58</v>
      </c>
      <c r="AO22" s="210">
        <f t="shared" si="28"/>
        <v>1.58</v>
      </c>
      <c r="AP22" s="1" t="b">
        <f t="shared" si="18"/>
        <v>0</v>
      </c>
      <c r="AQ22" t="str">
        <f t="shared" si="16"/>
        <v>Hero's Blade</v>
      </c>
      <c r="AR22" t="s">
        <v>470</v>
      </c>
      <c r="AV22" s="131">
        <v>2323.0</v>
      </c>
      <c r="AZ22" t="str">
        <f t="shared" si="24"/>
        <v/>
      </c>
      <c r="BA22" t="s">
        <v>403</v>
      </c>
      <c r="BB22" t="s">
        <v>403</v>
      </c>
      <c r="BC22" t="s">
        <v>403</v>
      </c>
      <c r="BD22" t="s">
        <v>403</v>
      </c>
      <c r="BE22" t="s">
        <v>403</v>
      </c>
      <c r="BF22" t="str">
        <f t="shared" si="20"/>
        <v>Stryfe's Peace</v>
      </c>
    </row>
    <row r="23" ht="15.75" customHeight="1">
      <c r="A23" s="51" t="str">
        <f t="shared" si="1"/>
        <v>#47</v>
      </c>
      <c r="B23" s="102">
        <v>1200.0</v>
      </c>
      <c r="C23" s="54" t="str">
        <f t="shared" si="2"/>
        <v/>
      </c>
      <c r="D23" s="104" t="str">
        <f t="shared" si="3"/>
        <v>The Sword of Storms</v>
      </c>
      <c r="E23" s="43" t="str">
        <f t="shared" si="4"/>
        <v>A</v>
      </c>
      <c r="F23" s="106" t="s">
        <v>301</v>
      </c>
      <c r="G23" s="3"/>
      <c r="H23" s="262"/>
      <c r="I23" s="104" t="str">
        <f t="shared" si="26"/>
        <v/>
      </c>
      <c r="J23" s="104" t="s">
        <v>472</v>
      </c>
      <c r="K23" s="43" t="str">
        <f t="shared" si="27"/>
        <v>C</v>
      </c>
      <c r="L23" s="106" t="s">
        <v>301</v>
      </c>
      <c r="M23" s="159"/>
      <c r="N23" s="3"/>
      <c r="O23" s="61" t="s">
        <v>473</v>
      </c>
      <c r="P23">
        <f>'EDITING Artifact Optimizer'!Q109</f>
        <v>0</v>
      </c>
      <c r="Q23">
        <f t="shared" si="5"/>
        <v>1.2E+18</v>
      </c>
      <c r="R23" t="b">
        <f t="shared" si="6"/>
        <v>1</v>
      </c>
      <c r="S23" t="b">
        <f t="shared" si="23"/>
        <v>1</v>
      </c>
      <c r="T23" t="b">
        <f>IF(J8&lt;&gt;"Melee",false,true)</f>
        <v>0</v>
      </c>
      <c r="U23" t="b">
        <f t="shared" si="8"/>
        <v>0</v>
      </c>
      <c r="V23" s="149" t="s">
        <v>395</v>
      </c>
      <c r="W23" s="118" t="str">
        <f>image("https://vignette.wikia.nocookie.net/tap-titans-2/images/5/5a/The_Sword_of_Storms.png/revision/latest?cb=20171024234124")</f>
        <v/>
      </c>
      <c r="X23" s="70">
        <f t="shared" si="9"/>
        <v>0.6</v>
      </c>
      <c r="Y23" s="6">
        <f>1+'EDITING Artifact Optimizer'!S109*Q23 ^ (1 + ('EDITING Artifact Optimizer'!Y109-1)*min('EDITING Artifact Optimizer'!U109*Q23,'EDITING Artifact Optimizer'!T109))^'EDITING Artifact Optimizer'!V109</f>
        <v>5.69231E+19</v>
      </c>
      <c r="Z23">
        <f t="shared" si="10"/>
        <v>716357152354</v>
      </c>
      <c r="AA23">
        <v>3.79932248877003E30</v>
      </c>
      <c r="AB23">
        <f>Q23*'EDITING Artifact Optimizer'!W109</f>
        <v>3.6E+17</v>
      </c>
      <c r="AC23" s="7">
        <f>('EDITING Artifact Optimizer'!W109*Q23*$Y$16+$AB$89)/$AB$89</f>
        <v>1.007536268</v>
      </c>
      <c r="AD23">
        <f>('EDITING Artifact Optimizer'!X109/(1+'EDITING Artifact Optimizer'!Y109))*Q23^(1+'EDITING Artifact Optimizer'!Y109)</f>
        <v>1.68859E+48</v>
      </c>
      <c r="AE23" s="93">
        <f t="shared" si="11"/>
        <v>0.00002755497674</v>
      </c>
      <c r="AF23" s="8">
        <f t="shared" si="12"/>
        <v>0</v>
      </c>
      <c r="AG23">
        <f t="shared" si="13"/>
        <v>47</v>
      </c>
      <c r="AH23" s="1" t="str">
        <f t="shared" si="22"/>
        <v/>
      </c>
      <c r="AI23" s="1">
        <f t="shared" si="15"/>
        <v>1</v>
      </c>
      <c r="AJ23" s="258" t="s">
        <v>474</v>
      </c>
      <c r="AK23" s="128">
        <f t="shared" ref="AK23:AO23" si="29">AK24+AK25+AK27+AK12+AK31</f>
        <v>3.79</v>
      </c>
      <c r="AL23" s="128">
        <f t="shared" si="29"/>
        <v>4.29</v>
      </c>
      <c r="AM23" s="128">
        <f t="shared" si="29"/>
        <v>4.39</v>
      </c>
      <c r="AN23" s="128">
        <f t="shared" si="29"/>
        <v>3.59</v>
      </c>
      <c r="AO23" s="128">
        <f t="shared" si="29"/>
        <v>4.79</v>
      </c>
      <c r="AP23" s="1" t="b">
        <f t="shared" si="18"/>
        <v>0</v>
      </c>
      <c r="AQ23" t="str">
        <f t="shared" si="16"/>
        <v>The Sword of Storms</v>
      </c>
      <c r="AR23" t="s">
        <v>475</v>
      </c>
      <c r="AV23" s="131">
        <v>3212.0</v>
      </c>
      <c r="AZ23" t="str">
        <f t="shared" si="24"/>
        <v/>
      </c>
      <c r="BA23" t="s">
        <v>403</v>
      </c>
      <c r="BB23" t="s">
        <v>403</v>
      </c>
      <c r="BC23" t="s">
        <v>403</v>
      </c>
      <c r="BD23" t="s">
        <v>403</v>
      </c>
      <c r="BE23" t="s">
        <v>403</v>
      </c>
      <c r="BF23" t="str">
        <f t="shared" si="20"/>
        <v>Hero's Blade</v>
      </c>
    </row>
    <row r="24" ht="15.75" customHeight="1">
      <c r="A24" s="51" t="str">
        <f t="shared" si="1"/>
        <v>#16</v>
      </c>
      <c r="B24" s="102">
        <v>8000.0</v>
      </c>
      <c r="C24" s="54" t="str">
        <f t="shared" si="2"/>
        <v/>
      </c>
      <c r="D24" s="104" t="str">
        <f t="shared" si="3"/>
        <v>Furies Bow</v>
      </c>
      <c r="E24" s="43" t="str">
        <f t="shared" si="4"/>
        <v>A</v>
      </c>
      <c r="F24" s="106" t="s">
        <v>301</v>
      </c>
      <c r="G24" s="3"/>
      <c r="H24" s="262"/>
      <c r="I24" s="104" t="str">
        <f t="shared" si="26"/>
        <v/>
      </c>
      <c r="J24" s="104" t="s">
        <v>477</v>
      </c>
      <c r="K24" s="43" t="str">
        <f t="shared" si="27"/>
        <v>C</v>
      </c>
      <c r="L24" s="106" t="s">
        <v>301</v>
      </c>
      <c r="M24" s="159"/>
      <c r="N24" s="3"/>
      <c r="O24" s="3"/>
      <c r="P24">
        <f>'EDITING Artifact Optimizer'!Q110</f>
        <v>0</v>
      </c>
      <c r="Q24">
        <f t="shared" si="5"/>
        <v>8E+18</v>
      </c>
      <c r="R24" t="b">
        <f t="shared" si="6"/>
        <v>1</v>
      </c>
      <c r="S24" t="b">
        <f t="shared" si="23"/>
        <v>1</v>
      </c>
      <c r="T24" t="b">
        <f>IF(J8&lt;&gt;"Ranged",false,true)</f>
        <v>1</v>
      </c>
      <c r="U24" t="b">
        <f t="shared" si="8"/>
        <v>1</v>
      </c>
      <c r="V24" s="149" t="s">
        <v>395</v>
      </c>
      <c r="W24" s="118" t="str">
        <f>image("https://vignette.wikia.nocookie.net/tap-titans-2/images/9/9f/Furies_Bow.png/revision/latest?cb=20171024233706")</f>
        <v/>
      </c>
      <c r="X24" s="70">
        <f t="shared" si="9"/>
        <v>0.6</v>
      </c>
      <c r="Y24" s="6">
        <f>1+'EDITING Artifact Optimizer'!S110*Q24 ^ (1 + ('EDITING Artifact Optimizer'!Y110-1)*min('EDITING Artifact Optimizer'!U110*Q24,'EDITING Artifact Optimizer'!T110))^'EDITING Artifact Optimizer'!V110</f>
        <v>4.86895E+20</v>
      </c>
      <c r="Z24">
        <f t="shared" si="10"/>
        <v>2662162514648</v>
      </c>
      <c r="AA24">
        <v>9.557647694440104E31</v>
      </c>
      <c r="AB24">
        <f>Q24*'EDITING Artifact Optimizer'!W110</f>
        <v>2.4E+18</v>
      </c>
      <c r="AC24" s="7">
        <f>('EDITING Artifact Optimizer'!W110*Q24*$Y$16+$AB$89)/$AB$89</f>
        <v>1.050241785</v>
      </c>
      <c r="AD24">
        <f>('EDITING Artifact Optimizer'!X110/(1+'EDITING Artifact Optimizer'!Y110))*Q24^(1+'EDITING Artifact Optimizer'!Y110)</f>
        <v>2.8319E+50</v>
      </c>
      <c r="AE24" s="93">
        <f t="shared" si="11"/>
        <v>0.004621188132</v>
      </c>
      <c r="AF24" s="8">
        <f t="shared" si="12"/>
        <v>0</v>
      </c>
      <c r="AG24">
        <f t="shared" si="13"/>
        <v>16</v>
      </c>
      <c r="AH24" s="1" t="str">
        <f t="shared" si="22"/>
        <v/>
      </c>
      <c r="AI24" s="1">
        <f t="shared" si="15"/>
        <v>2662162514648</v>
      </c>
      <c r="AJ24" s="258" t="s">
        <v>501</v>
      </c>
      <c r="AK24" s="210">
        <v>1.0</v>
      </c>
      <c r="AL24" s="128">
        <f t="shared" ref="AL24:AN24" si="30">AL11</f>
        <v>1</v>
      </c>
      <c r="AM24" s="128">
        <f t="shared" si="30"/>
        <v>1</v>
      </c>
      <c r="AN24" s="128">
        <f t="shared" si="30"/>
        <v>1</v>
      </c>
      <c r="AO24" s="128">
        <f>AO6</f>
        <v>1</v>
      </c>
      <c r="AP24" s="1" t="b">
        <f t="shared" si="18"/>
        <v>0</v>
      </c>
      <c r="AQ24" t="str">
        <f t="shared" si="16"/>
        <v>Furies Bow</v>
      </c>
      <c r="AR24" t="s">
        <v>502</v>
      </c>
      <c r="AV24" s="131">
        <v>4430.0</v>
      </c>
      <c r="AZ24" t="str">
        <f t="shared" si="24"/>
        <v/>
      </c>
      <c r="BA24" t="s">
        <v>403</v>
      </c>
      <c r="BB24" t="s">
        <v>403</v>
      </c>
      <c r="BC24" t="s">
        <v>403</v>
      </c>
      <c r="BD24" t="s">
        <v>403</v>
      </c>
      <c r="BE24" t="s">
        <v>403</v>
      </c>
      <c r="BF24" t="str">
        <f t="shared" si="20"/>
        <v>The Sword of Storms</v>
      </c>
    </row>
    <row r="25" ht="15.75" customHeight="1">
      <c r="A25" s="51" t="str">
        <f t="shared" si="1"/>
        <v>#46</v>
      </c>
      <c r="B25" s="102">
        <v>200.0</v>
      </c>
      <c r="C25" s="54" t="str">
        <f t="shared" si="2"/>
        <v/>
      </c>
      <c r="D25" s="104" t="str">
        <f t="shared" si="3"/>
        <v>Charm of the Ancient</v>
      </c>
      <c r="E25" s="43" t="str">
        <f t="shared" si="4"/>
        <v>A</v>
      </c>
      <c r="F25" s="106" t="s">
        <v>301</v>
      </c>
      <c r="G25" s="3"/>
      <c r="H25" s="262"/>
      <c r="I25" s="104" t="str">
        <f t="shared" si="26"/>
        <v/>
      </c>
      <c r="J25" s="104" t="s">
        <v>503</v>
      </c>
      <c r="K25" s="43" t="str">
        <f t="shared" si="27"/>
        <v>C</v>
      </c>
      <c r="L25" s="106" t="s">
        <v>301</v>
      </c>
      <c r="M25" s="159"/>
      <c r="N25" s="3"/>
      <c r="O25" s="3"/>
      <c r="P25">
        <f>'EDITING Artifact Optimizer'!Q111</f>
        <v>0</v>
      </c>
      <c r="Q25">
        <f t="shared" si="5"/>
        <v>2E+17</v>
      </c>
      <c r="R25" t="b">
        <f t="shared" si="6"/>
        <v>1</v>
      </c>
      <c r="S25" t="b">
        <f t="shared" si="23"/>
        <v>1</v>
      </c>
      <c r="T25" t="b">
        <f>IF(J8&lt;&gt;"Spell",false,true)</f>
        <v>0</v>
      </c>
      <c r="U25" t="b">
        <f t="shared" si="8"/>
        <v>0</v>
      </c>
      <c r="V25" s="149" t="s">
        <v>395</v>
      </c>
      <c r="W25" s="118" t="str">
        <f>image("https://vignette.wikia.nocookie.net/tap-titans-2/images/e/e9/Charm_of_the_Ancient.png/revision/latest?cb=20171024233634")</f>
        <v/>
      </c>
      <c r="X25" s="70">
        <f t="shared" si="9"/>
        <v>0.6</v>
      </c>
      <c r="Y25" s="6">
        <f>1+'EDITING Artifact Optimizer'!S111*Q25 ^ (1 + ('EDITING Artifact Optimizer'!Y111-1)*min('EDITING Artifact Optimizer'!U111*Q25,'EDITING Artifact Optimizer'!T111))^'EDITING Artifact Optimizer'!V111</f>
        <v>7.49741E+18</v>
      </c>
      <c r="Z25">
        <f t="shared" si="10"/>
        <v>211482138906</v>
      </c>
      <c r="AA25">
        <v>1.8065460340150013E29</v>
      </c>
      <c r="AB25">
        <f>Q25*'EDITING Artifact Optimizer'!W111</f>
        <v>6E+16</v>
      </c>
      <c r="AC25" s="7">
        <f>('EDITING Artifact Optimizer'!W111*Q25*$Y$16+$AB$89)/$AB$89</f>
        <v>1.001256045</v>
      </c>
      <c r="AD25">
        <f>('EDITING Artifact Optimizer'!X111/(1+'EDITING Artifact Optimizer'!Y111))*Q25^(1+'EDITING Artifact Optimizer'!Y111)</f>
        <v>1.33818E+46</v>
      </c>
      <c r="AE25" s="93">
        <f t="shared" si="11"/>
        <v>0.0000002183693457</v>
      </c>
      <c r="AF25" s="8">
        <f t="shared" si="12"/>
        <v>0</v>
      </c>
      <c r="AG25">
        <f t="shared" si="13"/>
        <v>46</v>
      </c>
      <c r="AH25" s="1" t="str">
        <f t="shared" si="22"/>
        <v/>
      </c>
      <c r="AI25" s="1">
        <f t="shared" si="15"/>
        <v>1</v>
      </c>
      <c r="AJ25" s="258" t="s">
        <v>513</v>
      </c>
      <c r="AK25" s="128">
        <f>AK10</f>
        <v>1</v>
      </c>
      <c r="AL25" s="128">
        <f t="shared" ref="AL25:AM25" si="31">AL6</f>
        <v>0.5</v>
      </c>
      <c r="AM25" s="128">
        <f t="shared" si="31"/>
        <v>0.6</v>
      </c>
      <c r="AN25" s="128">
        <f>AN10</f>
        <v>0.8</v>
      </c>
      <c r="AO25" s="128">
        <f>AO6</f>
        <v>1</v>
      </c>
      <c r="AP25" s="1" t="b">
        <f t="shared" si="18"/>
        <v>0</v>
      </c>
      <c r="AQ25" t="str">
        <f t="shared" si="16"/>
        <v>Charm of the Ancient</v>
      </c>
      <c r="AR25" t="s">
        <v>514</v>
      </c>
      <c r="AV25" s="131">
        <v>6094.0</v>
      </c>
      <c r="AW25" s="278"/>
      <c r="AX25" s="278"/>
      <c r="AZ25" t="str">
        <f t="shared" si="24"/>
        <v/>
      </c>
      <c r="BA25" t="s">
        <v>403</v>
      </c>
      <c r="BB25" t="s">
        <v>403</v>
      </c>
      <c r="BC25" t="s">
        <v>403</v>
      </c>
      <c r="BD25" t="s">
        <v>403</v>
      </c>
      <c r="BE25" t="s">
        <v>403</v>
      </c>
      <c r="BF25" t="str">
        <f t="shared" si="20"/>
        <v>Furies Bow</v>
      </c>
    </row>
    <row r="26" ht="15.75" customHeight="1">
      <c r="A26" s="51" t="str">
        <f t="shared" si="1"/>
        <v>#15</v>
      </c>
      <c r="B26" s="102">
        <v>8000.0</v>
      </c>
      <c r="C26" s="54" t="str">
        <f t="shared" si="2"/>
        <v/>
      </c>
      <c r="D26" s="104" t="str">
        <f t="shared" si="3"/>
        <v>Tiny Titan Tree</v>
      </c>
      <c r="E26" s="43" t="str">
        <f t="shared" si="4"/>
        <v>A</v>
      </c>
      <c r="F26" s="106" t="s">
        <v>301</v>
      </c>
      <c r="G26" s="3"/>
      <c r="H26" s="262"/>
      <c r="I26" s="104" t="str">
        <f t="shared" si="26"/>
        <v/>
      </c>
      <c r="J26" s="104" t="s">
        <v>516</v>
      </c>
      <c r="K26" s="43" t="str">
        <f t="shared" si="27"/>
        <v>C</v>
      </c>
      <c r="L26" s="106" t="s">
        <v>301</v>
      </c>
      <c r="M26" s="159"/>
      <c r="N26" s="3"/>
      <c r="O26" s="3"/>
      <c r="P26">
        <f>'EDITING Artifact Optimizer'!Q112</f>
        <v>0</v>
      </c>
      <c r="Q26">
        <f t="shared" si="5"/>
        <v>8E+18</v>
      </c>
      <c r="R26" t="b">
        <f t="shared" si="6"/>
        <v>1</v>
      </c>
      <c r="S26" t="b">
        <f t="shared" si="23"/>
        <v>1</v>
      </c>
      <c r="T26" t="b">
        <f>IF(J9&lt;&gt;"Ground",false,true)</f>
        <v>1</v>
      </c>
      <c r="U26" t="b">
        <f t="shared" si="8"/>
        <v>1</v>
      </c>
      <c r="V26" s="149" t="s">
        <v>395</v>
      </c>
      <c r="W26" s="281" t="str">
        <f>image("https://vignette.wikia.nocookie.net/tap-titans-2/images/a/ac/Tiny_Titan_Tree.png/revision/latest?cb=20171206185815")</f>
        <v/>
      </c>
      <c r="X26" s="70">
        <f t="shared" si="9"/>
        <v>0.6</v>
      </c>
      <c r="Y26" s="6">
        <f>1+'EDITING Artifact Optimizer'!S112*Q26 ^ (1 + ('EDITING Artifact Optimizer'!Y112-1)*min('EDITING Artifact Optimizer'!U112*Q26,'EDITING Artifact Optimizer'!T112))^'EDITING Artifact Optimizer'!V112</f>
        <v>4.86895E+20</v>
      </c>
      <c r="Z26">
        <f t="shared" si="10"/>
        <v>2662162514648</v>
      </c>
      <c r="AA26">
        <v>9.557647694440104E31</v>
      </c>
      <c r="AB26">
        <f>Q26*'EDITING Artifact Optimizer'!W112</f>
        <v>2.4E+18</v>
      </c>
      <c r="AC26" s="7">
        <f>('EDITING Artifact Optimizer'!W112*Q26*$Y$16+$AB$89)/$AB$89</f>
        <v>1.050241785</v>
      </c>
      <c r="AD26">
        <f>('EDITING Artifact Optimizer'!X112/(1+'EDITING Artifact Optimizer'!Y112))*Q26^(1+'EDITING Artifact Optimizer'!Y112)</f>
        <v>2.8319E+50</v>
      </c>
      <c r="AE26" s="93">
        <f t="shared" si="11"/>
        <v>0.004621188132</v>
      </c>
      <c r="AF26" s="8">
        <f t="shared" si="12"/>
        <v>0</v>
      </c>
      <c r="AG26">
        <f t="shared" si="13"/>
        <v>15</v>
      </c>
      <c r="AH26" s="1" t="str">
        <f t="shared" si="22"/>
        <v/>
      </c>
      <c r="AI26" s="1">
        <f t="shared" si="15"/>
        <v>2662162514648</v>
      </c>
      <c r="AJ26" s="258" t="s">
        <v>554</v>
      </c>
      <c r="AK26" s="128">
        <f t="shared" ref="AK26:AO26" si="32">AK18+AK8+AK9+AK30+AK16+AK7</f>
        <v>2.98</v>
      </c>
      <c r="AL26" s="128">
        <f t="shared" si="32"/>
        <v>2.58</v>
      </c>
      <c r="AM26" s="128">
        <f t="shared" si="32"/>
        <v>3.28</v>
      </c>
      <c r="AN26" s="128">
        <f t="shared" si="32"/>
        <v>3.58</v>
      </c>
      <c r="AO26" s="128">
        <f t="shared" si="32"/>
        <v>1.98</v>
      </c>
      <c r="AP26" s="1" t="b">
        <f t="shared" si="18"/>
        <v>0</v>
      </c>
      <c r="AQ26" t="str">
        <f t="shared" si="16"/>
        <v>Tiny Titan Tree</v>
      </c>
      <c r="AR26" t="s">
        <v>555</v>
      </c>
      <c r="AV26" s="131">
        <v>8363.0</v>
      </c>
      <c r="AZ26" t="str">
        <f t="shared" si="24"/>
        <v/>
      </c>
      <c r="BA26" t="s">
        <v>403</v>
      </c>
      <c r="BB26" t="s">
        <v>403</v>
      </c>
      <c r="BC26" t="s">
        <v>403</v>
      </c>
      <c r="BD26" t="s">
        <v>403</v>
      </c>
      <c r="BE26" t="s">
        <v>403</v>
      </c>
      <c r="BF26" t="str">
        <f t="shared" si="20"/>
        <v>Charm of the Ancient</v>
      </c>
    </row>
    <row r="27" ht="15.75" customHeight="1">
      <c r="A27" s="51" t="str">
        <f t="shared" si="1"/>
        <v>#45</v>
      </c>
      <c r="B27" s="102">
        <v>1300.0</v>
      </c>
      <c r="C27" s="54" t="str">
        <f t="shared" si="2"/>
        <v/>
      </c>
      <c r="D27" s="104" t="str">
        <f t="shared" si="3"/>
        <v>Helm of Hermes</v>
      </c>
      <c r="E27" s="43" t="str">
        <f t="shared" si="4"/>
        <v>A</v>
      </c>
      <c r="F27" s="137" t="s">
        <v>301</v>
      </c>
      <c r="G27" s="3"/>
      <c r="H27" s="102"/>
      <c r="I27" s="104" t="str">
        <f t="shared" si="26"/>
        <v/>
      </c>
      <c r="J27" s="104" t="s">
        <v>556</v>
      </c>
      <c r="K27" s="43" t="str">
        <f t="shared" si="27"/>
        <v>C</v>
      </c>
      <c r="L27" s="106" t="s">
        <v>301</v>
      </c>
      <c r="M27" s="159"/>
      <c r="N27" s="3"/>
      <c r="O27" s="3"/>
      <c r="P27">
        <f>'EDITING Artifact Optimizer'!Q113</f>
        <v>0</v>
      </c>
      <c r="Q27">
        <f t="shared" si="5"/>
        <v>1.3E+18</v>
      </c>
      <c r="R27" t="b">
        <f t="shared" si="6"/>
        <v>1</v>
      </c>
      <c r="S27" t="b">
        <f t="shared" si="23"/>
        <v>1</v>
      </c>
      <c r="T27" t="b">
        <f>IF(J9&lt;&gt;"Flying",false,true)</f>
        <v>0</v>
      </c>
      <c r="U27" t="b">
        <f t="shared" si="8"/>
        <v>0</v>
      </c>
      <c r="V27" s="149" t="s">
        <v>395</v>
      </c>
      <c r="W27" s="281" t="str">
        <f>image("https://vignette.wikia.nocookie.net/tap-titans-2/images/a/a6/Helm_of_Hermes.png/revision/latest?cb=20171206185744")</f>
        <v/>
      </c>
      <c r="X27" s="70">
        <f t="shared" si="9"/>
        <v>0.6</v>
      </c>
      <c r="Y27" s="6">
        <f>1+'EDITING Artifact Optimizer'!S113*Q27 ^ (1 + ('EDITING Artifact Optimizer'!Y113-1)*min('EDITING Artifact Optimizer'!U113*Q27,'EDITING Artifact Optimizer'!T113))^'EDITING Artifact Optimizer'!V113</f>
        <v>6.23186E+19</v>
      </c>
      <c r="Z27">
        <f t="shared" si="10"/>
        <v>756639962101</v>
      </c>
      <c r="AA27">
        <v>4.353131022406314E30</v>
      </c>
      <c r="AB27">
        <f>Q27*'EDITING Artifact Optimizer'!W113</f>
        <v>3.9E+17</v>
      </c>
      <c r="AC27" s="7">
        <f>('EDITING Artifact Optimizer'!W113*Q27*$Y$16+$AB$89)/$AB$89</f>
        <v>1.00816429</v>
      </c>
      <c r="AD27">
        <f>('EDITING Artifact Optimizer'!X113/(1+'EDITING Artifact Optimizer'!Y113))*Q27^(1+'EDITING Artifact Optimizer'!Y113)</f>
        <v>2.09595E+48</v>
      </c>
      <c r="AE27" s="93">
        <f t="shared" si="11"/>
        <v>0.00003420249088</v>
      </c>
      <c r="AF27" s="8">
        <f t="shared" si="12"/>
        <v>0</v>
      </c>
      <c r="AG27">
        <f t="shared" si="13"/>
        <v>45</v>
      </c>
      <c r="AH27" s="1" t="str">
        <f t="shared" si="22"/>
        <v/>
      </c>
      <c r="AI27" s="1">
        <f t="shared" si="15"/>
        <v>1</v>
      </c>
      <c r="AJ27" s="258" t="s">
        <v>562</v>
      </c>
      <c r="AK27" s="210">
        <v>0.0</v>
      </c>
      <c r="AL27" s="210">
        <v>1.0</v>
      </c>
      <c r="AM27" s="210">
        <v>1.0</v>
      </c>
      <c r="AN27" s="210">
        <v>0.0</v>
      </c>
      <c r="AO27" s="210">
        <v>1.0</v>
      </c>
      <c r="AP27" s="1" t="b">
        <f t="shared" si="18"/>
        <v>0</v>
      </c>
      <c r="AQ27" t="str">
        <f t="shared" si="16"/>
        <v>Helm of Hermes</v>
      </c>
      <c r="AR27" t="s">
        <v>564</v>
      </c>
      <c r="AV27" s="131">
        <v>11454.0</v>
      </c>
      <c r="AZ27" t="str">
        <f t="shared" si="24"/>
        <v/>
      </c>
      <c r="BA27" t="s">
        <v>403</v>
      </c>
      <c r="BB27" t="s">
        <v>403</v>
      </c>
      <c r="BC27" t="s">
        <v>403</v>
      </c>
      <c r="BD27" t="s">
        <v>403</v>
      </c>
      <c r="BE27" t="s">
        <v>403</v>
      </c>
      <c r="BF27" t="str">
        <f t="shared" si="20"/>
        <v>Tiny Titan Tree</v>
      </c>
    </row>
    <row r="28" ht="15.75" customHeight="1">
      <c r="A28" s="51" t="str">
        <f t="shared" si="1"/>
        <v>#42</v>
      </c>
      <c r="B28" s="102">
        <v>7.0</v>
      </c>
      <c r="C28" s="54" t="str">
        <f t="shared" si="2"/>
        <v/>
      </c>
      <c r="D28" s="104" t="str">
        <f t="shared" si="3"/>
        <v>Fruit of Eden</v>
      </c>
      <c r="E28" s="43" t="str">
        <f t="shared" si="4"/>
        <v>F</v>
      </c>
      <c r="F28" s="106" t="s">
        <v>301</v>
      </c>
      <c r="G28" s="3"/>
      <c r="H28" s="262"/>
      <c r="I28" s="104" t="str">
        <f t="shared" si="26"/>
        <v/>
      </c>
      <c r="J28" s="104" t="s">
        <v>567</v>
      </c>
      <c r="K28" s="43" t="str">
        <f t="shared" si="27"/>
        <v>B</v>
      </c>
      <c r="L28" s="106" t="s">
        <v>301</v>
      </c>
      <c r="M28" s="159"/>
      <c r="N28" s="3"/>
      <c r="O28" s="3"/>
      <c r="P28">
        <f>'EDITING Artifact Optimizer'!Q114</f>
        <v>0</v>
      </c>
      <c r="Q28">
        <f t="shared" si="5"/>
        <v>7E+15</v>
      </c>
      <c r="R28" t="b">
        <f t="shared" si="6"/>
        <v>1</v>
      </c>
      <c r="S28" t="b">
        <f t="shared" si="23"/>
        <v>1</v>
      </c>
      <c r="U28" t="b">
        <f t="shared" si="8"/>
        <v>1</v>
      </c>
      <c r="V28" s="242" t="s">
        <v>454</v>
      </c>
      <c r="W28" s="118" t="str">
        <f>image("https://vignette.wikia.nocookie.net/tap-titans-2/images/0/00/Fruit_of_Eden.png/revision/latest?cb=20171024233701")</f>
        <v/>
      </c>
      <c r="X28" s="70">
        <f t="shared" si="9"/>
        <v>0</v>
      </c>
      <c r="Y28" s="6">
        <f>1+'EDITING Artifact Optimizer'!S114*Q28 ^ (1 + ('EDITING Artifact Optimizer'!Y114-1)*min('EDITING Artifact Optimizer'!U114*Q28,'EDITING Artifact Optimizer'!T114))^'EDITING Artifact Optimizer'!V114</f>
        <v>5.5998E+17</v>
      </c>
      <c r="Z28">
        <f t="shared" si="10"/>
        <v>1</v>
      </c>
      <c r="AA28">
        <v>3.4299999999999996E31</v>
      </c>
      <c r="AB28">
        <f>Q28*'EDITING Artifact Optimizer'!W114</f>
        <v>3.5E+15</v>
      </c>
      <c r="AC28" s="7">
        <f>('EDITING Artifact Optimizer'!W114*Q28*$Y$16+$AB$89)/$AB$89</f>
        <v>1.000073269</v>
      </c>
      <c r="AD28">
        <f>('EDITING Artifact Optimizer'!X114/(1+'EDITING Artifact Optimizer'!Y114))*Q28^(1+'EDITING Artifact Optimizer'!Y114)</f>
        <v>8.00333E+46</v>
      </c>
      <c r="AE28" s="93">
        <f t="shared" si="11"/>
        <v>0.000001306012441</v>
      </c>
      <c r="AF28" s="8">
        <f t="shared" si="12"/>
        <v>0</v>
      </c>
      <c r="AG28">
        <f t="shared" si="13"/>
        <v>42</v>
      </c>
      <c r="AH28" s="1" t="str">
        <f t="shared" si="22"/>
        <v/>
      </c>
      <c r="AI28" s="1">
        <f t="shared" si="15"/>
        <v>1</v>
      </c>
      <c r="AJ28" s="5" t="s">
        <v>570</v>
      </c>
      <c r="AK28" s="5">
        <v>0.2</v>
      </c>
      <c r="AL28" s="5">
        <v>0.2</v>
      </c>
      <c r="AM28" s="5">
        <v>0.2</v>
      </c>
      <c r="AN28" s="5">
        <v>0.2</v>
      </c>
      <c r="AO28">
        <v>0.2</v>
      </c>
      <c r="AP28" s="1" t="b">
        <f t="shared" si="18"/>
        <v>0</v>
      </c>
      <c r="AQ28" t="str">
        <f t="shared" si="16"/>
        <v>Fruit of Eden</v>
      </c>
      <c r="AR28" t="s">
        <v>571</v>
      </c>
      <c r="AV28" s="131">
        <v>15657.0</v>
      </c>
      <c r="AZ28" t="str">
        <f t="shared" si="24"/>
        <v/>
      </c>
      <c r="BA28" t="str">
        <f t="shared" ref="BA28:BE28" si="33">IF($J$9="Ground","A","F")</f>
        <v>A</v>
      </c>
      <c r="BB28" t="str">
        <f t="shared" si="33"/>
        <v>A</v>
      </c>
      <c r="BC28" t="str">
        <f t="shared" si="33"/>
        <v>A</v>
      </c>
      <c r="BD28" t="str">
        <f t="shared" si="33"/>
        <v>A</v>
      </c>
      <c r="BE28" t="str">
        <f t="shared" si="33"/>
        <v>A</v>
      </c>
      <c r="BF28" t="str">
        <f t="shared" si="20"/>
        <v>Helm of Hermes</v>
      </c>
    </row>
    <row r="29" ht="15.75" customHeight="1">
      <c r="A29" s="51" t="str">
        <f t="shared" si="1"/>
        <v>#43</v>
      </c>
      <c r="B29" s="102">
        <v>7000.0</v>
      </c>
      <c r="C29" s="54" t="str">
        <f t="shared" si="2"/>
        <v/>
      </c>
      <c r="D29" s="104" t="str">
        <f t="shared" si="3"/>
        <v>Influential Elixir</v>
      </c>
      <c r="E29" s="43" t="str">
        <f t="shared" si="4"/>
        <v>F</v>
      </c>
      <c r="F29" s="106" t="s">
        <v>301</v>
      </c>
      <c r="G29" s="3"/>
      <c r="H29" s="262"/>
      <c r="I29" s="104" t="str">
        <f t="shared" si="26"/>
        <v/>
      </c>
      <c r="J29" s="104" t="s">
        <v>572</v>
      </c>
      <c r="K29" s="43" t="str">
        <f t="shared" si="27"/>
        <v>B</v>
      </c>
      <c r="L29" s="106" t="s">
        <v>301</v>
      </c>
      <c r="M29" s="159"/>
      <c r="N29" s="3"/>
      <c r="O29" s="3"/>
      <c r="P29">
        <f>'EDITING Artifact Optimizer'!Q115</f>
        <v>0</v>
      </c>
      <c r="Q29">
        <f t="shared" si="5"/>
        <v>7E+18</v>
      </c>
      <c r="R29" t="b">
        <f t="shared" si="6"/>
        <v>1</v>
      </c>
      <c r="S29" t="b">
        <f t="shared" si="23"/>
        <v>1</v>
      </c>
      <c r="U29" t="b">
        <f t="shared" si="8"/>
        <v>1</v>
      </c>
      <c r="V29" s="149" t="s">
        <v>441</v>
      </c>
      <c r="W29" s="118" t="str">
        <f>image("https://vignette.wikia.nocookie.net/tap-titans-2/images/8/82/Influential_Elixir.png/revision/latest?cb=20171024233723")</f>
        <v/>
      </c>
      <c r="X29" s="70">
        <f t="shared" si="9"/>
        <v>0</v>
      </c>
      <c r="Y29" s="6">
        <f>1+'EDITING Artifact Optimizer'!S115*Q29 ^ (1 + ('EDITING Artifact Optimizer'!Y115-1)*min('EDITING Artifact Optimizer'!U115*Q29,'EDITING Artifact Optimizer'!T115))^'EDITING Artifact Optimizer'!V115</f>
        <v>2.09312E+20</v>
      </c>
      <c r="Z29">
        <f t="shared" si="10"/>
        <v>1</v>
      </c>
      <c r="AA29">
        <v>7.616662428644649E31</v>
      </c>
      <c r="AB29">
        <f>Q29*'EDITING Artifact Optimizer'!W115</f>
        <v>3.5E+18</v>
      </c>
      <c r="AC29" s="7">
        <f>('EDITING Artifact Optimizer'!W115*Q29*$Y$16+$AB$89)/$AB$89</f>
        <v>1.07326927</v>
      </c>
      <c r="AD29">
        <f>('EDITING Artifact Optimizer'!X115/(1+'EDITING Artifact Optimizer'!Y115))*Q29^(1+'EDITING Artifact Optimizer'!Y115)</f>
        <v>1.97469E+50</v>
      </c>
      <c r="AE29" s="93">
        <f t="shared" si="11"/>
        <v>0.003222369903</v>
      </c>
      <c r="AF29" s="8">
        <f t="shared" si="12"/>
        <v>0</v>
      </c>
      <c r="AG29">
        <f t="shared" si="13"/>
        <v>43</v>
      </c>
      <c r="AH29" s="1" t="str">
        <f t="shared" si="22"/>
        <v/>
      </c>
      <c r="AI29" s="1">
        <f t="shared" si="15"/>
        <v>1</v>
      </c>
      <c r="AJ29" s="5" t="s">
        <v>383</v>
      </c>
      <c r="AK29" s="5">
        <v>3.2</v>
      </c>
      <c r="AL29" s="5">
        <v>3.2</v>
      </c>
      <c r="AM29" s="5">
        <v>3.2</v>
      </c>
      <c r="AN29" s="5">
        <v>3.2</v>
      </c>
      <c r="AO29" s="5">
        <v>3.2</v>
      </c>
      <c r="AP29" s="1" t="b">
        <f t="shared" si="18"/>
        <v>0</v>
      </c>
      <c r="AQ29" t="str">
        <f t="shared" si="16"/>
        <v>Influential Elixir</v>
      </c>
      <c r="AR29" t="s">
        <v>573</v>
      </c>
      <c r="AV29" s="131">
        <v>21365.0</v>
      </c>
      <c r="AZ29" t="str">
        <f t="shared" si="24"/>
        <v/>
      </c>
      <c r="BA29" t="str">
        <f t="shared" ref="BA29:BE29" si="34">IF($J$9="Flying","A","F")</f>
        <v>F</v>
      </c>
      <c r="BB29" t="str">
        <f t="shared" si="34"/>
        <v>F</v>
      </c>
      <c r="BC29" t="str">
        <f t="shared" si="34"/>
        <v>F</v>
      </c>
      <c r="BD29" t="str">
        <f t="shared" si="34"/>
        <v>F</v>
      </c>
      <c r="BE29" t="str">
        <f t="shared" si="34"/>
        <v>F</v>
      </c>
      <c r="BF29" t="str">
        <f t="shared" si="20"/>
        <v>Fruit of Eden</v>
      </c>
    </row>
    <row r="30" ht="15.75" customHeight="1">
      <c r="A30" s="51" t="str">
        <f t="shared" si="1"/>
        <v>#12</v>
      </c>
      <c r="B30" s="102">
        <v>2000.0</v>
      </c>
      <c r="C30" s="54" t="str">
        <f t="shared" si="2"/>
        <v/>
      </c>
      <c r="D30" s="104" t="str">
        <f t="shared" si="3"/>
        <v>O'Ryan's Charm</v>
      </c>
      <c r="E30" s="43" t="str">
        <f t="shared" si="4"/>
        <v>F</v>
      </c>
      <c r="F30" s="106" t="s">
        <v>301</v>
      </c>
      <c r="G30" s="3"/>
      <c r="H30" s="262"/>
      <c r="I30" s="104" t="str">
        <f t="shared" si="26"/>
        <v/>
      </c>
      <c r="J30" s="104" t="s">
        <v>574</v>
      </c>
      <c r="K30" s="43" t="str">
        <f t="shared" si="27"/>
        <v>B</v>
      </c>
      <c r="L30" s="106" t="s">
        <v>301</v>
      </c>
      <c r="M30" s="159"/>
      <c r="N30" s="3"/>
      <c r="O30" s="3"/>
      <c r="P30">
        <f>'EDITING Artifact Optimizer'!Q116</f>
        <v>0</v>
      </c>
      <c r="Q30">
        <f t="shared" si="5"/>
        <v>2E+18</v>
      </c>
      <c r="R30" t="b">
        <f t="shared" si="6"/>
        <v>1</v>
      </c>
      <c r="S30" t="b">
        <f t="shared" si="23"/>
        <v>1</v>
      </c>
      <c r="U30" t="b">
        <f t="shared" si="8"/>
        <v>1</v>
      </c>
      <c r="V30" s="253" t="s">
        <v>459</v>
      </c>
      <c r="W30" s="281" t="str">
        <f>image("https://vignette.wikia.nocookie.net/tap-titans-2/images/c/cf/O%27Ryan%27s_Charm.png/revision/latest?cb=20171206185808")</f>
        <v/>
      </c>
      <c r="X30" s="70">
        <f t="shared" si="9"/>
        <v>1</v>
      </c>
      <c r="Y30" s="6">
        <f>1+'EDITING Artifact Optimizer'!S116*Q30 ^ (1 + ('EDITING Artifact Optimizer'!Y116-1)*min('EDITING Artifact Optimizer'!U116*Q30,'EDITING Artifact Optimizer'!T116))^'EDITING Artifact Optimizer'!V116</f>
        <v>1.06239E+20</v>
      </c>
      <c r="Z30">
        <f t="shared" si="10"/>
        <v>1.08463E+20</v>
      </c>
      <c r="AA30">
        <v>6.1228276140823675E32</v>
      </c>
      <c r="AB30">
        <f>Q30*'EDITING Artifact Optimizer'!W116</f>
        <v>1E+18</v>
      </c>
      <c r="AC30" s="7">
        <f>('EDITING Artifact Optimizer'!W116*Q30*$Y$16+$AB$89)/$AB$89</f>
        <v>1.020934077</v>
      </c>
      <c r="AD30">
        <f>('EDITING Artifact Optimizer'!X116/(1+'EDITING Artifact Optimizer'!Y116))*Q30^(1+'EDITING Artifact Optimizer'!Y116)</f>
        <v>4.37345E+50</v>
      </c>
      <c r="AE30" s="93">
        <f t="shared" si="11"/>
        <v>0.007136748709</v>
      </c>
      <c r="AF30" s="8">
        <f t="shared" si="12"/>
        <v>0</v>
      </c>
      <c r="AG30">
        <f t="shared" si="13"/>
        <v>12</v>
      </c>
      <c r="AH30" s="1" t="str">
        <f t="shared" si="22"/>
        <v/>
      </c>
      <c r="AI30" s="1">
        <f t="shared" si="15"/>
        <v>1.08463E+20</v>
      </c>
      <c r="AJ30" s="5" t="s">
        <v>575</v>
      </c>
      <c r="AK30" s="5">
        <f t="shared" ref="AK30:AO30" si="35">if($J$6&lt;&gt;"ChestersonGold", 0.8*0.6,0.8)</f>
        <v>0.48</v>
      </c>
      <c r="AL30" s="5">
        <f t="shared" si="35"/>
        <v>0.48</v>
      </c>
      <c r="AM30" s="5">
        <f t="shared" si="35"/>
        <v>0.48</v>
      </c>
      <c r="AN30" s="5">
        <f t="shared" si="35"/>
        <v>0.48</v>
      </c>
      <c r="AO30" s="5">
        <f t="shared" si="35"/>
        <v>0.48</v>
      </c>
      <c r="AP30" s="1" t="b">
        <f t="shared" si="18"/>
        <v>0</v>
      </c>
      <c r="AQ30" t="str">
        <f t="shared" si="16"/>
        <v>O'Ryan's Charm</v>
      </c>
      <c r="AR30" t="s">
        <v>577</v>
      </c>
      <c r="AV30" s="131">
        <v>29108.0</v>
      </c>
      <c r="AZ30" t="str">
        <f t="shared" si="24"/>
        <v/>
      </c>
      <c r="BA30" t="s">
        <v>422</v>
      </c>
      <c r="BB30" t="s">
        <v>431</v>
      </c>
      <c r="BC30" t="s">
        <v>422</v>
      </c>
      <c r="BD30" t="s">
        <v>422</v>
      </c>
      <c r="BE30" t="s">
        <v>422</v>
      </c>
      <c r="BF30" t="str">
        <f t="shared" si="20"/>
        <v>Influential Elixir</v>
      </c>
    </row>
    <row r="31" ht="15.75" customHeight="1">
      <c r="A31" s="51" t="str">
        <f t="shared" si="1"/>
        <v>#3</v>
      </c>
      <c r="B31" s="102">
        <v>16.0</v>
      </c>
      <c r="C31" s="54" t="str">
        <f t="shared" si="2"/>
        <v/>
      </c>
      <c r="D31" s="104" t="str">
        <f t="shared" si="3"/>
        <v>Heart of Storms</v>
      </c>
      <c r="E31" s="43" t="str">
        <f t="shared" si="4"/>
        <v>A</v>
      </c>
      <c r="F31" s="106" t="s">
        <v>301</v>
      </c>
      <c r="G31" s="3"/>
      <c r="H31" s="262"/>
      <c r="I31" s="104" t="str">
        <f t="shared" si="26"/>
        <v/>
      </c>
      <c r="J31" s="104" t="s">
        <v>578</v>
      </c>
      <c r="K31" s="43" t="str">
        <f t="shared" si="27"/>
        <v>B</v>
      </c>
      <c r="L31" s="106" t="s">
        <v>301</v>
      </c>
      <c r="M31" s="159"/>
      <c r="N31" s="3"/>
      <c r="O31" s="3"/>
      <c r="P31">
        <f>'EDITING Artifact Optimizer'!Q117</f>
        <v>0</v>
      </c>
      <c r="Q31">
        <f t="shared" si="5"/>
        <v>1.6E+16</v>
      </c>
      <c r="R31" t="b">
        <f t="shared" si="6"/>
        <v>1</v>
      </c>
      <c r="S31" t="b">
        <f t="shared" si="23"/>
        <v>1</v>
      </c>
      <c r="U31" t="b">
        <f t="shared" si="8"/>
        <v>1</v>
      </c>
      <c r="V31" s="258" t="s">
        <v>465</v>
      </c>
      <c r="W31" s="118" t="str">
        <f>image("https://vignette.wikia.nocookie.net/tap-titans-2/images/7/7b/Heart_of_Storms.png/revision/latest?cb=20171024223024")</f>
        <v/>
      </c>
      <c r="X31" s="70">
        <f t="shared" si="9"/>
        <v>5.6</v>
      </c>
      <c r="Y31" s="6">
        <f>1+'EDITING Artifact Optimizer'!S117*Q31 ^ (1 + ('EDITING Artifact Optimizer'!Y117-1)*min('EDITING Artifact Optimizer'!U117*Q31,'EDITING Artifact Optimizer'!T117))^'EDITING Artifact Optimizer'!V117</f>
        <v>5.78187E+16</v>
      </c>
      <c r="Z31">
        <f t="shared" si="10"/>
        <v>7.3789E+93</v>
      </c>
      <c r="AA31">
        <v>3.1200532188533294E35</v>
      </c>
      <c r="AB31">
        <f>Q31*'EDITING Artifact Optimizer'!W117</f>
        <v>8E+15</v>
      </c>
      <c r="AC31" s="7">
        <f>('EDITING Artifact Optimizer'!W117*Q31*$Y$16+$AB$89)/$AB$89</f>
        <v>1.000167473</v>
      </c>
      <c r="AD31">
        <f>('EDITING Artifact Optimizer'!X117/(1+'EDITING Artifact Optimizer'!Y117))*Q31^(1+'EDITING Artifact Optimizer'!Y117)</f>
        <v>1.56003E+51</v>
      </c>
      <c r="AE31" s="93">
        <f t="shared" si="11"/>
        <v>0.02545706989</v>
      </c>
      <c r="AF31" s="8">
        <f t="shared" si="12"/>
        <v>0</v>
      </c>
      <c r="AG31">
        <f t="shared" si="13"/>
        <v>3</v>
      </c>
      <c r="AH31" s="1" t="str">
        <f t="shared" si="22"/>
        <v/>
      </c>
      <c r="AI31" s="1">
        <f t="shared" si="15"/>
        <v>7.3789E+93</v>
      </c>
      <c r="AJ31" s="258" t="s">
        <v>579</v>
      </c>
      <c r="AK31" s="294">
        <f t="shared" ref="AK31:AO31" si="36">max(AK25,AK24,AK27,AK12)</f>
        <v>1</v>
      </c>
      <c r="AL31" s="294">
        <f t="shared" si="36"/>
        <v>1</v>
      </c>
      <c r="AM31" s="294">
        <f t="shared" si="36"/>
        <v>1</v>
      </c>
      <c r="AN31" s="294">
        <f t="shared" si="36"/>
        <v>1</v>
      </c>
      <c r="AO31" s="294">
        <f t="shared" si="36"/>
        <v>1</v>
      </c>
      <c r="AP31" s="1" t="b">
        <f t="shared" si="18"/>
        <v>0</v>
      </c>
      <c r="AQ31" t="str">
        <f t="shared" si="16"/>
        <v>Heart of Storms</v>
      </c>
      <c r="AR31" t="s">
        <v>580</v>
      </c>
      <c r="AV31" s="131">
        <v>39599.0</v>
      </c>
      <c r="AZ31" t="str">
        <f t="shared" si="24"/>
        <v/>
      </c>
      <c r="BA31" t="s">
        <v>422</v>
      </c>
      <c r="BB31" t="s">
        <v>422</v>
      </c>
      <c r="BC31" t="s">
        <v>422</v>
      </c>
      <c r="BD31" t="s">
        <v>422</v>
      </c>
      <c r="BE31" t="s">
        <v>431</v>
      </c>
      <c r="BF31" t="str">
        <f t="shared" si="20"/>
        <v>O'Ryan's Charm</v>
      </c>
    </row>
    <row r="32" ht="15.75" customHeight="1">
      <c r="A32" s="51" t="str">
        <f t="shared" si="1"/>
        <v>#17</v>
      </c>
      <c r="B32" s="102">
        <v>12.0</v>
      </c>
      <c r="C32" s="54" t="str">
        <f t="shared" si="2"/>
        <v/>
      </c>
      <c r="D32" s="104" t="str">
        <f t="shared" si="3"/>
        <v>Apollo Orb</v>
      </c>
      <c r="E32" s="43" t="str">
        <f t="shared" si="4"/>
        <v>S</v>
      </c>
      <c r="F32" s="106" t="s">
        <v>301</v>
      </c>
      <c r="G32" s="3"/>
      <c r="H32" s="262"/>
      <c r="I32" s="104" t="str">
        <f t="shared" si="26"/>
        <v/>
      </c>
      <c r="J32" s="104" t="s">
        <v>581</v>
      </c>
      <c r="K32" s="43" t="str">
        <f t="shared" si="27"/>
        <v>B</v>
      </c>
      <c r="L32" s="106" t="s">
        <v>301</v>
      </c>
      <c r="M32" s="159"/>
      <c r="N32" s="3"/>
      <c r="O32" s="3"/>
      <c r="P32">
        <f>'EDITING Artifact Optimizer'!Q118</f>
        <v>0</v>
      </c>
      <c r="Q32">
        <f t="shared" si="5"/>
        <v>1.2E+16</v>
      </c>
      <c r="R32" t="b">
        <f t="shared" si="6"/>
        <v>1</v>
      </c>
      <c r="S32" t="b">
        <f t="shared" si="23"/>
        <v>1</v>
      </c>
      <c r="U32" t="b">
        <f t="shared" si="8"/>
        <v>1</v>
      </c>
      <c r="V32" s="258" t="s">
        <v>469</v>
      </c>
      <c r="W32" s="118" t="str">
        <f>image("https://vignette.wikia.nocookie.net/tap-titans-2/images/7/74/Apollo_Orb.png/revision/latest?cb=20171117220833")</f>
        <v/>
      </c>
      <c r="X32" s="70">
        <f t="shared" si="9"/>
        <v>1.58</v>
      </c>
      <c r="Y32" s="6">
        <f>1+'EDITING Artifact Optimizer'!S118*Q32 ^ (1 + ('EDITING Artifact Optimizer'!Y118-1)*min('EDITING Artifact Optimizer'!U118*Q32,'EDITING Artifact Optimizer'!T118))^'EDITING Artifact Optimizer'!V118</f>
        <v>1.64872E+17</v>
      </c>
      <c r="Z32">
        <f t="shared" si="10"/>
        <v>1.59653E+27</v>
      </c>
      <c r="AA32">
        <v>1.6569018441533742E35</v>
      </c>
      <c r="AB32">
        <f>Q32*'EDITING Artifact Optimizer'!W118</f>
        <v>6E+15</v>
      </c>
      <c r="AC32" s="7">
        <f>('EDITING Artifact Optimizer'!W118*Q32*$Y$16+$AB$89)/$AB$89</f>
        <v>1.000125604</v>
      </c>
      <c r="AD32">
        <f>('EDITING Artifact Optimizer'!X118/(1+'EDITING Artifact Optimizer'!Y118))*Q32^(1+'EDITING Artifact Optimizer'!Y118)</f>
        <v>6.21338E+50</v>
      </c>
      <c r="AE32" s="93">
        <f t="shared" si="11"/>
        <v>0.01013921793</v>
      </c>
      <c r="AF32" s="8">
        <f t="shared" si="12"/>
        <v>0</v>
      </c>
      <c r="AG32">
        <f t="shared" si="13"/>
        <v>17</v>
      </c>
      <c r="AH32" s="1" t="str">
        <f t="shared" si="22"/>
        <v/>
      </c>
      <c r="AI32" s="1">
        <f t="shared" si="15"/>
        <v>1.59653E+27</v>
      </c>
      <c r="AJ32" s="258" t="s">
        <v>583</v>
      </c>
      <c r="AK32" s="5">
        <f t="shared" ref="AK32:AO32" si="37">MAX(AK27,AK25,AK24)</f>
        <v>1</v>
      </c>
      <c r="AL32" s="5">
        <f t="shared" si="37"/>
        <v>1</v>
      </c>
      <c r="AM32" s="5">
        <f t="shared" si="37"/>
        <v>1</v>
      </c>
      <c r="AN32" s="5">
        <f t="shared" si="37"/>
        <v>1</v>
      </c>
      <c r="AO32" s="5">
        <f t="shared" si="37"/>
        <v>1</v>
      </c>
      <c r="AP32" s="1" t="b">
        <f t="shared" si="18"/>
        <v>0</v>
      </c>
      <c r="AQ32" t="str">
        <f t="shared" si="16"/>
        <v>Apollo Orb</v>
      </c>
      <c r="AR32" t="s">
        <v>584</v>
      </c>
      <c r="AV32" s="131">
        <v>53796.0</v>
      </c>
      <c r="AZ32" t="str">
        <f t="shared" si="24"/>
        <v/>
      </c>
      <c r="BA32" t="s">
        <v>403</v>
      </c>
      <c r="BB32" t="s">
        <v>403</v>
      </c>
      <c r="BC32" t="s">
        <v>403</v>
      </c>
      <c r="BD32" t="s">
        <v>403</v>
      </c>
      <c r="BE32" t="s">
        <v>403</v>
      </c>
      <c r="BF32" t="str">
        <f t="shared" si="20"/>
        <v>Heart of Storms</v>
      </c>
    </row>
    <row r="33" ht="15.75" customHeight="1">
      <c r="A33" s="51" t="str">
        <f t="shared" si="1"/>
        <v>#28</v>
      </c>
      <c r="B33" s="102">
        <v>12000.0</v>
      </c>
      <c r="C33" s="54" t="str">
        <f t="shared" si="2"/>
        <v/>
      </c>
      <c r="D33" s="104" t="str">
        <f t="shared" si="3"/>
        <v>Earrings of Portara</v>
      </c>
      <c r="E33" s="43" t="str">
        <f t="shared" si="4"/>
        <v>A</v>
      </c>
      <c r="F33" s="137" t="s">
        <v>301</v>
      </c>
      <c r="G33" s="3"/>
      <c r="H33" s="262"/>
      <c r="I33" s="104" t="str">
        <f t="shared" si="26"/>
        <v/>
      </c>
      <c r="J33" s="104" t="s">
        <v>586</v>
      </c>
      <c r="K33" s="43" t="str">
        <f t="shared" si="27"/>
        <v>B</v>
      </c>
      <c r="L33" s="106" t="s">
        <v>301</v>
      </c>
      <c r="M33" s="159"/>
      <c r="N33" s="3"/>
      <c r="O33" s="3"/>
      <c r="P33">
        <f>'EDITING Artifact Optimizer'!Q119</f>
        <v>0</v>
      </c>
      <c r="Q33">
        <f t="shared" si="5"/>
        <v>1.2E+19</v>
      </c>
      <c r="R33" t="b">
        <f t="shared" si="6"/>
        <v>1</v>
      </c>
      <c r="S33" t="b">
        <f t="shared" si="23"/>
        <v>1</v>
      </c>
      <c r="U33" t="b">
        <f t="shared" si="8"/>
        <v>1</v>
      </c>
      <c r="V33" s="4" t="s">
        <v>587</v>
      </c>
      <c r="W33" s="118" t="str">
        <f>image("https://vignette.wikia.nocookie.net/tap-titans-2/images/1/12/Earrings_of_Portara.png/revision/latest?cb=20180406183721")</f>
        <v/>
      </c>
      <c r="X33" s="70">
        <f t="shared" si="9"/>
        <v>1</v>
      </c>
      <c r="Y33" s="6">
        <f>1+'EDITING Artifact Optimizer'!S119*Q33 ^ (1 + ('EDITING Artifact Optimizer'!Y119-1)*min('EDITING Artifact Optimizer'!U119*Q33,'EDITING Artifact Optimizer'!T119))^'EDITING Artifact Optimizer'!V119</f>
        <v>1.15545E+20</v>
      </c>
      <c r="Z33">
        <f t="shared" si="10"/>
        <v>1.24253E+20</v>
      </c>
      <c r="AA33">
        <v>1.632147366689601E32</v>
      </c>
      <c r="AB33">
        <f>Q33*'EDITING Artifact Optimizer'!W119</f>
        <v>3.6E+18</v>
      </c>
      <c r="AC33" s="7">
        <f>('EDITING Artifact Optimizer'!W119*Q33*$Y$16+$AB$89)/$AB$89</f>
        <v>1.075362678</v>
      </c>
      <c r="AD33">
        <f>('EDITING Artifact Optimizer'!X119/(1+'EDITING Artifact Optimizer'!Y119))*Q33^(1+'EDITING Artifact Optimizer'!Y119)</f>
        <v>7.25399E+50</v>
      </c>
      <c r="AE33" s="93">
        <f t="shared" si="11"/>
        <v>0.01183731649</v>
      </c>
      <c r="AF33" s="8">
        <f t="shared" si="12"/>
        <v>0</v>
      </c>
      <c r="AG33">
        <f t="shared" si="13"/>
        <v>28</v>
      </c>
      <c r="AH33" s="1" t="str">
        <f t="shared" si="22"/>
        <v/>
      </c>
      <c r="AI33" s="1">
        <f t="shared" si="15"/>
        <v>1.24253E+20</v>
      </c>
      <c r="AJ33" s="258" t="s">
        <v>587</v>
      </c>
      <c r="AK33" s="5">
        <f t="shared" ref="AK33:AO33" si="38">IF($AC$6="offline",2,1)</f>
        <v>1</v>
      </c>
      <c r="AL33" s="5">
        <f t="shared" si="38"/>
        <v>1</v>
      </c>
      <c r="AM33" s="5">
        <f t="shared" si="38"/>
        <v>1</v>
      </c>
      <c r="AN33" s="5">
        <f t="shared" si="38"/>
        <v>1</v>
      </c>
      <c r="AO33" s="5">
        <f t="shared" si="38"/>
        <v>1</v>
      </c>
      <c r="AP33" s="1" t="b">
        <f t="shared" si="18"/>
        <v>0</v>
      </c>
      <c r="AQ33" t="str">
        <f t="shared" si="16"/>
        <v>Earrings of Portara</v>
      </c>
      <c r="AR33" t="s">
        <v>590</v>
      </c>
      <c r="AV33" s="131">
        <v>72990.0</v>
      </c>
      <c r="AZ33" t="str">
        <f t="shared" si="24"/>
        <v/>
      </c>
      <c r="BA33" t="s">
        <v>389</v>
      </c>
      <c r="BB33" t="s">
        <v>389</v>
      </c>
      <c r="BC33" t="s">
        <v>389</v>
      </c>
      <c r="BD33" t="s">
        <v>389</v>
      </c>
      <c r="BE33" t="s">
        <v>389</v>
      </c>
      <c r="BF33" t="str">
        <f t="shared" si="20"/>
        <v>Apollo Orb</v>
      </c>
    </row>
    <row r="34" ht="15.75" customHeight="1">
      <c r="A34" s="51" t="str">
        <f t="shared" si="1"/>
        <v>#44</v>
      </c>
      <c r="B34" s="102">
        <v>0.01</v>
      </c>
      <c r="C34" s="54" t="str">
        <f t="shared" si="2"/>
        <v/>
      </c>
      <c r="D34" s="104" t="str">
        <f t="shared" si="3"/>
        <v>Avian Feather</v>
      </c>
      <c r="E34" s="43" t="str">
        <f t="shared" si="4"/>
        <v>A</v>
      </c>
      <c r="F34" s="106" t="s">
        <v>301</v>
      </c>
      <c r="G34" s="3"/>
      <c r="H34" s="262"/>
      <c r="I34" s="104" t="str">
        <f t="shared" si="26"/>
        <v/>
      </c>
      <c r="J34" s="104" t="s">
        <v>591</v>
      </c>
      <c r="K34" s="43" t="str">
        <f t="shared" si="27"/>
        <v>C</v>
      </c>
      <c r="L34" s="106" t="s">
        <v>301</v>
      </c>
      <c r="M34" s="159"/>
      <c r="N34" s="3"/>
      <c r="O34" s="3"/>
      <c r="P34">
        <f>'EDITING Artifact Optimizer'!Q120</f>
        <v>0</v>
      </c>
      <c r="Q34">
        <f t="shared" si="5"/>
        <v>10000000000000</v>
      </c>
      <c r="R34" t="b">
        <f t="shared" si="6"/>
        <v>1</v>
      </c>
      <c r="S34" t="b">
        <f t="shared" si="23"/>
        <v>1</v>
      </c>
      <c r="T34" t="b">
        <f>IF(J7&lt;&gt;"offline",false,true)</f>
        <v>0</v>
      </c>
      <c r="U34" t="b">
        <f t="shared" si="8"/>
        <v>0</v>
      </c>
      <c r="V34" s="4" t="s">
        <v>332</v>
      </c>
      <c r="W34" s="118" t="str">
        <f>image("https://vignette.wikia.nocookie.net/tap-titans-2/images/1/10/Avian_Feather.png/revision/latest?cb=20171024233625")</f>
        <v/>
      </c>
      <c r="X34" s="70">
        <f t="shared" si="9"/>
        <v>1</v>
      </c>
      <c r="Y34" s="6">
        <f>1+'EDITING Artifact Optimizer'!S120*Q34 ^ (1 + ('EDITING Artifact Optimizer'!Y120-1)*min('EDITING Artifact Optimizer'!U120*Q34,'EDITING Artifact Optimizer'!T120))^'EDITING Artifact Optimizer'!V120</f>
        <v>255147344697513</v>
      </c>
      <c r="Z34">
        <f t="shared" si="10"/>
        <v>255147360721336</v>
      </c>
      <c r="AA34">
        <v>7.553552470764993E21</v>
      </c>
      <c r="AB34">
        <f>Q34*'EDITING Artifact Optimizer'!W120</f>
        <v>3000000000000</v>
      </c>
      <c r="AC34" s="7">
        <f>('EDITING Artifact Optimizer'!W120*Q34*$Y$16+$AB$89)/$AB$89</f>
        <v>1.000000063</v>
      </c>
      <c r="AD34">
        <f>('EDITING Artifact Optimizer'!X120/(1+'EDITING Artifact Optimizer'!Y120))*Q34^(1+'EDITING Artifact Optimizer'!Y120)</f>
        <v>2.79761E+34</v>
      </c>
      <c r="AE34" s="93">
        <f t="shared" si="11"/>
        <v>0</v>
      </c>
      <c r="AF34" s="8">
        <f t="shared" si="12"/>
        <v>0</v>
      </c>
      <c r="AG34">
        <f t="shared" si="13"/>
        <v>44</v>
      </c>
      <c r="AH34" s="1" t="str">
        <f t="shared" si="22"/>
        <v/>
      </c>
      <c r="AI34" s="1">
        <f t="shared" si="15"/>
        <v>1</v>
      </c>
      <c r="AJ34" s="258" t="s">
        <v>411</v>
      </c>
      <c r="AK34" s="5">
        <f t="shared" ref="AK34:AO34" si="39">IF($J$7="offline",2*0.79,0.79)</f>
        <v>0.79</v>
      </c>
      <c r="AL34" s="5">
        <f t="shared" si="39"/>
        <v>0.79</v>
      </c>
      <c r="AM34" s="5">
        <f t="shared" si="39"/>
        <v>0.79</v>
      </c>
      <c r="AN34" s="5">
        <f t="shared" si="39"/>
        <v>0.79</v>
      </c>
      <c r="AO34" s="5">
        <f t="shared" si="39"/>
        <v>0.79</v>
      </c>
      <c r="AP34" s="1" t="b">
        <f t="shared" si="18"/>
        <v>0</v>
      </c>
      <c r="AQ34" t="str">
        <f t="shared" si="16"/>
        <v>Avian Feather</v>
      </c>
      <c r="AR34" t="s">
        <v>594</v>
      </c>
      <c r="AV34" s="131">
        <v>98914.0</v>
      </c>
      <c r="AZ34" t="str">
        <f t="shared" si="24"/>
        <v/>
      </c>
      <c r="BA34" t="s">
        <v>403</v>
      </c>
      <c r="BB34" t="s">
        <v>403</v>
      </c>
      <c r="BC34" t="s">
        <v>403</v>
      </c>
      <c r="BD34" t="s">
        <v>403</v>
      </c>
      <c r="BE34" t="s">
        <v>403</v>
      </c>
      <c r="BF34" t="str">
        <f t="shared" si="20"/>
        <v>Earrings of Portara</v>
      </c>
    </row>
    <row r="35" ht="15.75" customHeight="1">
      <c r="A35" s="51" t="str">
        <f t="shared" si="1"/>
        <v>#39</v>
      </c>
      <c r="B35" s="102">
        <v>13000.0</v>
      </c>
      <c r="C35" s="54" t="str">
        <f t="shared" si="2"/>
        <v/>
      </c>
      <c r="D35" s="104" t="str">
        <f t="shared" si="3"/>
        <v>Corrupted Rune Heart</v>
      </c>
      <c r="E35" s="43" t="str">
        <f t="shared" si="4"/>
        <v>F</v>
      </c>
      <c r="F35" s="137" t="s">
        <v>301</v>
      </c>
      <c r="G35" s="3"/>
      <c r="H35" s="262"/>
      <c r="I35" s="104" t="str">
        <f t="shared" si="26"/>
        <v/>
      </c>
      <c r="J35" s="104" t="s">
        <v>595</v>
      </c>
      <c r="K35" s="43" t="str">
        <f t="shared" si="27"/>
        <v>C</v>
      </c>
      <c r="L35" s="106" t="s">
        <v>301</v>
      </c>
      <c r="M35" s="159"/>
      <c r="N35" s="3"/>
      <c r="O35" s="3"/>
      <c r="P35">
        <f>'EDITING Artifact Optimizer'!Q121</f>
        <v>0</v>
      </c>
      <c r="Q35">
        <f t="shared" si="5"/>
        <v>1.3E+19</v>
      </c>
      <c r="R35" t="b">
        <f t="shared" si="6"/>
        <v>1</v>
      </c>
      <c r="S35" t="b">
        <f t="shared" si="23"/>
        <v>1</v>
      </c>
      <c r="U35" t="b">
        <f t="shared" si="8"/>
        <v>1</v>
      </c>
      <c r="V35" s="4" t="s">
        <v>570</v>
      </c>
      <c r="W35" s="118" t="str">
        <f>image("https://vignette.wikia.nocookie.net/tap-titans-2/images/e/ed/Corrupted_Rune_Heart.png/revision/latest?cb=20171117212027")</f>
        <v/>
      </c>
      <c r="X35" s="70">
        <f t="shared" si="9"/>
        <v>0.2</v>
      </c>
      <c r="Y35" s="6">
        <f>1+'EDITING Artifact Optimizer'!S121*Q35 ^ (1 + ('EDITING Artifact Optimizer'!Y121-1)*min('EDITING Artifact Optimizer'!U121*Q35,'EDITING Artifact Optimizer'!T121))^'EDITING Artifact Optimizer'!V121</f>
        <v>1.05414E+18</v>
      </c>
      <c r="Z35">
        <f t="shared" si="10"/>
        <v>4086.922946</v>
      </c>
      <c r="AA35">
        <v>1.8700574526316112E32</v>
      </c>
      <c r="AB35">
        <f>Q35*'EDITING Artifact Optimizer'!W121</f>
        <v>3.9E+18</v>
      </c>
      <c r="AC35" s="7">
        <f>('EDITING Artifact Optimizer'!W121*Q35*$Y$16+$AB$89)/$AB$89</f>
        <v>1.081642901</v>
      </c>
      <c r="AD35">
        <f>('EDITING Artifact Optimizer'!X121/(1+'EDITING Artifact Optimizer'!Y121))*Q35^(1+'EDITING Artifact Optimizer'!Y121)</f>
        <v>9.00398E+50</v>
      </c>
      <c r="AE35" s="93">
        <f t="shared" si="11"/>
        <v>0.01469301582</v>
      </c>
      <c r="AF35" s="8">
        <f t="shared" si="12"/>
        <v>0</v>
      </c>
      <c r="AG35">
        <f t="shared" si="13"/>
        <v>39</v>
      </c>
      <c r="AH35" s="1" t="str">
        <f t="shared" si="22"/>
        <v/>
      </c>
      <c r="AI35" s="1">
        <f t="shared" si="15"/>
        <v>1</v>
      </c>
      <c r="AJ35" s="258" t="s">
        <v>597</v>
      </c>
      <c r="AK35" s="294">
        <f t="shared" ref="AK35:AO35" si="40">AK6+AK17+AK8</f>
        <v>0.5</v>
      </c>
      <c r="AL35" s="294">
        <f t="shared" si="40"/>
        <v>1</v>
      </c>
      <c r="AM35" s="294">
        <f t="shared" si="40"/>
        <v>1.2</v>
      </c>
      <c r="AN35" s="294">
        <f t="shared" si="40"/>
        <v>1</v>
      </c>
      <c r="AO35" s="294">
        <f t="shared" si="40"/>
        <v>3</v>
      </c>
      <c r="AP35" s="1" t="b">
        <f t="shared" si="18"/>
        <v>0</v>
      </c>
      <c r="AQ35" t="str">
        <f t="shared" si="16"/>
        <v>Corrupted Rune Heart</v>
      </c>
      <c r="AR35" t="s">
        <v>599</v>
      </c>
      <c r="AV35" s="131">
        <v>133000.0</v>
      </c>
      <c r="AW35" s="133"/>
      <c r="AX35" s="133"/>
      <c r="AZ35" t="str">
        <f t="shared" si="24"/>
        <v/>
      </c>
      <c r="BA35" t="s">
        <v>403</v>
      </c>
      <c r="BB35" t="s">
        <v>403</v>
      </c>
      <c r="BC35" t="s">
        <v>403</v>
      </c>
      <c r="BD35" t="s">
        <v>403</v>
      </c>
      <c r="BE35" t="s">
        <v>403</v>
      </c>
      <c r="BF35" t="str">
        <f t="shared" si="20"/>
        <v>Avian Feather</v>
      </c>
    </row>
    <row r="36" ht="15.75" customHeight="1">
      <c r="A36" s="51" t="str">
        <f t="shared" si="1"/>
        <v>#37</v>
      </c>
      <c r="B36" s="102">
        <v>90.0</v>
      </c>
      <c r="C36" s="54" t="str">
        <f t="shared" si="2"/>
        <v/>
      </c>
      <c r="D36" s="104" t="str">
        <f t="shared" si="3"/>
        <v>Durendal Sword</v>
      </c>
      <c r="E36" s="43" t="str">
        <f t="shared" si="4"/>
        <v>C</v>
      </c>
      <c r="F36" s="137" t="s">
        <v>301</v>
      </c>
      <c r="G36" s="3"/>
      <c r="H36" s="262"/>
      <c r="I36" s="104" t="str">
        <f t="shared" si="26"/>
        <v/>
      </c>
      <c r="J36" s="104" t="s">
        <v>601</v>
      </c>
      <c r="K36" s="43" t="str">
        <f t="shared" si="27"/>
        <v>B</v>
      </c>
      <c r="L36" s="106" t="s">
        <v>301</v>
      </c>
      <c r="M36" s="159"/>
      <c r="N36" s="3"/>
      <c r="O36" s="3"/>
      <c r="P36">
        <f>'EDITING Artifact Optimizer'!Q122</f>
        <v>0</v>
      </c>
      <c r="Q36">
        <f t="shared" si="5"/>
        <v>9E+16</v>
      </c>
      <c r="R36" t="b">
        <f t="shared" si="6"/>
        <v>1</v>
      </c>
      <c r="S36" t="b">
        <f t="shared" si="23"/>
        <v>1</v>
      </c>
      <c r="U36" t="b">
        <f t="shared" si="8"/>
        <v>1</v>
      </c>
      <c r="V36" s="4" t="s">
        <v>570</v>
      </c>
      <c r="W36" s="118" t="str">
        <f>image("https://vignette.wikia.nocookie.net/tap-titans-2/images/2/24/Durendal_Sword.png/revision/latest?cb=20171117220636")</f>
        <v/>
      </c>
      <c r="X36" s="70">
        <f t="shared" si="9"/>
        <v>0.2</v>
      </c>
      <c r="Y36" s="6">
        <f>1+'EDITING Artifact Optimizer'!S122*Q36 ^ (1 + ('EDITING Artifact Optimizer'!Y122-1)*min('EDITING Artifact Optimizer'!U122*Q36,'EDITING Artifact Optimizer'!T122))^'EDITING Artifact Optimizer'!V122</f>
        <v>7.23024E+18</v>
      </c>
      <c r="Z36">
        <f t="shared" si="10"/>
        <v>5915.535584</v>
      </c>
      <c r="AA36">
        <v>8.1E33</v>
      </c>
      <c r="AB36">
        <f>Q36*'EDITING Artifact Optimizer'!W122</f>
        <v>9E+16</v>
      </c>
      <c r="AC36" s="7">
        <f>('EDITING Artifact Optimizer'!W122*Q36*$Y$16+$AB$89)/$AB$89</f>
        <v>1.001884067</v>
      </c>
      <c r="AD36">
        <f>('EDITING Artifact Optimizer'!X122/(1+'EDITING Artifact Optimizer'!Y122))*Q36^(1+'EDITING Artifact Optimizer'!Y122)</f>
        <v>2.43E+50</v>
      </c>
      <c r="AE36" s="93">
        <f t="shared" si="11"/>
        <v>0.003965360555</v>
      </c>
      <c r="AF36" s="8">
        <f t="shared" si="12"/>
        <v>0</v>
      </c>
      <c r="AG36">
        <f t="shared" si="13"/>
        <v>37</v>
      </c>
      <c r="AH36" s="1" t="str">
        <f t="shared" si="22"/>
        <v/>
      </c>
      <c r="AI36" s="1">
        <f t="shared" si="15"/>
        <v>1</v>
      </c>
      <c r="AJ36" s="258" t="s">
        <v>602</v>
      </c>
      <c r="AK36" s="294">
        <f t="shared" ref="AK36:AO36" si="41">AK5+AK19+AK9</f>
        <v>2</v>
      </c>
      <c r="AL36" s="294">
        <f t="shared" si="41"/>
        <v>3</v>
      </c>
      <c r="AM36" s="294">
        <f t="shared" si="41"/>
        <v>1.2</v>
      </c>
      <c r="AN36" s="294">
        <f t="shared" si="41"/>
        <v>2</v>
      </c>
      <c r="AO36" s="294">
        <f t="shared" si="41"/>
        <v>0</v>
      </c>
      <c r="AP36" s="1" t="b">
        <f t="shared" si="18"/>
        <v>0</v>
      </c>
      <c r="AQ36" t="str">
        <f t="shared" si="16"/>
        <v>Durendal Sword</v>
      </c>
      <c r="AR36" t="s">
        <v>604</v>
      </c>
      <c r="AV36" s="131">
        <v>181000.0</v>
      </c>
      <c r="AZ36" t="str">
        <f t="shared" si="24"/>
        <v/>
      </c>
      <c r="BA36" t="s">
        <v>422</v>
      </c>
      <c r="BB36" t="s">
        <v>422</v>
      </c>
      <c r="BC36" t="s">
        <v>422</v>
      </c>
      <c r="BD36" t="s">
        <v>422</v>
      </c>
      <c r="BE36" t="s">
        <v>422</v>
      </c>
      <c r="BF36" t="str">
        <f t="shared" si="20"/>
        <v>Corrupted Rune Heart</v>
      </c>
    </row>
    <row r="37" ht="15.75" customHeight="1">
      <c r="A37" s="51" t="str">
        <f t="shared" si="1"/>
        <v>#30</v>
      </c>
      <c r="B37" s="102">
        <v>130.0</v>
      </c>
      <c r="C37" s="54" t="str">
        <f t="shared" si="2"/>
        <v/>
      </c>
      <c r="D37" s="104" t="str">
        <f t="shared" si="3"/>
        <v>Helheim Skull</v>
      </c>
      <c r="E37" s="43" t="str">
        <f t="shared" si="4"/>
        <v>C</v>
      </c>
      <c r="F37" s="137" t="s">
        <v>301</v>
      </c>
      <c r="G37" s="3"/>
      <c r="H37" s="262"/>
      <c r="I37" s="104" t="str">
        <f t="shared" si="26"/>
        <v/>
      </c>
      <c r="J37" s="104" t="s">
        <v>605</v>
      </c>
      <c r="K37" s="43" t="str">
        <f t="shared" si="27"/>
        <v>C</v>
      </c>
      <c r="L37" s="106" t="s">
        <v>301</v>
      </c>
      <c r="M37" s="159"/>
      <c r="N37" s="3"/>
      <c r="O37" s="3"/>
      <c r="P37">
        <f>'EDITING Artifact Optimizer'!Q123</f>
        <v>0</v>
      </c>
      <c r="Q37">
        <f t="shared" si="5"/>
        <v>1.3E+17</v>
      </c>
      <c r="R37" t="b">
        <f t="shared" si="6"/>
        <v>1</v>
      </c>
      <c r="S37" t="b">
        <f t="shared" si="23"/>
        <v>1</v>
      </c>
      <c r="U37" t="b">
        <f t="shared" si="8"/>
        <v>1</v>
      </c>
      <c r="V37" s="4" t="s">
        <v>332</v>
      </c>
      <c r="W37" s="118" t="str">
        <f>image("https://vignette.wikia.nocookie.net/tap-titans-2/images/3/3d/Helheim_Skull.png/revision/latest?cb=20171117215841")</f>
        <v/>
      </c>
      <c r="X37" s="70">
        <f t="shared" si="9"/>
        <v>1</v>
      </c>
      <c r="Y37" s="6">
        <f>1+'EDITING Artifact Optimizer'!S123*Q37 ^ (1 + ('EDITING Artifact Optimizer'!Y123-1)*min('EDITING Artifact Optimizer'!U123*Q37,'EDITING Artifact Optimizer'!T123))^'EDITING Artifact Optimizer'!V123</f>
        <v>5.51576E+18</v>
      </c>
      <c r="Z37">
        <f t="shared" si="10"/>
        <v>5.53077E+18</v>
      </c>
      <c r="AA37">
        <v>1.69E34</v>
      </c>
      <c r="AB37">
        <f>Q37*'EDITING Artifact Optimizer'!W123</f>
        <v>1.3E+17</v>
      </c>
      <c r="AC37" s="7">
        <f>('EDITING Artifact Optimizer'!W123*Q37*$Y$16+$AB$89)/$AB$89</f>
        <v>1.00272143</v>
      </c>
      <c r="AD37">
        <f>('EDITING Artifact Optimizer'!X123/(1+'EDITING Artifact Optimizer'!Y123))*Q37^(1+'EDITING Artifact Optimizer'!Y123)</f>
        <v>7.32333E+50</v>
      </c>
      <c r="AE37" s="93">
        <f t="shared" si="11"/>
        <v>0.01195047619</v>
      </c>
      <c r="AF37" s="8">
        <f t="shared" si="12"/>
        <v>0</v>
      </c>
      <c r="AG37">
        <f t="shared" si="13"/>
        <v>30</v>
      </c>
      <c r="AH37" s="1" t="str">
        <f t="shared" si="22"/>
        <v/>
      </c>
      <c r="AI37" s="1">
        <f t="shared" si="15"/>
        <v>5.53077E+18</v>
      </c>
      <c r="AJ37" s="258" t="s">
        <v>608</v>
      </c>
      <c r="AK37" s="5">
        <f t="shared" ref="AK37:AO37" si="42">AK18+AK16+AK30</f>
        <v>0.48</v>
      </c>
      <c r="AL37" s="5">
        <f t="shared" si="42"/>
        <v>0.48</v>
      </c>
      <c r="AM37" s="5">
        <f t="shared" si="42"/>
        <v>1.48</v>
      </c>
      <c r="AN37" s="5">
        <f t="shared" si="42"/>
        <v>1.48</v>
      </c>
      <c r="AO37" s="5">
        <f t="shared" si="42"/>
        <v>0.48</v>
      </c>
      <c r="AP37" s="1" t="b">
        <f t="shared" si="18"/>
        <v>0</v>
      </c>
      <c r="AQ37" t="str">
        <f t="shared" si="16"/>
        <v>Helheim Skull</v>
      </c>
      <c r="AR37" t="s">
        <v>609</v>
      </c>
      <c r="AV37" s="131">
        <v>244000.0</v>
      </c>
      <c r="AZ37" t="str">
        <f t="shared" si="24"/>
        <v/>
      </c>
      <c r="BA37" t="s">
        <v>610</v>
      </c>
      <c r="BB37" t="s">
        <v>610</v>
      </c>
      <c r="BC37" t="s">
        <v>610</v>
      </c>
      <c r="BD37" t="s">
        <v>610</v>
      </c>
      <c r="BE37" t="s">
        <v>610</v>
      </c>
      <c r="BF37" t="str">
        <f t="shared" si="20"/>
        <v>Durendal Sword</v>
      </c>
    </row>
    <row r="38" ht="15.75" customHeight="1">
      <c r="A38" s="51" t="str">
        <f t="shared" si="1"/>
        <v>#2</v>
      </c>
      <c r="B38" s="102">
        <v>10.0</v>
      </c>
      <c r="C38" s="54" t="str">
        <f t="shared" si="2"/>
        <v/>
      </c>
      <c r="D38" s="104" t="str">
        <f t="shared" si="3"/>
        <v>Oath's Burden</v>
      </c>
      <c r="E38" s="43" t="str">
        <f t="shared" si="4"/>
        <v>A</v>
      </c>
      <c r="F38" s="137" t="s">
        <v>301</v>
      </c>
      <c r="G38" s="3"/>
      <c r="H38" s="262"/>
      <c r="I38" s="104" t="str">
        <f t="shared" si="26"/>
        <v/>
      </c>
      <c r="J38" s="104" t="s">
        <v>611</v>
      </c>
      <c r="K38" s="43" t="str">
        <f t="shared" si="27"/>
        <v>C</v>
      </c>
      <c r="L38" s="106" t="s">
        <v>301</v>
      </c>
      <c r="M38" s="159"/>
      <c r="N38" s="3"/>
      <c r="O38" s="3"/>
      <c r="P38">
        <f>'EDITING Artifact Optimizer'!Q124</f>
        <v>0</v>
      </c>
      <c r="Q38">
        <f t="shared" si="5"/>
        <v>1E+16</v>
      </c>
      <c r="R38" t="b">
        <f t="shared" si="6"/>
        <v>1</v>
      </c>
      <c r="S38" t="b">
        <f t="shared" si="23"/>
        <v>1</v>
      </c>
      <c r="U38" t="b">
        <f t="shared" si="8"/>
        <v>1</v>
      </c>
      <c r="V38" s="258" t="s">
        <v>602</v>
      </c>
      <c r="W38" t="str">
        <f>image("https://i.imgur.com/1ea8UXR.png")</f>
        <v/>
      </c>
      <c r="X38" s="70">
        <f t="shared" si="9"/>
        <v>1.2</v>
      </c>
      <c r="Y38" s="6">
        <f>1+'EDITING Artifact Optimizer'!S124*Q38 ^ (1 + ('EDITING Artifact Optimizer'!Y124-1)*min('EDITING Artifact Optimizer'!U124*Q38,'EDITING Artifact Optimizer'!T124))^'EDITING Artifact Optimizer'!V124</f>
        <v>1.33044E+17</v>
      </c>
      <c r="Z38">
        <f t="shared" si="10"/>
        <v>3.53874E+20</v>
      </c>
      <c r="AA38">
        <v>1.0301805750997305E35</v>
      </c>
      <c r="AB38">
        <f>Q38*'EDITING Artifact Optimizer'!W124</f>
        <v>5E+15</v>
      </c>
      <c r="AC38" s="7">
        <f>('EDITING Artifact Optimizer'!W124*Q38*$Y$16+$AB$89)/$AB$89</f>
        <v>1.00010467</v>
      </c>
      <c r="AD38">
        <f>('EDITING Artifact Optimizer'!X124/(1+'EDITING Artifact Optimizer'!Y124))*Q38^(1+'EDITING Artifact Optimizer'!Y124)</f>
        <v>3.21931E+50</v>
      </c>
      <c r="AE38" s="93">
        <f t="shared" si="11"/>
        <v>0.00525339174</v>
      </c>
      <c r="AF38" s="8">
        <f t="shared" si="12"/>
        <v>0</v>
      </c>
      <c r="AG38">
        <f t="shared" si="13"/>
        <v>2</v>
      </c>
      <c r="AH38" s="1" t="str">
        <f t="shared" si="22"/>
        <v/>
      </c>
      <c r="AI38" s="1">
        <f t="shared" si="15"/>
        <v>3.53874E+20</v>
      </c>
      <c r="AJ38" s="258" t="s">
        <v>615</v>
      </c>
      <c r="AK38" s="294">
        <f t="shared" ref="AK38:AO38" si="43">AK7</f>
        <v>1</v>
      </c>
      <c r="AL38" s="294">
        <f t="shared" si="43"/>
        <v>0.6</v>
      </c>
      <c r="AM38" s="294">
        <f t="shared" si="43"/>
        <v>0.6</v>
      </c>
      <c r="AN38" s="294">
        <f t="shared" si="43"/>
        <v>0.6</v>
      </c>
      <c r="AO38" s="294">
        <f t="shared" si="43"/>
        <v>0.5</v>
      </c>
      <c r="AP38" s="1" t="b">
        <f t="shared" si="18"/>
        <v>0</v>
      </c>
      <c r="AQ38" t="str">
        <f t="shared" si="16"/>
        <v>Oath's Burden</v>
      </c>
      <c r="AR38" t="s">
        <v>617</v>
      </c>
      <c r="AV38" s="131">
        <v>330000.0</v>
      </c>
      <c r="AZ38" t="str">
        <f t="shared" si="24"/>
        <v/>
      </c>
      <c r="BA38" t="s">
        <v>610</v>
      </c>
      <c r="BB38" t="s">
        <v>610</v>
      </c>
      <c r="BC38" t="s">
        <v>610</v>
      </c>
      <c r="BD38" t="s">
        <v>610</v>
      </c>
      <c r="BE38" t="s">
        <v>610</v>
      </c>
      <c r="BF38" t="str">
        <f t="shared" si="20"/>
        <v>Helheim Skull</v>
      </c>
    </row>
    <row r="39" ht="15.75" customHeight="1">
      <c r="A39" s="51" t="str">
        <f t="shared" si="1"/>
        <v>#33</v>
      </c>
      <c r="B39" s="102">
        <v>14.0</v>
      </c>
      <c r="C39" s="54" t="str">
        <f t="shared" si="2"/>
        <v/>
      </c>
      <c r="D39" s="104" t="str">
        <f t="shared" si="3"/>
        <v>Crown of the Constellation</v>
      </c>
      <c r="E39" s="43" t="str">
        <f t="shared" si="4"/>
        <v>A</v>
      </c>
      <c r="F39" s="137" t="s">
        <v>301</v>
      </c>
      <c r="G39" s="3"/>
      <c r="H39" s="262"/>
      <c r="I39" s="104" t="str">
        <f t="shared" si="26"/>
        <v/>
      </c>
      <c r="J39" s="104" t="s">
        <v>618</v>
      </c>
      <c r="K39" s="43" t="str">
        <f t="shared" si="27"/>
        <v>C</v>
      </c>
      <c r="L39" s="106" t="s">
        <v>301</v>
      </c>
      <c r="M39" s="159"/>
      <c r="N39" s="3"/>
      <c r="O39" s="3"/>
      <c r="P39">
        <f>'EDITING Artifact Optimizer'!Q125</f>
        <v>0</v>
      </c>
      <c r="Q39">
        <f t="shared" si="5"/>
        <v>1.4E+16</v>
      </c>
      <c r="R39" t="b">
        <f t="shared" si="6"/>
        <v>1</v>
      </c>
      <c r="S39" t="b">
        <f t="shared" si="23"/>
        <v>1</v>
      </c>
      <c r="U39" t="b">
        <f t="shared" si="8"/>
        <v>1</v>
      </c>
      <c r="V39" s="258" t="s">
        <v>597</v>
      </c>
      <c r="W39" t="str">
        <f>image("https://i.imgur.com/zzZXk82.png")</f>
        <v/>
      </c>
      <c r="X39" s="70">
        <f t="shared" si="9"/>
        <v>1.2</v>
      </c>
      <c r="Y39" s="6">
        <f>1+'EDITING Artifact Optimizer'!S125*Q39 ^ (1 + ('EDITING Artifact Optimizer'!Y125-1)*min('EDITING Artifact Optimizer'!U125*Q39,'EDITING Artifact Optimizer'!T125))^'EDITING Artifact Optimizer'!V125</f>
        <v>1.97654E+17</v>
      </c>
      <c r="Z39">
        <f t="shared" si="10"/>
        <v>5.69065E+20</v>
      </c>
      <c r="AA39">
        <v>2.1597079907142973E35</v>
      </c>
      <c r="AB39">
        <f>Q39*'EDITING Artifact Optimizer'!W125</f>
        <v>7E+15</v>
      </c>
      <c r="AC39" s="7">
        <f>('EDITING Artifact Optimizer'!W125*Q39*$Y$16+$AB$89)/$AB$89</f>
        <v>1.000146539</v>
      </c>
      <c r="AD39">
        <f>('EDITING Artifact Optimizer'!X125/(1+'EDITING Artifact Optimizer'!Y125))*Q39^(1+'EDITING Artifact Optimizer'!Y125)</f>
        <v>9.44872E+50</v>
      </c>
      <c r="AE39" s="93">
        <f t="shared" si="11"/>
        <v>0.01541876187</v>
      </c>
      <c r="AF39" s="8">
        <f t="shared" si="12"/>
        <v>0</v>
      </c>
      <c r="AG39">
        <f t="shared" si="13"/>
        <v>33</v>
      </c>
      <c r="AH39" s="1" t="str">
        <f t="shared" si="22"/>
        <v/>
      </c>
      <c r="AI39" s="1">
        <f t="shared" si="15"/>
        <v>1</v>
      </c>
      <c r="AJ39" s="296" t="s">
        <v>463</v>
      </c>
      <c r="AK39" s="70">
        <f t="shared" ref="AK39:AO39" si="44">AK5+AK6</f>
        <v>1</v>
      </c>
      <c r="AL39" s="70">
        <f t="shared" si="44"/>
        <v>1.5</v>
      </c>
      <c r="AM39" s="70">
        <f t="shared" si="44"/>
        <v>1.2</v>
      </c>
      <c r="AN39" s="70">
        <f t="shared" si="44"/>
        <v>1.5</v>
      </c>
      <c r="AO39" s="70">
        <f t="shared" si="44"/>
        <v>1</v>
      </c>
      <c r="AP39" s="1" t="b">
        <f t="shared" si="18"/>
        <v>0</v>
      </c>
      <c r="AQ39" t="str">
        <f t="shared" si="16"/>
        <v>Crown of the Constellation</v>
      </c>
      <c r="AR39" t="s">
        <v>621</v>
      </c>
      <c r="AV39" s="131">
        <v>445000.0</v>
      </c>
      <c r="AZ39" t="str">
        <f t="shared" si="24"/>
        <v/>
      </c>
      <c r="BA39" t="s">
        <v>403</v>
      </c>
      <c r="BB39" t="s">
        <v>403</v>
      </c>
      <c r="BC39" t="s">
        <v>403</v>
      </c>
      <c r="BD39" t="s">
        <v>403</v>
      </c>
      <c r="BE39" t="s">
        <v>403</v>
      </c>
      <c r="BF39" t="str">
        <f t="shared" si="20"/>
        <v>Oath's Burden</v>
      </c>
    </row>
    <row r="40" ht="15.75" customHeight="1">
      <c r="A40" s="51" t="str">
        <f t="shared" si="1"/>
        <v>#29</v>
      </c>
      <c r="B40" s="102">
        <v>14.0</v>
      </c>
      <c r="C40" s="54" t="str">
        <f t="shared" si="2"/>
        <v/>
      </c>
      <c r="D40" s="104" t="str">
        <f t="shared" si="3"/>
        <v>Titania's Sceptre</v>
      </c>
      <c r="E40" s="43" t="str">
        <f t="shared" si="4"/>
        <v>A</v>
      </c>
      <c r="F40" s="137" t="s">
        <v>301</v>
      </c>
      <c r="G40" s="3"/>
      <c r="H40" s="262"/>
      <c r="I40" s="104" t="str">
        <f t="shared" si="26"/>
        <v/>
      </c>
      <c r="J40" s="104" t="s">
        <v>622</v>
      </c>
      <c r="K40" s="43" t="str">
        <f t="shared" si="27"/>
        <v>B</v>
      </c>
      <c r="L40" s="106" t="s">
        <v>301</v>
      </c>
      <c r="M40" s="159"/>
      <c r="N40" s="3"/>
      <c r="O40" s="3"/>
      <c r="P40">
        <f>'EDITING Artifact Optimizer'!Q126</f>
        <v>0</v>
      </c>
      <c r="Q40">
        <f t="shared" si="5"/>
        <v>1.4E+16</v>
      </c>
      <c r="R40" t="b">
        <f t="shared" si="6"/>
        <v>1</v>
      </c>
      <c r="S40" t="b">
        <f t="shared" si="23"/>
        <v>1</v>
      </c>
      <c r="U40" t="b">
        <f t="shared" si="8"/>
        <v>1</v>
      </c>
      <c r="V40" s="258" t="s">
        <v>608</v>
      </c>
      <c r="W40" t="str">
        <f>image("https://i.imgur.com/cI4MhAI.png")</f>
        <v/>
      </c>
      <c r="X40" s="70">
        <f t="shared" si="9"/>
        <v>1.48</v>
      </c>
      <c r="Y40" s="6">
        <f>1+'EDITING Artifact Optimizer'!S126*Q40 ^ (1 + ('EDITING Artifact Optimizer'!Y126-1)*min('EDITING Artifact Optimizer'!U126*Q40,'EDITING Artifact Optimizer'!T126))^'EDITING Artifact Optimizer'!V126</f>
        <v>1.97654E+17</v>
      </c>
      <c r="Z40">
        <f t="shared" si="10"/>
        <v>3.96309E+25</v>
      </c>
      <c r="AA40">
        <v>2.1597079907142973E35</v>
      </c>
      <c r="AB40">
        <f>Q40*'EDITING Artifact Optimizer'!W126</f>
        <v>7E+15</v>
      </c>
      <c r="AC40" s="7">
        <f>('EDITING Artifact Optimizer'!W126*Q40*$Y$16+$AB$89)/$AB$89</f>
        <v>1.000146539</v>
      </c>
      <c r="AD40">
        <f>('EDITING Artifact Optimizer'!X126/(1+'EDITING Artifact Optimizer'!Y126))*Q40^(1+'EDITING Artifact Optimizer'!Y126)</f>
        <v>9.44872E+50</v>
      </c>
      <c r="AE40" s="93">
        <f t="shared" si="11"/>
        <v>0.01541876187</v>
      </c>
      <c r="AF40" s="8">
        <f t="shared" si="12"/>
        <v>0</v>
      </c>
      <c r="AG40">
        <f t="shared" si="13"/>
        <v>29</v>
      </c>
      <c r="AH40" s="1" t="str">
        <f t="shared" si="22"/>
        <v/>
      </c>
      <c r="AI40" s="1">
        <f t="shared" si="15"/>
        <v>3.96309E+25</v>
      </c>
      <c r="AJ40" s="1" t="s">
        <v>432</v>
      </c>
      <c r="AK40" s="1">
        <v>4.0</v>
      </c>
      <c r="AL40" s="1">
        <v>4.0</v>
      </c>
      <c r="AM40" s="1">
        <v>4.0</v>
      </c>
      <c r="AN40" s="1">
        <v>4.0</v>
      </c>
      <c r="AO40" s="1">
        <v>4.0</v>
      </c>
      <c r="AP40" s="1" t="b">
        <f t="shared" si="18"/>
        <v>0</v>
      </c>
      <c r="AQ40" t="str">
        <f t="shared" si="16"/>
        <v>Titania's Sceptre</v>
      </c>
      <c r="AR40" t="s">
        <v>625</v>
      </c>
      <c r="AV40" s="131">
        <v>599000.0</v>
      </c>
      <c r="AZ40" t="str">
        <f t="shared" si="24"/>
        <v/>
      </c>
      <c r="BA40" t="s">
        <v>403</v>
      </c>
      <c r="BB40" t="s">
        <v>403</v>
      </c>
      <c r="BC40" t="s">
        <v>403</v>
      </c>
      <c r="BD40" t="s">
        <v>403</v>
      </c>
      <c r="BE40" s="1" t="s">
        <v>422</v>
      </c>
      <c r="BF40" t="str">
        <f t="shared" si="20"/>
        <v>Crown of the Constellation</v>
      </c>
    </row>
    <row r="41" ht="15.75" customHeight="1">
      <c r="A41" s="51" t="str">
        <f t="shared" si="1"/>
        <v>#14</v>
      </c>
      <c r="B41" s="102">
        <v>9.0</v>
      </c>
      <c r="C41" s="54" t="str">
        <f t="shared" si="2"/>
        <v/>
      </c>
      <c r="D41" s="104" t="str">
        <f t="shared" si="3"/>
        <v>Fagin's Grip</v>
      </c>
      <c r="E41" s="43" t="str">
        <f t="shared" si="4"/>
        <v>A</v>
      </c>
      <c r="F41" s="137" t="s">
        <v>301</v>
      </c>
      <c r="G41" s="3"/>
      <c r="H41" s="262"/>
      <c r="I41" s="104" t="str">
        <f t="shared" si="26"/>
        <v/>
      </c>
      <c r="J41" s="104" t="s">
        <v>626</v>
      </c>
      <c r="K41" s="43" t="str">
        <f t="shared" si="27"/>
        <v>C</v>
      </c>
      <c r="L41" s="106" t="s">
        <v>301</v>
      </c>
      <c r="M41" s="159"/>
      <c r="N41" s="3"/>
      <c r="O41" s="3"/>
      <c r="P41">
        <f>'EDITING Artifact Optimizer'!Q127</f>
        <v>0</v>
      </c>
      <c r="Q41">
        <f t="shared" si="5"/>
        <v>9E+15</v>
      </c>
      <c r="R41" t="b">
        <f t="shared" si="6"/>
        <v>1</v>
      </c>
      <c r="S41" t="b">
        <f t="shared" si="23"/>
        <v>1</v>
      </c>
      <c r="U41" t="b">
        <f t="shared" si="8"/>
        <v>1</v>
      </c>
      <c r="V41" s="258" t="s">
        <v>615</v>
      </c>
      <c r="W41" t="str">
        <f>image("https://i.imgur.com/UgBikYr.png")</f>
        <v/>
      </c>
      <c r="X41" s="70">
        <f t="shared" si="9"/>
        <v>0.6</v>
      </c>
      <c r="Y41" s="6">
        <f>1+'EDITING Artifact Optimizer'!S127*Q41 ^ (1 + ('EDITING Artifact Optimizer'!Y127-1)*min('EDITING Artifact Optimizer'!U127*Q41,'EDITING Artifact Optimizer'!T127))^'EDITING Artifact Optimizer'!V127</f>
        <v>1.17534E+17</v>
      </c>
      <c r="Z41">
        <f t="shared" si="10"/>
        <v>17463163727</v>
      </c>
      <c r="AA41">
        <v>8.170466946664422E34</v>
      </c>
      <c r="AB41">
        <f>Q41*'EDITING Artifact Optimizer'!W127</f>
        <v>4.5E+15</v>
      </c>
      <c r="AC41" s="7">
        <f>('EDITING Artifact Optimizer'!W127*Q41*$Y$16+$AB$89)/$AB$89</f>
        <v>1.000094203</v>
      </c>
      <c r="AD41">
        <f>('EDITING Artifact Optimizer'!X127/(1+'EDITING Artifact Optimizer'!Y127))*Q41^(1+'EDITING Artifact Optimizer'!Y127)</f>
        <v>2.29794E+50</v>
      </c>
      <c r="AE41" s="93">
        <f t="shared" si="11"/>
        <v>0.003749866591</v>
      </c>
      <c r="AF41" s="8">
        <f t="shared" si="12"/>
        <v>0</v>
      </c>
      <c r="AG41">
        <f t="shared" si="13"/>
        <v>14</v>
      </c>
      <c r="AH41" s="1" t="str">
        <f t="shared" si="22"/>
        <v/>
      </c>
      <c r="AI41" s="1">
        <f t="shared" si="15"/>
        <v>17463163727</v>
      </c>
      <c r="AP41" s="1" t="b">
        <f t="shared" si="18"/>
        <v>0</v>
      </c>
      <c r="AQ41" t="str">
        <f t="shared" si="16"/>
        <v>Fagin's Grip</v>
      </c>
      <c r="AR41" t="s">
        <v>629</v>
      </c>
      <c r="AV41" s="131">
        <v>807000.0</v>
      </c>
      <c r="AZ41" t="str">
        <f t="shared" si="24"/>
        <v/>
      </c>
      <c r="BA41" t="s">
        <v>403</v>
      </c>
      <c r="BB41" t="s">
        <v>403</v>
      </c>
      <c r="BC41" t="s">
        <v>403</v>
      </c>
      <c r="BD41" t="s">
        <v>403</v>
      </c>
      <c r="BE41" t="s">
        <v>403</v>
      </c>
      <c r="BF41" t="str">
        <f t="shared" si="20"/>
        <v>Titania's Sceptre</v>
      </c>
    </row>
    <row r="42" ht="15.75" customHeight="1">
      <c r="A42" s="51" t="str">
        <f t="shared" si="1"/>
        <v>#6</v>
      </c>
      <c r="B42" s="102">
        <v>16.0</v>
      </c>
      <c r="C42" s="54" t="str">
        <f t="shared" si="2"/>
        <v/>
      </c>
      <c r="D42" s="104" t="str">
        <f t="shared" si="3"/>
        <v>Ring of Calisto</v>
      </c>
      <c r="E42" s="43" t="str">
        <f t="shared" si="4"/>
        <v>A</v>
      </c>
      <c r="F42" s="106" t="s">
        <v>301</v>
      </c>
      <c r="G42" s="3"/>
      <c r="H42" s="262"/>
      <c r="I42" s="104" t="str">
        <f t="shared" si="26"/>
        <v/>
      </c>
      <c r="J42" s="104" t="s">
        <v>630</v>
      </c>
      <c r="K42" s="43" t="str">
        <f t="shared" si="27"/>
        <v>S</v>
      </c>
      <c r="L42" s="106" t="s">
        <v>301</v>
      </c>
      <c r="M42" s="159"/>
      <c r="N42" s="3"/>
      <c r="O42" s="3"/>
      <c r="P42">
        <f>'EDITING Artifact Optimizer'!Q128</f>
        <v>0</v>
      </c>
      <c r="Q42">
        <f t="shared" si="5"/>
        <v>1.6E+16</v>
      </c>
      <c r="R42" t="b">
        <f t="shared" si="6"/>
        <v>1</v>
      </c>
      <c r="S42" t="b">
        <f t="shared" si="23"/>
        <v>1</v>
      </c>
      <c r="U42" t="b">
        <f t="shared" si="8"/>
        <v>1</v>
      </c>
      <c r="V42" s="258" t="s">
        <v>474</v>
      </c>
      <c r="W42" s="118" t="str">
        <f>image("https://vignette.wikia.nocookie.net/tap-titans-2/images/3/3e/Ring_of_Calisto.png/revision/latest?cb=20171117220740")</f>
        <v/>
      </c>
      <c r="X42" s="70">
        <f t="shared" si="9"/>
        <v>4.39</v>
      </c>
      <c r="Y42" s="6">
        <f>1+'EDITING Artifact Optimizer'!S128*Q42 ^ (1 + ('EDITING Artifact Optimizer'!Y128-1)*min('EDITING Artifact Optimizer'!U128*Q42,'EDITING Artifact Optimizer'!T128))^'EDITING Artifact Optimizer'!V128</f>
        <v>1.15637E+17</v>
      </c>
      <c r="Z42">
        <f t="shared" si="10"/>
        <v>8.07834E+74</v>
      </c>
      <c r="AA42">
        <v>2.8971922746495205E35</v>
      </c>
      <c r="AB42">
        <f>Q42*'EDITING Artifact Optimizer'!W128</f>
        <v>8E+15</v>
      </c>
      <c r="AC42" s="7">
        <f>('EDITING Artifact Optimizer'!W128*Q42*$Y$16+$AB$89)/$AB$89</f>
        <v>1.000167473</v>
      </c>
      <c r="AD42">
        <f>('EDITING Artifact Optimizer'!X128/(1+'EDITING Artifact Optimizer'!Y128))*Q42^(1+'EDITING Artifact Optimizer'!Y128)</f>
        <v>1.4486E+51</v>
      </c>
      <c r="AE42" s="93">
        <f t="shared" si="11"/>
        <v>0.02363870775</v>
      </c>
      <c r="AF42" s="8">
        <f t="shared" si="12"/>
        <v>0</v>
      </c>
      <c r="AG42">
        <f t="shared" si="13"/>
        <v>6</v>
      </c>
      <c r="AH42" s="1" t="str">
        <f t="shared" si="22"/>
        <v/>
      </c>
      <c r="AI42" s="1">
        <f t="shared" si="15"/>
        <v>8.07834E+74</v>
      </c>
      <c r="AP42" s="1" t="b">
        <f t="shared" si="18"/>
        <v>0</v>
      </c>
      <c r="AQ42" t="str">
        <f t="shared" si="16"/>
        <v>Ring of Calisto</v>
      </c>
      <c r="AR42" t="s">
        <v>632</v>
      </c>
      <c r="AV42" s="131">
        <v>1080000.0</v>
      </c>
      <c r="AZ42" t="str">
        <f t="shared" si="24"/>
        <v/>
      </c>
      <c r="BA42" t="s">
        <v>403</v>
      </c>
      <c r="BB42" t="s">
        <v>403</v>
      </c>
      <c r="BC42" t="s">
        <v>403</v>
      </c>
      <c r="BD42" t="s">
        <v>403</v>
      </c>
      <c r="BE42" t="s">
        <v>403</v>
      </c>
      <c r="BF42" t="str">
        <f t="shared" si="20"/>
        <v>Fagin's Grip</v>
      </c>
    </row>
    <row r="43" ht="15.75" customHeight="1">
      <c r="A43" s="51" t="str">
        <f t="shared" si="1"/>
        <v>#9</v>
      </c>
      <c r="B43" s="102">
        <v>120.0</v>
      </c>
      <c r="C43" s="54" t="str">
        <f t="shared" si="2"/>
        <v/>
      </c>
      <c r="D43" s="104" t="str">
        <f t="shared" si="3"/>
        <v>Blade of Damocles</v>
      </c>
      <c r="E43" s="43" t="str">
        <f t="shared" si="4"/>
        <v>S</v>
      </c>
      <c r="F43" s="106" t="s">
        <v>301</v>
      </c>
      <c r="G43" s="3"/>
      <c r="H43" s="259"/>
      <c r="I43" s="104" t="str">
        <f t="shared" si="26"/>
        <v/>
      </c>
      <c r="J43" s="104" t="s">
        <v>634</v>
      </c>
      <c r="K43" s="43" t="str">
        <f t="shared" si="27"/>
        <v>B</v>
      </c>
      <c r="L43" s="106" t="s">
        <v>301</v>
      </c>
      <c r="M43" s="159"/>
      <c r="N43" s="3"/>
      <c r="O43" s="3"/>
      <c r="P43">
        <f>'EDITING Artifact Optimizer'!Q129</f>
        <v>0</v>
      </c>
      <c r="Q43">
        <f t="shared" si="5"/>
        <v>1.2E+17</v>
      </c>
      <c r="R43" t="b">
        <f t="shared" si="6"/>
        <v>1</v>
      </c>
      <c r="S43" t="b">
        <f t="shared" si="23"/>
        <v>1</v>
      </c>
      <c r="U43" t="b">
        <f t="shared" si="8"/>
        <v>1</v>
      </c>
      <c r="V43" s="4" t="s">
        <v>332</v>
      </c>
      <c r="W43" s="118" t="str">
        <f>image("https://vignette.wikia.nocookie.net/tap-titans-2/images/8/85/Blade_of_Damocles.png/revision/latest?cb=20171025224428")</f>
        <v/>
      </c>
      <c r="X43" s="70">
        <f t="shared" si="9"/>
        <v>1</v>
      </c>
      <c r="Y43" s="6">
        <f>1+'EDITING Artifact Optimizer'!S129*Q43 ^ (1 + ('EDITING Artifact Optimizer'!Y129-1)*min('EDITING Artifact Optimizer'!U129*Q43,'EDITING Artifact Optimizer'!T129))^'EDITING Artifact Optimizer'!V129</f>
        <v>3.35409E+18</v>
      </c>
      <c r="Z43">
        <f t="shared" si="10"/>
        <v>3.35831E+18</v>
      </c>
      <c r="AA43">
        <v>9.360000000000001E33</v>
      </c>
      <c r="AB43">
        <f>Q43*'EDITING Artifact Optimizer'!W129</f>
        <v>6E+16</v>
      </c>
      <c r="AC43" s="7">
        <f>('EDITING Artifact Optimizer'!W129*Q43*$Y$16+$AB$89)/$AB$89</f>
        <v>1.001256045</v>
      </c>
      <c r="AD43">
        <f>('EDITING Artifact Optimizer'!X129/(1+'EDITING Artifact Optimizer'!Y129))*Q43^(1+'EDITING Artifact Optimizer'!Y129)</f>
        <v>3.744E+50</v>
      </c>
      <c r="AE43" s="93">
        <f t="shared" si="11"/>
        <v>0.006109592559</v>
      </c>
      <c r="AF43" s="8">
        <f t="shared" si="12"/>
        <v>0</v>
      </c>
      <c r="AG43">
        <f t="shared" si="13"/>
        <v>9</v>
      </c>
      <c r="AH43" s="1" t="str">
        <f t="shared" si="22"/>
        <v/>
      </c>
      <c r="AI43" s="1">
        <f t="shared" si="15"/>
        <v>3.35831E+18</v>
      </c>
      <c r="AP43" s="1" t="b">
        <f t="shared" si="18"/>
        <v>0</v>
      </c>
      <c r="AQ43" t="str">
        <f t="shared" si="16"/>
        <v>Blade of Damocles</v>
      </c>
      <c r="AR43" t="s">
        <v>639</v>
      </c>
      <c r="AV43" s="131">
        <v>1460000.0</v>
      </c>
      <c r="AZ43" t="str">
        <f t="shared" si="24"/>
        <v/>
      </c>
      <c r="BA43" t="s">
        <v>403</v>
      </c>
      <c r="BB43" t="s">
        <v>403</v>
      </c>
      <c r="BC43" t="s">
        <v>403</v>
      </c>
      <c r="BD43" t="s">
        <v>403</v>
      </c>
      <c r="BE43" t="s">
        <v>403</v>
      </c>
      <c r="BF43" t="str">
        <f t="shared" si="20"/>
        <v>Ring of Calisto</v>
      </c>
    </row>
    <row r="44" ht="15.75" customHeight="1">
      <c r="A44" s="51" t="str">
        <f t="shared" si="1"/>
        <v>#36</v>
      </c>
      <c r="B44" s="102">
        <v>140.0</v>
      </c>
      <c r="C44" s="54" t="str">
        <f t="shared" si="2"/>
        <v/>
      </c>
      <c r="D44" s="104" t="str">
        <f t="shared" si="3"/>
        <v>Helmet of Madness</v>
      </c>
      <c r="E44" s="43" t="str">
        <f t="shared" si="4"/>
        <v>A</v>
      </c>
      <c r="F44" s="106" t="s">
        <v>301</v>
      </c>
      <c r="G44" s="3"/>
      <c r="H44" s="262"/>
      <c r="I44" s="104" t="str">
        <f t="shared" si="26"/>
        <v/>
      </c>
      <c r="J44" s="104" t="s">
        <v>640</v>
      </c>
      <c r="K44" s="43" t="str">
        <f t="shared" si="27"/>
        <v>C</v>
      </c>
      <c r="L44" s="106" t="s">
        <v>301</v>
      </c>
      <c r="M44" s="159"/>
      <c r="N44" s="3"/>
      <c r="O44" s="3"/>
      <c r="P44">
        <f>'EDITING Artifact Optimizer'!Q130</f>
        <v>0</v>
      </c>
      <c r="Q44">
        <f t="shared" si="5"/>
        <v>1.4E+17</v>
      </c>
      <c r="R44" t="b">
        <f t="shared" si="6"/>
        <v>1</v>
      </c>
      <c r="S44" t="b">
        <f t="shared" si="23"/>
        <v>1</v>
      </c>
      <c r="U44" t="b">
        <f t="shared" si="8"/>
        <v>1</v>
      </c>
      <c r="V44" s="258" t="s">
        <v>513</v>
      </c>
      <c r="W44" s="118" t="str">
        <f>image("https://vignette.wikia.nocookie.net/tap-titans-2/images/6/6f/Helmet_of_Madness.png/revision/latest?cb=20170927235000")</f>
        <v/>
      </c>
      <c r="X44" s="70">
        <f t="shared" si="9"/>
        <v>0.6</v>
      </c>
      <c r="Y44" s="6">
        <f>1+'EDITING Artifact Optimizer'!S130*Q44 ^ (1 + ('EDITING Artifact Optimizer'!Y130-1)*min('EDITING Artifact Optimizer'!U130*Q44,'EDITING Artifact Optimizer'!T130))^'EDITING Artifact Optimizer'!V130</f>
        <v>4.00397E+18</v>
      </c>
      <c r="Z44">
        <f t="shared" si="10"/>
        <v>145169825755</v>
      </c>
      <c r="AA44">
        <v>1.274E34</v>
      </c>
      <c r="AB44">
        <f>Q44*'EDITING Artifact Optimizer'!W130</f>
        <v>7E+16</v>
      </c>
      <c r="AC44" s="7">
        <f>('EDITING Artifact Optimizer'!W130*Q44*$Y$16+$AB$89)/$AB$89</f>
        <v>1.001465385</v>
      </c>
      <c r="AD44">
        <f>('EDITING Artifact Optimizer'!X130/(1+'EDITING Artifact Optimizer'!Y130))*Q44^(1+'EDITING Artifact Optimizer'!Y130)</f>
        <v>5.94533E+50</v>
      </c>
      <c r="AE44" s="93">
        <f t="shared" si="11"/>
        <v>0.009701806703</v>
      </c>
      <c r="AF44" s="8">
        <f t="shared" si="12"/>
        <v>0</v>
      </c>
      <c r="AG44">
        <f t="shared" si="13"/>
        <v>36</v>
      </c>
      <c r="AH44" s="1" t="str">
        <f t="shared" si="22"/>
        <v/>
      </c>
      <c r="AI44" s="1">
        <f t="shared" si="15"/>
        <v>1</v>
      </c>
      <c r="AP44" s="1" t="b">
        <f t="shared" si="18"/>
        <v>0</v>
      </c>
      <c r="AQ44" t="str">
        <f t="shared" si="16"/>
        <v>Helmet of Madness</v>
      </c>
      <c r="AR44" t="s">
        <v>650</v>
      </c>
      <c r="AV44" s="131">
        <v>1960000.0</v>
      </c>
      <c r="AZ44" t="str">
        <f t="shared" si="24"/>
        <v/>
      </c>
      <c r="BA44" t="s">
        <v>389</v>
      </c>
      <c r="BB44" t="s">
        <v>389</v>
      </c>
      <c r="BC44" t="s">
        <v>389</v>
      </c>
      <c r="BD44" t="s">
        <v>389</v>
      </c>
      <c r="BE44" t="s">
        <v>389</v>
      </c>
      <c r="BF44" t="str">
        <f t="shared" si="20"/>
        <v>Blade of Damocles</v>
      </c>
    </row>
    <row r="45" ht="15.75" customHeight="1">
      <c r="A45" s="51" t="str">
        <f t="shared" si="1"/>
        <v>#1</v>
      </c>
      <c r="B45" s="102">
        <v>100.0</v>
      </c>
      <c r="C45" s="54" t="str">
        <f t="shared" si="2"/>
        <v/>
      </c>
      <c r="D45" s="104" t="str">
        <f t="shared" si="3"/>
        <v>Titanium Plating</v>
      </c>
      <c r="E45" s="43" t="str">
        <f t="shared" si="4"/>
        <v>A</v>
      </c>
      <c r="F45" s="106" t="s">
        <v>301</v>
      </c>
      <c r="G45" s="3"/>
      <c r="H45" s="262"/>
      <c r="I45" s="104" t="str">
        <f t="shared" si="26"/>
        <v/>
      </c>
      <c r="J45" s="104" t="s">
        <v>652</v>
      </c>
      <c r="K45" s="43" t="str">
        <f t="shared" si="27"/>
        <v>A</v>
      </c>
      <c r="L45" s="106" t="s">
        <v>301</v>
      </c>
      <c r="M45" s="159"/>
      <c r="N45" s="3"/>
      <c r="O45" s="3"/>
      <c r="P45">
        <f>'EDITING Artifact Optimizer'!Q131</f>
        <v>0</v>
      </c>
      <c r="Q45">
        <f t="shared" si="5"/>
        <v>1E+17</v>
      </c>
      <c r="R45" t="b">
        <f t="shared" si="6"/>
        <v>1</v>
      </c>
      <c r="S45" t="b">
        <f t="shared" si="23"/>
        <v>1</v>
      </c>
      <c r="U45" t="b">
        <f t="shared" si="8"/>
        <v>1</v>
      </c>
      <c r="V45" s="116" t="s">
        <v>392</v>
      </c>
      <c r="W45" s="118" t="str">
        <f>image("https://vignette.wikia.nocookie.net/tap-titans-2/images/7/73/Titanium_Plating.png/revision/latest?cb=20171024233750")</f>
        <v/>
      </c>
      <c r="X45" s="70">
        <f t="shared" si="9"/>
        <v>0.79</v>
      </c>
      <c r="Y45" s="6">
        <f>1+'EDITING Artifact Optimizer'!S131*Q45 ^ (1 + ('EDITING Artifact Optimizer'!Y131-1)*min('EDITING Artifact Optimizer'!U131*Q45,'EDITING Artifact Optimizer'!T131))^'EDITING Artifact Optimizer'!V131</f>
        <v>2.72021E+18</v>
      </c>
      <c r="Z45">
        <f t="shared" si="10"/>
        <v>366180562019610</v>
      </c>
      <c r="AA45">
        <v>6.5E33</v>
      </c>
      <c r="AB45">
        <f>Q45*'EDITING Artifact Optimizer'!W131</f>
        <v>5E+16</v>
      </c>
      <c r="AC45" s="7">
        <f>('EDITING Artifact Optimizer'!W131*Q45*$Y$16+$AB$89)/$AB$89</f>
        <v>1.001046704</v>
      </c>
      <c r="AD45">
        <f>('EDITING Artifact Optimizer'!X131/(1+'EDITING Artifact Optimizer'!Y131))*Q45^(1+'EDITING Artifact Optimizer'!Y131)</f>
        <v>2.16667E+50</v>
      </c>
      <c r="AE45" s="93">
        <f t="shared" si="11"/>
        <v>0.003535643842</v>
      </c>
      <c r="AF45" s="8">
        <f t="shared" si="12"/>
        <v>0</v>
      </c>
      <c r="AG45">
        <f t="shared" si="13"/>
        <v>1</v>
      </c>
      <c r="AH45" s="1" t="str">
        <f t="shared" si="22"/>
        <v/>
      </c>
      <c r="AI45" s="1">
        <f t="shared" si="15"/>
        <v>366180562019610</v>
      </c>
      <c r="AP45" s="1" t="b">
        <f t="shared" si="18"/>
        <v>0</v>
      </c>
      <c r="AQ45" t="str">
        <f t="shared" si="16"/>
        <v>Titanium Plating</v>
      </c>
      <c r="AR45" t="s">
        <v>656</v>
      </c>
      <c r="AV45" s="131">
        <v>2800000.0</v>
      </c>
      <c r="AW45" s="133"/>
      <c r="AX45" s="133"/>
      <c r="AZ45" t="str">
        <f t="shared" si="24"/>
        <v/>
      </c>
      <c r="BA45" t="s">
        <v>403</v>
      </c>
      <c r="BB45" t="s">
        <v>403</v>
      </c>
      <c r="BC45" t="s">
        <v>403</v>
      </c>
      <c r="BD45" t="s">
        <v>403</v>
      </c>
      <c r="BE45" t="s">
        <v>403</v>
      </c>
      <c r="BF45" t="str">
        <f t="shared" si="20"/>
        <v>Helmet of Madness</v>
      </c>
    </row>
    <row r="46" ht="15.75" customHeight="1">
      <c r="A46" s="51" t="str">
        <f t="shared" si="1"/>
        <v>#8</v>
      </c>
      <c r="B46" s="102">
        <v>120.0</v>
      </c>
      <c r="C46" s="54" t="str">
        <f t="shared" si="2"/>
        <v/>
      </c>
      <c r="D46" s="104" t="str">
        <f t="shared" si="3"/>
        <v>Moonlight Bracelet</v>
      </c>
      <c r="E46" s="43" t="str">
        <f t="shared" si="4"/>
        <v>A</v>
      </c>
      <c r="F46" s="106" t="s">
        <v>301</v>
      </c>
      <c r="G46" s="3"/>
      <c r="H46" s="262"/>
      <c r="I46" s="104" t="str">
        <f t="shared" si="26"/>
        <v/>
      </c>
      <c r="J46" s="104" t="s">
        <v>658</v>
      </c>
      <c r="K46" s="43" t="str">
        <f t="shared" si="27"/>
        <v>C</v>
      </c>
      <c r="L46" s="106" t="s">
        <v>301</v>
      </c>
      <c r="M46" s="159"/>
      <c r="N46" s="3"/>
      <c r="O46" s="3"/>
      <c r="P46">
        <f>'EDITING Artifact Optimizer'!Q132</f>
        <v>0</v>
      </c>
      <c r="Q46">
        <f t="shared" si="5"/>
        <v>1.2E+17</v>
      </c>
      <c r="R46" t="b">
        <f t="shared" si="6"/>
        <v>1</v>
      </c>
      <c r="S46" t="b">
        <f t="shared" si="23"/>
        <v>1</v>
      </c>
      <c r="U46" t="b">
        <f t="shared" si="8"/>
        <v>1</v>
      </c>
      <c r="V46" s="258" t="s">
        <v>583</v>
      </c>
      <c r="W46" s="118" t="str">
        <f>image("https://vignette.wikia.nocookie.net/tap-titans-2/images/1/1a/Moonlight_Bracelet.png/revision/latest?cb=20180525170728")</f>
        <v/>
      </c>
      <c r="X46" s="70">
        <f t="shared" si="9"/>
        <v>1</v>
      </c>
      <c r="Y46" s="6">
        <f>1+'EDITING Artifact Optimizer'!S132*Q46 ^ (1 + ('EDITING Artifact Optimizer'!Y132-1)*min('EDITING Artifact Optimizer'!U132*Q46,'EDITING Artifact Optimizer'!T132))^'EDITING Artifact Optimizer'!V132</f>
        <v>3.35409E+18</v>
      </c>
      <c r="Z46">
        <f t="shared" si="10"/>
        <v>3.35831E+18</v>
      </c>
      <c r="AA46">
        <v>9.360000000000001E33</v>
      </c>
      <c r="AB46">
        <f>Q46*'EDITING Artifact Optimizer'!W132</f>
        <v>6E+16</v>
      </c>
      <c r="AC46" s="7">
        <f>('EDITING Artifact Optimizer'!W132*Q46*$Y$16+$AB$89)/$AB$89</f>
        <v>1.001256045</v>
      </c>
      <c r="AD46">
        <f>('EDITING Artifact Optimizer'!X132/(1+'EDITING Artifact Optimizer'!Y132))*Q46^(1+'EDITING Artifact Optimizer'!Y132)</f>
        <v>3.744E+50</v>
      </c>
      <c r="AE46" s="93">
        <f t="shared" si="11"/>
        <v>0.006109592559</v>
      </c>
      <c r="AF46" s="8">
        <f t="shared" si="12"/>
        <v>0</v>
      </c>
      <c r="AG46">
        <f t="shared" si="13"/>
        <v>8</v>
      </c>
      <c r="AH46" s="1" t="str">
        <f t="shared" si="22"/>
        <v/>
      </c>
      <c r="AI46" s="1">
        <f t="shared" si="15"/>
        <v>3.35831E+18</v>
      </c>
      <c r="AP46" s="1" t="b">
        <f t="shared" si="18"/>
        <v>0</v>
      </c>
      <c r="AQ46" t="str">
        <f t="shared" si="16"/>
        <v>Moonlight Bracelet</v>
      </c>
      <c r="AR46" t="s">
        <v>664</v>
      </c>
      <c r="AV46" s="131">
        <v>4270000.0</v>
      </c>
      <c r="AZ46" t="str">
        <f t="shared" si="24"/>
        <v/>
      </c>
      <c r="BA46" t="s">
        <v>403</v>
      </c>
      <c r="BB46" t="s">
        <v>403</v>
      </c>
      <c r="BC46" t="s">
        <v>403</v>
      </c>
      <c r="BD46" t="s">
        <v>403</v>
      </c>
      <c r="BE46" t="s">
        <v>403</v>
      </c>
      <c r="BF46" t="str">
        <f t="shared" si="20"/>
        <v>Titanium Plating</v>
      </c>
    </row>
    <row r="47" ht="15.75" customHeight="1">
      <c r="A47" s="51" t="str">
        <f t="shared" si="1"/>
        <v>#7</v>
      </c>
      <c r="B47" s="102">
        <v>120.0</v>
      </c>
      <c r="C47" s="54" t="str">
        <f t="shared" si="2"/>
        <v/>
      </c>
      <c r="D47" s="104" t="str">
        <f t="shared" si="3"/>
        <v>Amethyst Staff</v>
      </c>
      <c r="E47" s="43" t="str">
        <f t="shared" si="4"/>
        <v>A</v>
      </c>
      <c r="F47" s="106" t="s">
        <v>301</v>
      </c>
      <c r="G47" s="3"/>
      <c r="H47" s="262"/>
      <c r="I47" s="104" t="str">
        <f t="shared" si="26"/>
        <v/>
      </c>
      <c r="J47" s="104" t="s">
        <v>665</v>
      </c>
      <c r="K47" s="43" t="str">
        <f t="shared" si="27"/>
        <v>C</v>
      </c>
      <c r="L47" s="106" t="s">
        <v>301</v>
      </c>
      <c r="M47" s="159"/>
      <c r="N47" s="3"/>
      <c r="O47" s="3"/>
      <c r="P47">
        <f>'EDITING Artifact Optimizer'!Q133</f>
        <v>0</v>
      </c>
      <c r="Q47">
        <f t="shared" si="5"/>
        <v>1.2E+17</v>
      </c>
      <c r="R47" t="b">
        <f t="shared" si="6"/>
        <v>1</v>
      </c>
      <c r="S47" t="b">
        <f t="shared" si="23"/>
        <v>1</v>
      </c>
      <c r="U47" t="b">
        <f t="shared" si="8"/>
        <v>1</v>
      </c>
      <c r="V47" s="258" t="s">
        <v>562</v>
      </c>
      <c r="W47" s="118" t="str">
        <f>image("https://vignette.wikia.nocookie.net/tap-titans-2/images/a/a1/Amethyst_Staff.png/revision/latest?cb=20171024233619")</f>
        <v/>
      </c>
      <c r="X47" s="70">
        <f t="shared" si="9"/>
        <v>1</v>
      </c>
      <c r="Y47" s="6">
        <f>1+'EDITING Artifact Optimizer'!S133*Q47 ^ (1 + ('EDITING Artifact Optimizer'!Y133-1)*min('EDITING Artifact Optimizer'!U133*Q47,'EDITING Artifact Optimizer'!T133))^'EDITING Artifact Optimizer'!V133</f>
        <v>3.35409E+18</v>
      </c>
      <c r="Z47">
        <f t="shared" si="10"/>
        <v>3.35831E+18</v>
      </c>
      <c r="AA47">
        <v>9.360000000000001E33</v>
      </c>
      <c r="AB47">
        <f>Q47*'EDITING Artifact Optimizer'!W133</f>
        <v>6E+16</v>
      </c>
      <c r="AC47" s="7">
        <f>('EDITING Artifact Optimizer'!W133*Q47*$Y$16+$AB$89)/$AB$89</f>
        <v>1.001256045</v>
      </c>
      <c r="AD47">
        <f>('EDITING Artifact Optimizer'!X133/(1+'EDITING Artifact Optimizer'!Y133))*Q47^(1+'EDITING Artifact Optimizer'!Y133)</f>
        <v>3.744E+50</v>
      </c>
      <c r="AE47" s="93">
        <f t="shared" si="11"/>
        <v>0.006109592559</v>
      </c>
      <c r="AF47" s="8">
        <f t="shared" si="12"/>
        <v>0</v>
      </c>
      <c r="AG47">
        <f t="shared" si="13"/>
        <v>7</v>
      </c>
      <c r="AH47" s="1" t="str">
        <f t="shared" si="22"/>
        <v/>
      </c>
      <c r="AI47" s="1">
        <f t="shared" si="15"/>
        <v>3.35831E+18</v>
      </c>
      <c r="AP47" s="1" t="b">
        <f t="shared" si="18"/>
        <v>0</v>
      </c>
      <c r="AQ47" t="str">
        <f t="shared" si="16"/>
        <v>Amethyst Staff</v>
      </c>
      <c r="AR47" t="s">
        <v>562</v>
      </c>
      <c r="AV47" s="131">
        <v>6540000.0</v>
      </c>
      <c r="AZ47" t="str">
        <f t="shared" si="24"/>
        <v/>
      </c>
      <c r="BA47" t="s">
        <v>403</v>
      </c>
      <c r="BB47" t="s">
        <v>403</v>
      </c>
      <c r="BC47" t="s">
        <v>403</v>
      </c>
      <c r="BD47" t="s">
        <v>403</v>
      </c>
      <c r="BE47" t="s">
        <v>403</v>
      </c>
      <c r="BF47" t="str">
        <f t="shared" si="20"/>
        <v>Moonlight Bracelet</v>
      </c>
    </row>
    <row r="48" ht="15.75" customHeight="1">
      <c r="A48" s="51" t="str">
        <f t="shared" si="1"/>
        <v>#13</v>
      </c>
      <c r="B48" s="102">
        <v>3200.0</v>
      </c>
      <c r="C48" s="54" t="str">
        <f t="shared" si="2"/>
        <v/>
      </c>
      <c r="D48" s="104" t="str">
        <f t="shared" si="3"/>
        <v>Invader's Gjalarhorn</v>
      </c>
      <c r="E48" s="43" t="str">
        <f t="shared" si="4"/>
        <v>A</v>
      </c>
      <c r="F48" s="106" t="s">
        <v>301</v>
      </c>
      <c r="G48" s="3"/>
      <c r="H48" s="262"/>
      <c r="I48" s="104" t="str">
        <f t="shared" si="26"/>
        <v/>
      </c>
      <c r="J48" s="104" t="s">
        <v>669</v>
      </c>
      <c r="K48" s="43" t="str">
        <f t="shared" si="27"/>
        <v>A</v>
      </c>
      <c r="L48" s="106" t="s">
        <v>301</v>
      </c>
      <c r="M48" s="159"/>
      <c r="N48" s="3"/>
      <c r="O48" s="3"/>
      <c r="P48">
        <f>'EDITING Artifact Optimizer'!Q134</f>
        <v>0</v>
      </c>
      <c r="Q48">
        <f t="shared" si="5"/>
        <v>3.2E+18</v>
      </c>
      <c r="R48" t="b">
        <f t="shared" si="6"/>
        <v>1</v>
      </c>
      <c r="S48" t="b">
        <f t="shared" si="23"/>
        <v>1</v>
      </c>
      <c r="U48" t="b">
        <f t="shared" si="8"/>
        <v>1</v>
      </c>
      <c r="V48" s="258" t="s">
        <v>554</v>
      </c>
      <c r="W48" s="118" t="str">
        <f>image("https://vignette.wikia.nocookie.net/tap-titans-2/images/d/dd/Invader%27s_Gjallarhorn.png/revision/latest?cb=20171024223345")</f>
        <v/>
      </c>
      <c r="X48" s="70">
        <f t="shared" si="9"/>
        <v>3.28</v>
      </c>
      <c r="Y48" s="6">
        <f>1+'EDITING Artifact Optimizer'!S134*Q48 ^ (1 + ('EDITING Artifact Optimizer'!Y134-1)*min('EDITING Artifact Optimizer'!U134*Q48,'EDITING Artifact Optimizer'!T134))^'EDITING Artifact Optimizer'!V134</f>
        <v>2.00697E+19</v>
      </c>
      <c r="Z48">
        <f t="shared" si="10"/>
        <v>2.14433E+63</v>
      </c>
      <c r="AA48">
        <v>1.2229852279403459E33</v>
      </c>
      <c r="AB48">
        <f>Q48*'EDITING Artifact Optimizer'!W134</f>
        <v>6.4E+17</v>
      </c>
      <c r="AC48" s="7">
        <f>('EDITING Artifact Optimizer'!W134*Q48*$Y$16+$AB$89)/$AB$89</f>
        <v>1.013397809</v>
      </c>
      <c r="AD48">
        <f>('EDITING Artifact Optimizer'!X134/(1+'EDITING Artifact Optimizer'!Y134))*Q48^(1+'EDITING Artifact Optimizer'!Y134)</f>
        <v>1.3977E+51</v>
      </c>
      <c r="AE48" s="93">
        <f t="shared" si="11"/>
        <v>0.02280812408</v>
      </c>
      <c r="AF48" s="8">
        <f t="shared" si="12"/>
        <v>0</v>
      </c>
      <c r="AG48">
        <f t="shared" si="13"/>
        <v>13</v>
      </c>
      <c r="AH48" s="1" t="str">
        <f t="shared" si="22"/>
        <v/>
      </c>
      <c r="AI48" s="1">
        <f t="shared" si="15"/>
        <v>2.14433E+63</v>
      </c>
      <c r="AP48" s="1" t="b">
        <f t="shared" si="18"/>
        <v>0</v>
      </c>
      <c r="AQ48" t="str">
        <f t="shared" si="16"/>
        <v>Invader's Gjalarhorn</v>
      </c>
      <c r="AR48" s="1" t="s">
        <v>672</v>
      </c>
      <c r="AV48" s="131">
        <v>1.008E7</v>
      </c>
      <c r="AZ48" t="str">
        <f t="shared" si="24"/>
        <v/>
      </c>
      <c r="BA48" t="s">
        <v>403</v>
      </c>
      <c r="BB48" t="s">
        <v>403</v>
      </c>
      <c r="BC48" t="s">
        <v>403</v>
      </c>
      <c r="BD48" t="s">
        <v>403</v>
      </c>
      <c r="BE48" t="s">
        <v>403</v>
      </c>
      <c r="BF48" t="str">
        <f t="shared" si="20"/>
        <v>Amethyst Staff</v>
      </c>
    </row>
    <row r="49" ht="15.75" customHeight="1">
      <c r="A49" s="51" t="str">
        <f t="shared" si="1"/>
        <v>#40</v>
      </c>
      <c r="B49" s="102">
        <v>1700.0</v>
      </c>
      <c r="C49" s="54" t="str">
        <f t="shared" si="2"/>
        <v/>
      </c>
      <c r="D49" s="104" t="str">
        <f t="shared" si="3"/>
        <v>Titan's Mask</v>
      </c>
      <c r="E49" s="43" t="str">
        <f t="shared" si="4"/>
        <v>S</v>
      </c>
      <c r="F49" s="106" t="s">
        <v>301</v>
      </c>
      <c r="G49" s="3"/>
      <c r="H49" s="262"/>
      <c r="I49" s="104" t="str">
        <f t="shared" si="26"/>
        <v/>
      </c>
      <c r="J49" s="104" t="s">
        <v>673</v>
      </c>
      <c r="K49" s="43" t="str">
        <f t="shared" si="27"/>
        <v>B</v>
      </c>
      <c r="L49" s="106" t="s">
        <v>301</v>
      </c>
      <c r="M49" s="159"/>
      <c r="N49" s="3"/>
      <c r="O49" s="3"/>
      <c r="P49">
        <f>'EDITING Artifact Optimizer'!Q135</f>
        <v>0</v>
      </c>
      <c r="Q49">
        <f t="shared" si="5"/>
        <v>1.7E+18</v>
      </c>
      <c r="R49" t="b">
        <f t="shared" si="6"/>
        <v>1</v>
      </c>
      <c r="S49" t="b">
        <f t="shared" si="23"/>
        <v>1</v>
      </c>
      <c r="U49" t="b">
        <f t="shared" si="8"/>
        <v>1</v>
      </c>
      <c r="V49" s="229" t="s">
        <v>446</v>
      </c>
      <c r="W49" s="118" t="str">
        <f>image("https://vignette.wikia.nocookie.net/tap-titans-2/images/5/55/Titan%27s_Mask.png/revision/latest?cb=20171024233742")</f>
        <v/>
      </c>
      <c r="X49" s="70">
        <f t="shared" si="9"/>
        <v>0</v>
      </c>
      <c r="Y49" s="6">
        <f>1+'EDITING Artifact Optimizer'!S135*Q49 ^ (1 + ('EDITING Artifact Optimizer'!Y135-1)*min('EDITING Artifact Optimizer'!U135*Q49,'EDITING Artifact Optimizer'!T135))^'EDITING Artifact Optimizer'!V135</f>
        <v>4.22084E+19</v>
      </c>
      <c r="Z49">
        <f t="shared" si="10"/>
        <v>1</v>
      </c>
      <c r="AA49">
        <v>5.887276276269336E30</v>
      </c>
      <c r="AB49">
        <f>Q49*'EDITING Artifact Optimizer'!W135</f>
        <v>3.4E+17</v>
      </c>
      <c r="AC49" s="7">
        <f>('EDITING Artifact Optimizer'!W135*Q49*$Y$16+$AB$89)/$AB$89</f>
        <v>1.007117586</v>
      </c>
      <c r="AD49">
        <f>('EDITING Artifact Optimizer'!X135/(1+'EDITING Artifact Optimizer'!Y135))*Q49^(1+'EDITING Artifact Optimizer'!Y135)</f>
        <v>3.7068E+48</v>
      </c>
      <c r="AE49" s="93">
        <f t="shared" si="11"/>
        <v>0.00006048894119</v>
      </c>
      <c r="AF49" s="8">
        <f t="shared" si="12"/>
        <v>0</v>
      </c>
      <c r="AG49">
        <f t="shared" si="13"/>
        <v>40</v>
      </c>
      <c r="AH49" s="1" t="str">
        <f t="shared" si="22"/>
        <v/>
      </c>
      <c r="AI49" s="1">
        <f t="shared" si="15"/>
        <v>1</v>
      </c>
      <c r="AP49" s="1" t="b">
        <f t="shared" si="18"/>
        <v>0</v>
      </c>
      <c r="AQ49" t="str">
        <f t="shared" si="16"/>
        <v>Titan's Mask</v>
      </c>
      <c r="AR49" t="s">
        <v>676</v>
      </c>
      <c r="AV49" s="131">
        <v>1.561E7</v>
      </c>
      <c r="AZ49" t="str">
        <f t="shared" si="24"/>
        <v/>
      </c>
      <c r="BA49" t="s">
        <v>403</v>
      </c>
      <c r="BB49" t="s">
        <v>403</v>
      </c>
      <c r="BC49" t="s">
        <v>403</v>
      </c>
      <c r="BD49" t="s">
        <v>403</v>
      </c>
      <c r="BE49" t="s">
        <v>403</v>
      </c>
      <c r="BF49" t="str">
        <f t="shared" si="20"/>
        <v>Invader's Gjalarhorn</v>
      </c>
    </row>
    <row r="50" ht="15.75" customHeight="1">
      <c r="A50" s="51" t="str">
        <f t="shared" si="1"/>
        <v>#27</v>
      </c>
      <c r="B50" s="102">
        <v>10000.0</v>
      </c>
      <c r="C50" s="54" t="str">
        <f t="shared" si="2"/>
        <v/>
      </c>
      <c r="D50" s="104" t="str">
        <f t="shared" si="3"/>
        <v>Royal Toxin</v>
      </c>
      <c r="E50" s="43" t="str">
        <f t="shared" si="4"/>
        <v>B</v>
      </c>
      <c r="F50" s="106" t="s">
        <v>301</v>
      </c>
      <c r="G50" s="3"/>
      <c r="H50" s="262"/>
      <c r="I50" s="104" t="str">
        <f t="shared" si="26"/>
        <v/>
      </c>
      <c r="J50" s="346" t="s">
        <v>677</v>
      </c>
      <c r="K50" s="43" t="str">
        <f t="shared" si="27"/>
        <v>B</v>
      </c>
      <c r="L50" s="106" t="s">
        <v>301</v>
      </c>
      <c r="M50" s="159"/>
      <c r="N50" s="3"/>
      <c r="O50" s="3"/>
      <c r="P50">
        <f>'EDITING Artifact Optimizer'!Q136</f>
        <v>0</v>
      </c>
      <c r="Q50">
        <f t="shared" si="5"/>
        <v>1E+19</v>
      </c>
      <c r="R50" t="b">
        <f t="shared" si="6"/>
        <v>1</v>
      </c>
      <c r="S50" t="b">
        <f t="shared" si="23"/>
        <v>1</v>
      </c>
      <c r="U50" t="b">
        <f t="shared" si="8"/>
        <v>1</v>
      </c>
      <c r="V50" s="165" t="s">
        <v>400</v>
      </c>
      <c r="W50" s="118" t="str">
        <f>image("https://vignette.wikia.nocookie.net/tap-titans-2/images/1/1a/Royal_Toxin.png/revision/latest?cb=20171024234318")</f>
        <v/>
      </c>
      <c r="X50" s="70">
        <f t="shared" si="9"/>
        <v>0.6</v>
      </c>
      <c r="Y50" s="6">
        <f>1+'EDITING Artifact Optimizer'!S136*Q50 ^ (1 + ('EDITING Artifact Optimizer'!Y136-1)*min('EDITING Artifact Optimizer'!U136*Q50,'EDITING Artifact Optimizer'!T136))^'EDITING Artifact Optimizer'!V136</f>
        <v>3.13362E+20</v>
      </c>
      <c r="Z50">
        <f t="shared" si="10"/>
        <v>2033833268403</v>
      </c>
      <c r="AA50">
        <v>1.1971573889813253E32</v>
      </c>
      <c r="AB50">
        <f>Q50*'EDITING Artifact Optimizer'!W136</f>
        <v>2E+18</v>
      </c>
      <c r="AC50" s="7">
        <f>('EDITING Artifact Optimizer'!W136*Q50*$Y$16+$AB$89)/$AB$89</f>
        <v>1.041868154</v>
      </c>
      <c r="AD50">
        <f>('EDITING Artifact Optimizer'!X136/(1+'EDITING Artifact Optimizer'!Y136))*Q50^(1+'EDITING Artifact Optimizer'!Y136)</f>
        <v>4.43392E+50</v>
      </c>
      <c r="AE50" s="93">
        <f t="shared" si="11"/>
        <v>0.00723542248</v>
      </c>
      <c r="AF50" s="8">
        <f t="shared" si="12"/>
        <v>0</v>
      </c>
      <c r="AG50">
        <f t="shared" si="13"/>
        <v>27</v>
      </c>
      <c r="AH50" s="1" t="str">
        <f t="shared" si="22"/>
        <v/>
      </c>
      <c r="AI50" s="1">
        <f t="shared" si="15"/>
        <v>2033833268403</v>
      </c>
      <c r="AP50" s="1" t="b">
        <f t="shared" si="18"/>
        <v>0</v>
      </c>
      <c r="AQ50" t="str">
        <f t="shared" si="16"/>
        <v>Royal Toxin</v>
      </c>
      <c r="AR50" t="s">
        <v>680</v>
      </c>
      <c r="AV50" s="131">
        <v>2.429E7</v>
      </c>
      <c r="AZ50" t="str">
        <f t="shared" si="24"/>
        <v/>
      </c>
      <c r="BA50" t="s">
        <v>389</v>
      </c>
      <c r="BB50" t="s">
        <v>389</v>
      </c>
      <c r="BC50" t="s">
        <v>389</v>
      </c>
      <c r="BD50" t="s">
        <v>389</v>
      </c>
      <c r="BE50" t="s">
        <v>389</v>
      </c>
      <c r="BF50" t="str">
        <f t="shared" si="20"/>
        <v>Titan's Mask</v>
      </c>
    </row>
    <row r="51" ht="15.75" customHeight="1">
      <c r="A51" s="51" t="str">
        <f t="shared" si="1"/>
        <v>#32</v>
      </c>
      <c r="B51" s="102">
        <v>10000.0</v>
      </c>
      <c r="C51" s="54" t="str">
        <f t="shared" si="2"/>
        <v/>
      </c>
      <c r="D51" s="104" t="str">
        <f t="shared" si="3"/>
        <v>Laborer's Pendant</v>
      </c>
      <c r="E51" s="43" t="str">
        <f t="shared" si="4"/>
        <v>A</v>
      </c>
      <c r="F51" s="106" t="s">
        <v>301</v>
      </c>
      <c r="G51" s="3"/>
      <c r="H51" s="262"/>
      <c r="I51" s="104" t="str">
        <f t="shared" si="26"/>
        <v/>
      </c>
      <c r="J51" s="346" t="s">
        <v>681</v>
      </c>
      <c r="K51" s="43" t="str">
        <f t="shared" si="27"/>
        <v>B</v>
      </c>
      <c r="L51" s="137" t="s">
        <v>301</v>
      </c>
      <c r="M51" s="172"/>
      <c r="N51" s="3"/>
      <c r="O51" s="3"/>
      <c r="P51">
        <f>'EDITING Artifact Optimizer'!Q137</f>
        <v>0</v>
      </c>
      <c r="Q51">
        <f t="shared" si="5"/>
        <v>1E+19</v>
      </c>
      <c r="R51" t="b">
        <f t="shared" si="6"/>
        <v>1</v>
      </c>
      <c r="S51" t="b">
        <f t="shared" si="23"/>
        <v>1</v>
      </c>
      <c r="U51" t="b">
        <f t="shared" si="8"/>
        <v>1</v>
      </c>
      <c r="V51" s="116" t="s">
        <v>575</v>
      </c>
      <c r="W51" s="118" t="str">
        <f>image("https://vignette.wikia.nocookie.net/tap-titans-2/images/5/5a/Laborer%27s_Pendant.png/revision/latest?cb=20171024233729")</f>
        <v/>
      </c>
      <c r="X51" s="70">
        <f t="shared" si="9"/>
        <v>0.48</v>
      </c>
      <c r="Y51" s="6">
        <f>1+'EDITING Artifact Optimizer'!S137*Q51 ^ (1 + ('EDITING Artifact Optimizer'!Y137-1)*min('EDITING Artifact Optimizer'!U137*Q51,'EDITING Artifact Optimizer'!T137))^'EDITING Artifact Optimizer'!V137</f>
        <v>3.13362E+20</v>
      </c>
      <c r="Z51">
        <f t="shared" si="10"/>
        <v>7025096230</v>
      </c>
      <c r="AA51">
        <v>1.1971573889813253E32</v>
      </c>
      <c r="AB51">
        <f>Q51*'EDITING Artifact Optimizer'!W137</f>
        <v>2E+18</v>
      </c>
      <c r="AC51" s="7">
        <f>('EDITING Artifact Optimizer'!W137*Q51*$Y$16+$AB$89)/$AB$89</f>
        <v>1.041868154</v>
      </c>
      <c r="AD51">
        <f>('EDITING Artifact Optimizer'!X137/(1+'EDITING Artifact Optimizer'!Y137))*Q51^(1+'EDITING Artifact Optimizer'!Y137)</f>
        <v>4.43392E+50</v>
      </c>
      <c r="AE51" s="93">
        <f t="shared" si="11"/>
        <v>0.00723542248</v>
      </c>
      <c r="AF51" s="8">
        <f t="shared" si="12"/>
        <v>0</v>
      </c>
      <c r="AG51">
        <f t="shared" si="13"/>
        <v>32</v>
      </c>
      <c r="AH51" s="1" t="str">
        <f t="shared" si="22"/>
        <v/>
      </c>
      <c r="AP51" s="1" t="b">
        <f t="shared" si="18"/>
        <v>0</v>
      </c>
      <c r="AQ51" t="str">
        <f t="shared" si="16"/>
        <v>Laborer's Pendant</v>
      </c>
      <c r="AR51" t="s">
        <v>684</v>
      </c>
      <c r="AV51" s="131">
        <v>3.798E7</v>
      </c>
      <c r="AZ51" t="str">
        <f t="shared" si="24"/>
        <v/>
      </c>
      <c r="BA51" t="s">
        <v>431</v>
      </c>
      <c r="BB51" t="s">
        <v>431</v>
      </c>
      <c r="BC51" t="s">
        <v>431</v>
      </c>
      <c r="BD51" t="s">
        <v>431</v>
      </c>
      <c r="BE51" t="s">
        <v>431</v>
      </c>
      <c r="BF51" t="str">
        <f t="shared" si="20"/>
        <v>Royal Toxin</v>
      </c>
    </row>
    <row r="52" ht="15.75" customHeight="1">
      <c r="A52" s="51" t="str">
        <f t="shared" si="1"/>
        <v>#26</v>
      </c>
      <c r="B52" s="102">
        <v>10000.0</v>
      </c>
      <c r="C52" s="54" t="str">
        <f t="shared" si="2"/>
        <v/>
      </c>
      <c r="D52" s="104" t="str">
        <f t="shared" si="3"/>
        <v>Bringer of Ragnarok</v>
      </c>
      <c r="E52" s="43" t="str">
        <f t="shared" si="4"/>
        <v>A</v>
      </c>
      <c r="F52" s="106" t="s">
        <v>301</v>
      </c>
      <c r="G52" s="3"/>
      <c r="H52" s="262"/>
      <c r="I52" s="104" t="str">
        <f t="shared" si="26"/>
        <v/>
      </c>
      <c r="J52" s="346" t="s">
        <v>685</v>
      </c>
      <c r="K52" s="43" t="str">
        <f t="shared" si="27"/>
        <v>A</v>
      </c>
      <c r="L52" s="137" t="s">
        <v>301</v>
      </c>
      <c r="M52" s="159"/>
      <c r="N52" s="3"/>
      <c r="O52" s="3"/>
      <c r="P52">
        <f>'EDITING Artifact Optimizer'!Q138</f>
        <v>0</v>
      </c>
      <c r="Q52">
        <f t="shared" si="5"/>
        <v>1E+19</v>
      </c>
      <c r="R52" t="b">
        <f t="shared" si="6"/>
        <v>1</v>
      </c>
      <c r="S52" t="b">
        <f t="shared" si="23"/>
        <v>1</v>
      </c>
      <c r="U52" t="b">
        <f t="shared" si="8"/>
        <v>1</v>
      </c>
      <c r="V52" s="176" t="s">
        <v>412</v>
      </c>
      <c r="W52" s="118" t="str">
        <f>image("https://vignette.wikia.nocookie.net/tap-titans-2/images/0/07/Bringer_of_Ragnarok.png/revision/latest?cb=20171024225626")</f>
        <v/>
      </c>
      <c r="X52" s="70">
        <f t="shared" si="9"/>
        <v>0.6</v>
      </c>
      <c r="Y52" s="6">
        <f>1+'EDITING Artifact Optimizer'!S138*Q52 ^ (1 + ('EDITING Artifact Optimizer'!Y138-1)*min('EDITING Artifact Optimizer'!U138*Q52,'EDITING Artifact Optimizer'!T138))^'EDITING Artifact Optimizer'!V138</f>
        <v>3.13362E+20</v>
      </c>
      <c r="Z52">
        <f t="shared" si="10"/>
        <v>2033833268403</v>
      </c>
      <c r="AA52">
        <v>1.1971573889813253E32</v>
      </c>
      <c r="AB52">
        <f>Q52*'EDITING Artifact Optimizer'!W138</f>
        <v>2E+18</v>
      </c>
      <c r="AC52" s="7">
        <f>('EDITING Artifact Optimizer'!W138*Q52*$Y$16+$AB$89)/$AB$89</f>
        <v>1.041868154</v>
      </c>
      <c r="AD52">
        <f>('EDITING Artifact Optimizer'!X138/(1+'EDITING Artifact Optimizer'!Y138))*Q52^(1+'EDITING Artifact Optimizer'!Y138)</f>
        <v>4.43392E+50</v>
      </c>
      <c r="AE52" s="93">
        <f t="shared" si="11"/>
        <v>0.00723542248</v>
      </c>
      <c r="AF52" s="8">
        <f t="shared" si="12"/>
        <v>0</v>
      </c>
      <c r="AG52">
        <f t="shared" si="13"/>
        <v>26</v>
      </c>
      <c r="AH52" s="1" t="str">
        <f t="shared" si="22"/>
        <v/>
      </c>
      <c r="AP52" s="1" t="b">
        <f t="shared" si="18"/>
        <v>0</v>
      </c>
      <c r="AQ52" t="str">
        <f t="shared" si="16"/>
        <v>Bringer of Ragnarok</v>
      </c>
      <c r="AR52" t="s">
        <v>688</v>
      </c>
      <c r="AV52" s="131">
        <v>5.971E7</v>
      </c>
      <c r="AZ52" t="str">
        <f t="shared" si="24"/>
        <v/>
      </c>
      <c r="BA52" t="s">
        <v>403</v>
      </c>
      <c r="BB52" t="s">
        <v>403</v>
      </c>
      <c r="BC52" t="s">
        <v>403</v>
      </c>
      <c r="BD52" t="s">
        <v>403</v>
      </c>
      <c r="BE52" t="s">
        <v>403</v>
      </c>
      <c r="BF52" t="str">
        <f t="shared" si="20"/>
        <v>Laborer's Pendant</v>
      </c>
    </row>
    <row r="53" ht="15.75" customHeight="1">
      <c r="A53" s="51" t="str">
        <f t="shared" si="1"/>
        <v>#25</v>
      </c>
      <c r="B53" s="102">
        <v>10000.0</v>
      </c>
      <c r="C53" s="54" t="str">
        <f t="shared" si="2"/>
        <v/>
      </c>
      <c r="D53" s="104" t="str">
        <f t="shared" si="3"/>
        <v>Parchment of Foresight</v>
      </c>
      <c r="E53" s="43" t="str">
        <f t="shared" si="4"/>
        <v>A</v>
      </c>
      <c r="F53" s="106" t="s">
        <v>301</v>
      </c>
      <c r="G53" s="3"/>
      <c r="H53" s="262"/>
      <c r="I53" s="104" t="str">
        <f t="shared" si="26"/>
        <v/>
      </c>
      <c r="J53" s="346" t="s">
        <v>691</v>
      </c>
      <c r="K53" s="43" t="str">
        <f t="shared" si="27"/>
        <v>C</v>
      </c>
      <c r="L53" s="106" t="s">
        <v>301</v>
      </c>
      <c r="M53" s="159"/>
      <c r="N53" s="3"/>
      <c r="O53" s="3"/>
      <c r="P53">
        <f>'EDITING Artifact Optimizer'!Q139</f>
        <v>0</v>
      </c>
      <c r="Q53">
        <f t="shared" si="5"/>
        <v>1E+19</v>
      </c>
      <c r="R53" t="b">
        <f t="shared" si="6"/>
        <v>1</v>
      </c>
      <c r="S53" t="b">
        <f t="shared" si="23"/>
        <v>1</v>
      </c>
      <c r="U53" t="b">
        <f t="shared" si="8"/>
        <v>1</v>
      </c>
      <c r="V53" s="149" t="s">
        <v>407</v>
      </c>
      <c r="W53" s="118" t="str">
        <f>image("https://vignette.wikia.nocookie.net/tap-titans-2/images/9/92/Parchment_of_Foresight.png/revision/latest?cb=20171024233735")</f>
        <v/>
      </c>
      <c r="X53" s="70">
        <f t="shared" si="9"/>
        <v>0.6</v>
      </c>
      <c r="Y53" s="6">
        <f>1+'EDITING Artifact Optimizer'!S139*Q53 ^ (1 + ('EDITING Artifact Optimizer'!Y139-1)*min('EDITING Artifact Optimizer'!U139*Q53,'EDITING Artifact Optimizer'!T139))^'EDITING Artifact Optimizer'!V139</f>
        <v>3.13362E+20</v>
      </c>
      <c r="Z53">
        <f t="shared" si="10"/>
        <v>2033833268403</v>
      </c>
      <c r="AA53">
        <v>1.1971573889813253E32</v>
      </c>
      <c r="AB53">
        <f>Q53*'EDITING Artifact Optimizer'!W139</f>
        <v>2E+18</v>
      </c>
      <c r="AC53" s="7">
        <f>('EDITING Artifact Optimizer'!W139*Q53*$Y$16+$AB$89)/$AB$89</f>
        <v>1.041868154</v>
      </c>
      <c r="AD53">
        <f>('EDITING Artifact Optimizer'!X139/(1+'EDITING Artifact Optimizer'!Y139))*Q53^(1+'EDITING Artifact Optimizer'!Y139)</f>
        <v>4.43392E+50</v>
      </c>
      <c r="AE53" s="93">
        <f t="shared" si="11"/>
        <v>0.00723542248</v>
      </c>
      <c r="AF53" s="8">
        <f t="shared" si="12"/>
        <v>0</v>
      </c>
      <c r="AG53">
        <f t="shared" si="13"/>
        <v>25</v>
      </c>
      <c r="AH53" s="1" t="str">
        <f t="shared" si="22"/>
        <v/>
      </c>
      <c r="AP53" s="1" t="b">
        <f t="shared" si="18"/>
        <v>0</v>
      </c>
      <c r="AQ53" t="str">
        <f t="shared" si="16"/>
        <v>Parchment of Foresight</v>
      </c>
      <c r="AR53" t="s">
        <v>693</v>
      </c>
      <c r="AV53" s="131">
        <v>9.432E7</v>
      </c>
      <c r="AZ53" t="str">
        <f t="shared" si="24"/>
        <v/>
      </c>
      <c r="BA53" t="s">
        <v>403</v>
      </c>
      <c r="BB53" t="s">
        <v>403</v>
      </c>
      <c r="BC53" t="s">
        <v>403</v>
      </c>
      <c r="BD53" t="s">
        <v>403</v>
      </c>
      <c r="BE53" t="s">
        <v>403</v>
      </c>
      <c r="BF53" t="str">
        <f t="shared" si="20"/>
        <v>Bringer of Ragnarok</v>
      </c>
    </row>
    <row r="54" ht="15.75" customHeight="1">
      <c r="A54" s="51" t="str">
        <f t="shared" si="1"/>
        <v>#11</v>
      </c>
      <c r="B54" s="366">
        <v>10000.0</v>
      </c>
      <c r="C54" s="54" t="str">
        <f t="shared" si="2"/>
        <v/>
      </c>
      <c r="D54" s="368" t="str">
        <f t="shared" si="3"/>
        <v>Elixir of Eden</v>
      </c>
      <c r="E54" s="43" t="str">
        <f t="shared" si="4"/>
        <v>A</v>
      </c>
      <c r="F54" s="369" t="s">
        <v>301</v>
      </c>
      <c r="G54" s="3"/>
      <c r="H54" s="262"/>
      <c r="I54" s="104" t="str">
        <f t="shared" si="26"/>
        <v/>
      </c>
      <c r="J54" s="346" t="s">
        <v>695</v>
      </c>
      <c r="K54" s="43" t="str">
        <f t="shared" si="27"/>
        <v>F</v>
      </c>
      <c r="L54" s="137" t="s">
        <v>301</v>
      </c>
      <c r="M54" s="159"/>
      <c r="N54" s="3"/>
      <c r="O54" s="3"/>
      <c r="P54">
        <f>'EDITING Artifact Optimizer'!Q140</f>
        <v>0</v>
      </c>
      <c r="Q54">
        <f t="shared" si="5"/>
        <v>1E+19</v>
      </c>
      <c r="R54" t="b">
        <f t="shared" si="6"/>
        <v>1</v>
      </c>
      <c r="S54" t="b">
        <f t="shared" si="23"/>
        <v>1</v>
      </c>
      <c r="U54" t="b">
        <f t="shared" si="8"/>
        <v>1</v>
      </c>
      <c r="V54" s="208" t="s">
        <v>435</v>
      </c>
      <c r="W54" s="118" t="str">
        <f>image("https://vignette.wikia.nocookie.net/tap-titans-2/images/a/a6/Elixir_of_Eden.png/revision/latest?cb=20171024233648")</f>
        <v/>
      </c>
      <c r="X54" s="70">
        <f t="shared" si="9"/>
        <v>1</v>
      </c>
      <c r="Y54" s="6">
        <f>1+'EDITING Artifact Optimizer'!S140*Q54 ^ (1 + ('EDITING Artifact Optimizer'!Y140-1)*min('EDITING Artifact Optimizer'!U140*Q54,'EDITING Artifact Optimizer'!T140))^'EDITING Artifact Optimizer'!V140</f>
        <v>3.13362E+20</v>
      </c>
      <c r="AA54">
        <v>1.1971573889813253E32</v>
      </c>
      <c r="AB54">
        <f>Q54*'EDITING Artifact Optimizer'!W140</f>
        <v>2E+18</v>
      </c>
      <c r="AC54" s="7">
        <f>('EDITING Artifact Optimizer'!W140*Q54*$Y$16+$AB$89)/$AB$89</f>
        <v>1.041868154</v>
      </c>
      <c r="AD54">
        <f>('EDITING Artifact Optimizer'!X140/(1+'EDITING Artifact Optimizer'!Y140))*Q54^(1+'EDITING Artifact Optimizer'!Y140)</f>
        <v>4.43392E+50</v>
      </c>
      <c r="AE54" s="93">
        <f t="shared" si="11"/>
        <v>0.00723542248</v>
      </c>
      <c r="AF54" s="8">
        <f t="shared" si="12"/>
        <v>0</v>
      </c>
      <c r="AG54">
        <f t="shared" si="13"/>
        <v>11</v>
      </c>
      <c r="AH54" s="1" t="str">
        <f t="shared" si="22"/>
        <v/>
      </c>
      <c r="AP54" s="1" t="b">
        <f t="shared" si="18"/>
        <v>0</v>
      </c>
      <c r="AQ54" t="str">
        <f t="shared" si="16"/>
        <v>Elixir of Eden</v>
      </c>
      <c r="AR54" t="s">
        <v>699</v>
      </c>
      <c r="AV54" s="131">
        <v>1.4976E8</v>
      </c>
      <c r="AZ54" t="str">
        <f t="shared" si="24"/>
        <v/>
      </c>
      <c r="BA54" t="s">
        <v>403</v>
      </c>
      <c r="BB54" t="s">
        <v>403</v>
      </c>
      <c r="BC54" t="s">
        <v>403</v>
      </c>
      <c r="BD54" t="s">
        <v>403</v>
      </c>
      <c r="BE54" t="s">
        <v>403</v>
      </c>
      <c r="BF54" t="str">
        <f t="shared" si="20"/>
        <v>Parchment of Foresight</v>
      </c>
    </row>
    <row r="55" ht="15.75" customHeight="1">
      <c r="A55" s="373"/>
      <c r="B55" s="374"/>
      <c r="C55" s="374"/>
      <c r="D55" s="374"/>
      <c r="E55" s="374"/>
      <c r="F55" s="374"/>
      <c r="G55" s="374"/>
      <c r="H55" s="374"/>
      <c r="I55" s="374"/>
      <c r="J55" s="374"/>
      <c r="K55" s="374"/>
      <c r="L55" s="374"/>
      <c r="M55" s="377"/>
      <c r="N55" s="3"/>
      <c r="O55" s="3"/>
      <c r="P55">
        <f>'EDITING Artifact Optimizer'!Q141</f>
        <v>40</v>
      </c>
      <c r="Q55">
        <f t="shared" ref="Q55:Q88" si="45">if($H$19="Auto level artis to MAX(set unowned=0)",IF(AND(H21=0,H21&lt;&gt;""),0,P55) ,H21)</f>
        <v>40</v>
      </c>
      <c r="R55" t="b">
        <f t="shared" si="6"/>
        <v>1</v>
      </c>
      <c r="S55" t="b">
        <f t="shared" ref="S55:S85" si="46">IF(L21="☑",true,false)</f>
        <v>1</v>
      </c>
      <c r="U55" t="b">
        <f t="shared" si="8"/>
        <v>1</v>
      </c>
      <c r="V55" s="4" t="s">
        <v>332</v>
      </c>
      <c r="W55" s="281" t="str">
        <f>image("https://vignette.wikia.nocookie.net/tap-titans-2/images/1/16/Hourglass_of_the_Impatient.png/revision/latest?cb=20171206185750")</f>
        <v/>
      </c>
      <c r="X55" s="70">
        <f t="shared" si="9"/>
        <v>1</v>
      </c>
      <c r="Y55" s="6">
        <f>1+'EDITING Artifact Optimizer'!S141*Q55 ^ (1 + ('EDITING Artifact Optimizer'!Y141-1)*min('EDITING Artifact Optimizer'!U141*Q55,'EDITING Artifact Optimizer'!T141))^'EDITING Artifact Optimizer'!V141</f>
        <v>1.8</v>
      </c>
      <c r="AA55">
        <v>7316.880830837224</v>
      </c>
      <c r="AB55">
        <f>Q55*'EDITING Artifact Optimizer'!W141</f>
        <v>32</v>
      </c>
      <c r="AC55" s="7">
        <f>('EDITING Artifact Optimizer'!W141*Q55*$Y$16+$AB$89)/$AB$89</f>
        <v>1</v>
      </c>
      <c r="AD55">
        <f>('EDITING Artifact Optimizer'!X141/(1+'EDITING Artifact Optimizer'!Y141))*Q55^(1+'EDITING Artifact Optimizer'!Y141)</f>
        <v>81298.6759</v>
      </c>
      <c r="AE55" s="93">
        <f t="shared" si="11"/>
        <v>0</v>
      </c>
      <c r="AF55" s="8">
        <f t="shared" si="12"/>
        <v>0.000003139934351</v>
      </c>
      <c r="AH55" s="1" t="str">
        <f t="shared" si="22"/>
        <v/>
      </c>
      <c r="AV55" s="131">
        <v>2.3898E8</v>
      </c>
      <c r="AW55" s="133"/>
      <c r="AX55" s="133"/>
      <c r="AZ55" t="str">
        <f t="shared" si="24"/>
        <v/>
      </c>
      <c r="BA55" t="s">
        <v>403</v>
      </c>
      <c r="BB55" t="s">
        <v>403</v>
      </c>
      <c r="BC55" t="s">
        <v>403</v>
      </c>
      <c r="BD55" t="s">
        <v>403</v>
      </c>
      <c r="BE55" t="s">
        <v>403</v>
      </c>
      <c r="BF55" t="str">
        <f t="shared" si="20"/>
        <v>Elixir of Eden</v>
      </c>
    </row>
    <row r="56" ht="15.75" customHeight="1">
      <c r="A56" s="383" t="s">
        <v>703</v>
      </c>
      <c r="N56" s="3"/>
      <c r="O56" s="3"/>
      <c r="P56">
        <f>'EDITING Artifact Optimizer'!Q142</f>
        <v>30</v>
      </c>
      <c r="Q56">
        <f t="shared" si="45"/>
        <v>30</v>
      </c>
      <c r="R56" t="b">
        <f t="shared" si="6"/>
        <v>1</v>
      </c>
      <c r="S56" t="b">
        <f t="shared" si="46"/>
        <v>1</v>
      </c>
      <c r="U56" t="b">
        <f t="shared" si="8"/>
        <v>1</v>
      </c>
      <c r="V56" s="4" t="s">
        <v>332</v>
      </c>
      <c r="W56" s="118" t="str">
        <f>image("https://vignette.wikia.nocookie.net/tap-titans-2/images/7/75/Phantom_Timepiece.png/revision/latest?cb=20171024223340")</f>
        <v/>
      </c>
      <c r="X56" s="70">
        <f t="shared" si="9"/>
        <v>1</v>
      </c>
      <c r="Y56" s="6">
        <f>1+'EDITING Artifact Optimizer'!S142*Q56 ^ (1 + ('EDITING Artifact Optimizer'!Y142-1)*min('EDITING Artifact Optimizer'!U142*Q56,'EDITING Artifact Optimizer'!T142))^'EDITING Artifact Optimizer'!V142</f>
        <v>31</v>
      </c>
      <c r="AA56">
        <v>27000.0</v>
      </c>
      <c r="AB56">
        <f>Q56*'EDITING Artifact Optimizer'!W142</f>
        <v>24</v>
      </c>
      <c r="AC56" s="7">
        <f>('EDITING Artifact Optimizer'!W142*Q56*$Y$16+$AB$89)/$AB$89</f>
        <v>1</v>
      </c>
      <c r="AD56">
        <f>('EDITING Artifact Optimizer'!X142/(1+'EDITING Artifact Optimizer'!Y142))*Q56^(1+'EDITING Artifact Optimizer'!Y142)</f>
        <v>202500</v>
      </c>
      <c r="AE56" s="93">
        <f t="shared" si="11"/>
        <v>0</v>
      </c>
      <c r="AF56" s="8">
        <f t="shared" si="12"/>
        <v>0.000007364749105</v>
      </c>
      <c r="AH56" s="1" t="str">
        <f t="shared" si="22"/>
        <v/>
      </c>
      <c r="AV56" s="131">
        <v>3.8327E8</v>
      </c>
      <c r="AZ56" t="str">
        <f t="shared" si="24"/>
        <v/>
      </c>
      <c r="BA56" t="s">
        <v>431</v>
      </c>
      <c r="BB56" t="s">
        <v>431</v>
      </c>
      <c r="BC56" t="s">
        <v>431</v>
      </c>
      <c r="BD56" t="s">
        <v>431</v>
      </c>
      <c r="BE56" t="s">
        <v>431</v>
      </c>
      <c r="BF56" t="str">
        <f>J21</f>
        <v>Hourglass of the Impatient</v>
      </c>
    </row>
    <row r="57" ht="15.75" customHeight="1">
      <c r="A57" s="384"/>
      <c r="B57" s="386"/>
      <c r="C57" s="386"/>
      <c r="D57" s="386"/>
      <c r="E57" s="386"/>
      <c r="F57" s="387"/>
      <c r="G57" s="386"/>
      <c r="H57" s="387"/>
      <c r="I57" s="387"/>
      <c r="J57" s="387"/>
      <c r="K57" s="387"/>
      <c r="L57" s="387"/>
      <c r="M57" s="388"/>
      <c r="N57" s="3"/>
      <c r="O57" s="3"/>
      <c r="P57">
        <f>'EDITING Artifact Optimizer'!Q143</f>
        <v>30</v>
      </c>
      <c r="Q57">
        <f t="shared" si="45"/>
        <v>30</v>
      </c>
      <c r="R57" t="b">
        <f t="shared" si="6"/>
        <v>1</v>
      </c>
      <c r="S57" t="b">
        <f t="shared" si="46"/>
        <v>1</v>
      </c>
      <c r="U57" t="b">
        <f t="shared" si="8"/>
        <v>1</v>
      </c>
      <c r="V57" s="4" t="s">
        <v>332</v>
      </c>
      <c r="W57" s="118" t="str">
        <f>image("https://vignette.wikia.nocookie.net/tap-titans-2/images/5/5a/Forbidden_Scroll.png/revision/latest?cb=20171024232056")</f>
        <v/>
      </c>
      <c r="X57" s="70">
        <f t="shared" si="9"/>
        <v>1</v>
      </c>
      <c r="Y57" s="6">
        <f>1+'EDITING Artifact Optimizer'!S143*Q57 ^ (1 + ('EDITING Artifact Optimizer'!Y143-1)*min('EDITING Artifact Optimizer'!U143*Q57,'EDITING Artifact Optimizer'!T143))^'EDITING Artifact Optimizer'!V143</f>
        <v>61</v>
      </c>
      <c r="AA57">
        <v>2104.9523140947413</v>
      </c>
      <c r="AB57">
        <f>Q57*'EDITING Artifact Optimizer'!W143</f>
        <v>45</v>
      </c>
      <c r="AC57" s="7">
        <f>('EDITING Artifact Optimizer'!W143*Q57*$Y$16+$AB$89)/$AB$89</f>
        <v>1</v>
      </c>
      <c r="AD57">
        <f>('EDITING Artifact Optimizer'!X143/(1+'EDITING Artifact Optimizer'!Y143))*Q57^(1+'EDITING Artifact Optimizer'!Y143)</f>
        <v>18573.10865</v>
      </c>
      <c r="AE57" s="93">
        <f t="shared" si="11"/>
        <v>0</v>
      </c>
      <c r="AF57" s="8">
        <f t="shared" si="12"/>
        <v>0.00009612444897</v>
      </c>
      <c r="AH57" s="1" t="str">
        <f t="shared" si="22"/>
        <v/>
      </c>
      <c r="AV57" s="131">
        <v>6.1778E8</v>
      </c>
      <c r="AZ57" t="str">
        <f t="shared" si="24"/>
        <v/>
      </c>
      <c r="BA57" t="s">
        <v>431</v>
      </c>
      <c r="BB57" t="s">
        <v>431</v>
      </c>
      <c r="BC57" t="s">
        <v>431</v>
      </c>
      <c r="BD57" t="s">
        <v>431</v>
      </c>
      <c r="BE57" t="s">
        <v>431</v>
      </c>
      <c r="BF57" t="str">
        <f t="shared" ref="BF57:BF90" si="47">J21</f>
        <v>Hourglass of the Impatient</v>
      </c>
    </row>
    <row r="58" ht="15.75" customHeight="1">
      <c r="A58" s="392"/>
      <c r="B58" s="393"/>
      <c r="C58" s="395" t="str">
        <f>J5 &amp; " Artifact Strength Score:"</f>
        <v>SC Artifact Strength Score:</v>
      </c>
      <c r="D58" s="234"/>
      <c r="E58" s="397" t="str">
        <f>IFERROR(AH2,"BIG")</f>
        <v>765.1</v>
      </c>
      <c r="F58" s="236"/>
      <c r="G58" s="3"/>
      <c r="H58" s="398" t="s">
        <v>710</v>
      </c>
      <c r="K58" s="401" t="s">
        <v>182</v>
      </c>
      <c r="L58" s="236"/>
      <c r="M58" s="407"/>
      <c r="N58" s="3"/>
      <c r="O58" s="3"/>
      <c r="P58">
        <f>'EDITING Artifact Optimizer'!Q144</f>
        <v>30</v>
      </c>
      <c r="Q58">
        <f t="shared" si="45"/>
        <v>30</v>
      </c>
      <c r="R58" t="b">
        <f t="shared" si="6"/>
        <v>1</v>
      </c>
      <c r="S58" t="b">
        <f t="shared" si="46"/>
        <v>1</v>
      </c>
      <c r="U58" t="b">
        <f t="shared" si="8"/>
        <v>1</v>
      </c>
      <c r="V58" s="4" t="s">
        <v>332</v>
      </c>
      <c r="W58" s="118" t="str">
        <f>image("https://vignette.wikia.nocookie.net/tap-titans-2/images/7/74/Ring_of_Fealty.png/revision/latest?cb=20170927231949")</f>
        <v/>
      </c>
      <c r="X58" s="70">
        <f t="shared" si="9"/>
        <v>1</v>
      </c>
      <c r="Y58" s="6">
        <f>1+'EDITING Artifact Optimizer'!S144*Q58 ^ (1 + ('EDITING Artifact Optimizer'!Y144-1)*min('EDITING Artifact Optimizer'!U144*Q58,'EDITING Artifact Optimizer'!T144))^'EDITING Artifact Optimizer'!V144</f>
        <v>61</v>
      </c>
      <c r="AA58">
        <v>2104.9523140947413</v>
      </c>
      <c r="AB58">
        <f>Q58*'EDITING Artifact Optimizer'!W144</f>
        <v>45</v>
      </c>
      <c r="AC58" s="7">
        <f>('EDITING Artifact Optimizer'!W144*Q58*$Y$16+$AB$89)/$AB$89</f>
        <v>1</v>
      </c>
      <c r="AD58">
        <f>('EDITING Artifact Optimizer'!X144/(1+'EDITING Artifact Optimizer'!Y144))*Q58^(1+'EDITING Artifact Optimizer'!Y144)</f>
        <v>18573.10865</v>
      </c>
      <c r="AE58" s="93">
        <f t="shared" si="11"/>
        <v>0</v>
      </c>
      <c r="AF58" s="8">
        <f t="shared" si="12"/>
        <v>0.00009612444897</v>
      </c>
      <c r="AH58" s="1" t="str">
        <f t="shared" si="22"/>
        <v/>
      </c>
      <c r="AV58" s="131">
        <v>1.0E9</v>
      </c>
      <c r="AZ58" t="str">
        <f t="shared" si="24"/>
        <v/>
      </c>
      <c r="BA58" t="s">
        <v>431</v>
      </c>
      <c r="BB58" t="s">
        <v>431</v>
      </c>
      <c r="BC58" t="s">
        <v>431</v>
      </c>
      <c r="BD58" t="s">
        <v>431</v>
      </c>
      <c r="BE58" t="s">
        <v>431</v>
      </c>
      <c r="BF58" t="str">
        <f t="shared" si="47"/>
        <v>Phantom Timepiece</v>
      </c>
    </row>
    <row r="59" ht="15.75" customHeight="1">
      <c r="A59" s="392"/>
      <c r="B59" s="410" t="s">
        <v>724</v>
      </c>
      <c r="G59" s="3"/>
      <c r="H59" s="43"/>
      <c r="I59" s="43"/>
      <c r="J59" s="43"/>
      <c r="K59" s="43"/>
      <c r="L59" s="411" t="s">
        <v>726</v>
      </c>
      <c r="M59" s="407"/>
      <c r="N59" s="3"/>
      <c r="O59" s="3"/>
      <c r="P59">
        <f>'EDITING Artifact Optimizer'!Q145</f>
        <v>30</v>
      </c>
      <c r="Q59">
        <f t="shared" si="45"/>
        <v>30</v>
      </c>
      <c r="R59" t="b">
        <f t="shared" si="6"/>
        <v>1</v>
      </c>
      <c r="S59" t="b">
        <f t="shared" si="46"/>
        <v>1</v>
      </c>
      <c r="U59" t="b">
        <f t="shared" si="8"/>
        <v>1</v>
      </c>
      <c r="V59" s="4" t="s">
        <v>332</v>
      </c>
      <c r="W59" s="118" t="str">
        <f>image("https://vignette.wikia.nocookie.net/tap-titans-2/images/9/9c/Glacial_Axe.png/revision/latest?cb=20171024232136")</f>
        <v/>
      </c>
      <c r="X59" s="70">
        <f t="shared" si="9"/>
        <v>1</v>
      </c>
      <c r="Y59" s="6">
        <f>1+'EDITING Artifact Optimizer'!S145*Q59 ^ (1 + ('EDITING Artifact Optimizer'!Y145-1)*min('EDITING Artifact Optimizer'!U145*Q59,'EDITING Artifact Optimizer'!T145))^'EDITING Artifact Optimizer'!V145</f>
        <v>61</v>
      </c>
      <c r="AA59">
        <v>2104.9523140947413</v>
      </c>
      <c r="AB59">
        <f>Q59*'EDITING Artifact Optimizer'!W145</f>
        <v>45</v>
      </c>
      <c r="AC59" s="7">
        <f>('EDITING Artifact Optimizer'!W145*Q59*$Y$16+$AB$89)/$AB$89</f>
        <v>1</v>
      </c>
      <c r="AD59">
        <f>('EDITING Artifact Optimizer'!X145/(1+'EDITING Artifact Optimizer'!Y145))*Q59^(1+'EDITING Artifact Optimizer'!Y145)</f>
        <v>18573.10865</v>
      </c>
      <c r="AE59" s="93">
        <f t="shared" si="11"/>
        <v>0</v>
      </c>
      <c r="AF59" s="8">
        <f t="shared" si="12"/>
        <v>0.00009612444897</v>
      </c>
      <c r="AH59" s="1" t="str">
        <f t="shared" si="22"/>
        <v/>
      </c>
      <c r="AV59" s="131">
        <v>1.62E9</v>
      </c>
      <c r="AZ59" t="str">
        <f t="shared" si="24"/>
        <v/>
      </c>
      <c r="BA59" t="s">
        <v>610</v>
      </c>
      <c r="BB59" t="s">
        <v>610</v>
      </c>
      <c r="BC59" t="s">
        <v>610</v>
      </c>
      <c r="BD59" t="s">
        <v>610</v>
      </c>
      <c r="BE59" t="s">
        <v>610</v>
      </c>
      <c r="BF59" t="str">
        <f t="shared" si="47"/>
        <v>Forbidden Scroll</v>
      </c>
    </row>
    <row r="60" ht="15.75" customHeight="1">
      <c r="A60" s="392"/>
      <c r="G60" s="3"/>
      <c r="H60" s="398" t="s">
        <v>733</v>
      </c>
      <c r="K60" s="401" t="s">
        <v>182</v>
      </c>
      <c r="L60" s="236"/>
      <c r="M60" s="407"/>
      <c r="N60" s="3"/>
      <c r="O60" s="3"/>
      <c r="P60">
        <f>'EDITING Artifact Optimizer'!Q146</f>
        <v>30</v>
      </c>
      <c r="Q60">
        <f t="shared" si="45"/>
        <v>30</v>
      </c>
      <c r="R60" t="b">
        <f t="shared" si="6"/>
        <v>1</v>
      </c>
      <c r="S60" t="b">
        <f t="shared" si="46"/>
        <v>1</v>
      </c>
      <c r="U60" t="b">
        <f t="shared" si="8"/>
        <v>1</v>
      </c>
      <c r="V60" s="4" t="s">
        <v>332</v>
      </c>
      <c r="W60" s="118" t="str">
        <f>image("https://vignette.wikia.nocookie.net/tap-titans-2/images/e/e5/Aegis.png/revision/latest?cb=20171024230411")</f>
        <v/>
      </c>
      <c r="X60" s="70">
        <f t="shared" si="9"/>
        <v>1</v>
      </c>
      <c r="Y60" s="6">
        <f>1+'EDITING Artifact Optimizer'!S146*Q60 ^ (1 + ('EDITING Artifact Optimizer'!Y146-1)*min('EDITING Artifact Optimizer'!U146*Q60,'EDITING Artifact Optimizer'!T146))^'EDITING Artifact Optimizer'!V146</f>
        <v>61</v>
      </c>
      <c r="AA60">
        <v>2104.9523140947413</v>
      </c>
      <c r="AB60">
        <f>Q60*'EDITING Artifact Optimizer'!W146</f>
        <v>45</v>
      </c>
      <c r="AC60" s="7">
        <f>('EDITING Artifact Optimizer'!W146*Q60*$Y$16+$AB$89)/$AB$89</f>
        <v>1</v>
      </c>
      <c r="AD60">
        <f>('EDITING Artifact Optimizer'!X146/(1+'EDITING Artifact Optimizer'!Y146))*Q60^(1+'EDITING Artifact Optimizer'!Y146)</f>
        <v>18573.10865</v>
      </c>
      <c r="AE60" s="93">
        <f t="shared" si="11"/>
        <v>0</v>
      </c>
      <c r="AF60" s="8">
        <f t="shared" si="12"/>
        <v>0.00009612444897</v>
      </c>
      <c r="AH60" s="1" t="str">
        <f t="shared" si="22"/>
        <v/>
      </c>
      <c r="AV60" s="131">
        <v>2.66E9</v>
      </c>
      <c r="AZ60" t="str">
        <f t="shared" si="24"/>
        <v/>
      </c>
      <c r="BA60" t="s">
        <v>610</v>
      </c>
      <c r="BB60" t="s">
        <v>610</v>
      </c>
      <c r="BC60" t="s">
        <v>610</v>
      </c>
      <c r="BD60" t="s">
        <v>610</v>
      </c>
      <c r="BE60" t="s">
        <v>610</v>
      </c>
      <c r="BF60" t="str">
        <f t="shared" si="47"/>
        <v>Ring of Fealty</v>
      </c>
    </row>
    <row r="61" ht="15.75" customHeight="1">
      <c r="A61" s="392"/>
      <c r="B61" s="3"/>
      <c r="C61" s="3"/>
      <c r="D61" s="3"/>
      <c r="E61" s="3"/>
      <c r="F61" s="43"/>
      <c r="G61" s="3"/>
      <c r="H61" s="43"/>
      <c r="I61" s="43"/>
      <c r="J61" s="43"/>
      <c r="K61" s="43"/>
      <c r="L61" s="411" t="s">
        <v>736</v>
      </c>
      <c r="M61" s="407"/>
      <c r="N61" s="3"/>
      <c r="O61" s="3"/>
      <c r="P61">
        <f>'EDITING Artifact Optimizer'!Q147</f>
        <v>30</v>
      </c>
      <c r="Q61">
        <f t="shared" si="45"/>
        <v>30</v>
      </c>
      <c r="R61" t="b">
        <f t="shared" si="6"/>
        <v>1</v>
      </c>
      <c r="S61" t="b">
        <f t="shared" si="46"/>
        <v>1</v>
      </c>
      <c r="U61" t="b">
        <f t="shared" si="8"/>
        <v>1</v>
      </c>
      <c r="V61" s="4" t="s">
        <v>332</v>
      </c>
      <c r="W61" s="118" t="str">
        <f>image("https://vignette.wikia.nocookie.net/tap-titans-2/images/d/d5/Swamp_Gauntlet.png/revision/latest?cb=20171024225727")</f>
        <v/>
      </c>
      <c r="X61" s="70">
        <f t="shared" si="9"/>
        <v>1</v>
      </c>
      <c r="Y61" s="6">
        <f>1+'EDITING Artifact Optimizer'!S147*Q61 ^ (1 + ('EDITING Artifact Optimizer'!Y147-1)*min('EDITING Artifact Optimizer'!U147*Q61,'EDITING Artifact Optimizer'!T147))^'EDITING Artifact Optimizer'!V147</f>
        <v>61</v>
      </c>
      <c r="AA61">
        <v>2104.9523140947413</v>
      </c>
      <c r="AB61">
        <f>Q61*'EDITING Artifact Optimizer'!W147</f>
        <v>45</v>
      </c>
      <c r="AC61" s="7">
        <f>('EDITING Artifact Optimizer'!W147*Q61*$Y$16+$AB$89)/$AB$89</f>
        <v>1</v>
      </c>
      <c r="AD61">
        <f>('EDITING Artifact Optimizer'!X147/(1+'EDITING Artifact Optimizer'!Y147))*Q61^(1+'EDITING Artifact Optimizer'!Y147)</f>
        <v>18573.10865</v>
      </c>
      <c r="AE61" s="93">
        <f t="shared" si="11"/>
        <v>0</v>
      </c>
      <c r="AF61" s="8">
        <f t="shared" si="12"/>
        <v>0.00009612444897</v>
      </c>
      <c r="AH61" s="1" t="str">
        <f t="shared" si="22"/>
        <v/>
      </c>
      <c r="AV61" s="131">
        <v>4.38E9</v>
      </c>
      <c r="AZ61" t="str">
        <f t="shared" si="24"/>
        <v/>
      </c>
      <c r="BA61" t="s">
        <v>610</v>
      </c>
      <c r="BB61" t="s">
        <v>610</v>
      </c>
      <c r="BC61" t="s">
        <v>610</v>
      </c>
      <c r="BD61" t="s">
        <v>610</v>
      </c>
      <c r="BE61" t="s">
        <v>610</v>
      </c>
      <c r="BF61" t="str">
        <f t="shared" si="47"/>
        <v>Glacial Axe</v>
      </c>
    </row>
    <row r="62" ht="15.75" customHeight="1">
      <c r="A62" s="413"/>
      <c r="B62" s="3"/>
      <c r="C62" s="3"/>
      <c r="D62" s="3"/>
      <c r="E62" s="3"/>
      <c r="F62" s="3"/>
      <c r="G62" s="414"/>
      <c r="H62" s="414"/>
      <c r="I62" s="415" t="s">
        <v>737</v>
      </c>
      <c r="J62" s="401" t="s">
        <v>738</v>
      </c>
      <c r="K62" s="234"/>
      <c r="L62" s="236"/>
      <c r="M62" s="417"/>
      <c r="N62" s="3"/>
      <c r="O62" s="3"/>
      <c r="P62">
        <f>'EDITING Artifact Optimizer'!Q148</f>
        <v>20</v>
      </c>
      <c r="Q62">
        <f t="shared" si="45"/>
        <v>20</v>
      </c>
      <c r="R62" t="b">
        <f t="shared" si="6"/>
        <v>1</v>
      </c>
      <c r="S62" t="b">
        <f t="shared" si="46"/>
        <v>1</v>
      </c>
      <c r="U62" t="b">
        <f t="shared" si="8"/>
        <v>1</v>
      </c>
      <c r="V62" s="4" t="s">
        <v>332</v>
      </c>
      <c r="W62" s="118" t="str">
        <f>image("https://vignette.wikia.nocookie.net/tap-titans-2/images/2/2e/Infinity_Pendulum.png/revision/latest?cb=20171024232242")</f>
        <v/>
      </c>
      <c r="X62" s="70">
        <f t="shared" si="9"/>
        <v>1</v>
      </c>
      <c r="Y62" s="6">
        <f>1+'EDITING Artifact Optimizer'!S148*Q62 ^ (1 + ('EDITING Artifact Optimizer'!Y148-1)*min('EDITING Artifact Optimizer'!U148*Q62,'EDITING Artifact Optimizer'!T148))^'EDITING Artifact Optimizer'!V148</f>
        <v>21</v>
      </c>
      <c r="AA62">
        <v>4800.0</v>
      </c>
      <c r="AB62">
        <f>Q62*'EDITING Artifact Optimizer'!W148</f>
        <v>18</v>
      </c>
      <c r="AC62" s="7">
        <f>('EDITING Artifact Optimizer'!W148*Q62*$Y$16+$AB$89)/$AB$89</f>
        <v>1</v>
      </c>
      <c r="AD62">
        <f>('EDITING Artifact Optimizer'!X148/(1+'EDITING Artifact Optimizer'!Y148))*Q62^(1+'EDITING Artifact Optimizer'!Y148)</f>
        <v>24000</v>
      </c>
      <c r="AE62" s="93">
        <f t="shared" si="11"/>
        <v>0</v>
      </c>
      <c r="AF62" s="8">
        <f t="shared" si="12"/>
        <v>0.00005509247061</v>
      </c>
      <c r="AH62" s="1" t="str">
        <f t="shared" si="22"/>
        <v/>
      </c>
      <c r="AV62" s="131">
        <v>7.24E9</v>
      </c>
      <c r="AZ62" t="str">
        <f t="shared" si="24"/>
        <v/>
      </c>
      <c r="BA62" t="s">
        <v>610</v>
      </c>
      <c r="BB62" t="s">
        <v>610</v>
      </c>
      <c r="BC62" t="s">
        <v>610</v>
      </c>
      <c r="BD62" t="s">
        <v>610</v>
      </c>
      <c r="BE62" t="s">
        <v>610</v>
      </c>
      <c r="BF62" t="str">
        <f t="shared" si="47"/>
        <v>Aegis</v>
      </c>
    </row>
    <row r="63" ht="15.75" customHeight="1">
      <c r="A63" s="419"/>
      <c r="B63" s="420"/>
      <c r="C63" s="420"/>
      <c r="D63" s="420"/>
      <c r="E63" s="420"/>
      <c r="F63" s="421"/>
      <c r="G63" s="422"/>
      <c r="H63" s="423"/>
      <c r="I63" s="423"/>
      <c r="J63" s="421"/>
      <c r="K63" s="421"/>
      <c r="L63" s="424" t="s">
        <v>741</v>
      </c>
      <c r="M63" s="425"/>
      <c r="N63" s="3"/>
      <c r="O63" s="3"/>
      <c r="P63">
        <f>'EDITING Artifact Optimizer'!Q149</f>
        <v>30</v>
      </c>
      <c r="Q63">
        <f t="shared" si="45"/>
        <v>30</v>
      </c>
      <c r="R63" t="b">
        <f t="shared" si="6"/>
        <v>1</v>
      </c>
      <c r="S63" t="b">
        <f t="shared" si="46"/>
        <v>1</v>
      </c>
      <c r="U63" t="b">
        <f t="shared" si="8"/>
        <v>1</v>
      </c>
      <c r="V63" s="4" t="s">
        <v>332</v>
      </c>
      <c r="W63" s="118" t="str">
        <f>image("https://vignette.wikia.nocookie.net/tap-titans-2/images/a/a2/Glove_of_Kuma.png/revision/latest?cb=20171024232333")</f>
        <v/>
      </c>
      <c r="X63" s="70">
        <f t="shared" si="9"/>
        <v>1</v>
      </c>
      <c r="Y63" s="6">
        <f>1+'EDITING Artifact Optimizer'!S149*Q63 ^ (1 + ('EDITING Artifact Optimizer'!Y149-1)*min('EDITING Artifact Optimizer'!U149*Q63,'EDITING Artifact Optimizer'!T149))^'EDITING Artifact Optimizer'!V149</f>
        <v>31</v>
      </c>
      <c r="AA63">
        <v>16200.0</v>
      </c>
      <c r="AB63">
        <f>Q63*'EDITING Artifact Optimizer'!W149</f>
        <v>24</v>
      </c>
      <c r="AC63" s="7">
        <f>('EDITING Artifact Optimizer'!W149*Q63*$Y$16+$AB$89)/$AB$89</f>
        <v>1</v>
      </c>
      <c r="AD63">
        <f>('EDITING Artifact Optimizer'!X149/(1+'EDITING Artifact Optimizer'!Y149))*Q63^(1+'EDITING Artifact Optimizer'!Y149)</f>
        <v>121500</v>
      </c>
      <c r="AE63" s="93">
        <f t="shared" si="11"/>
        <v>0</v>
      </c>
      <c r="AF63" s="8">
        <f t="shared" si="12"/>
        <v>0.00001227458184</v>
      </c>
      <c r="AH63" s="1" t="str">
        <f t="shared" si="22"/>
        <v/>
      </c>
      <c r="AV63" s="131">
        <v>1.203E10</v>
      </c>
      <c r="AZ63" t="str">
        <f t="shared" si="24"/>
        <v/>
      </c>
      <c r="BA63" t="s">
        <v>610</v>
      </c>
      <c r="BB63" t="s">
        <v>610</v>
      </c>
      <c r="BC63" t="s">
        <v>610</v>
      </c>
      <c r="BD63" t="s">
        <v>610</v>
      </c>
      <c r="BE63" t="s">
        <v>610</v>
      </c>
      <c r="BF63" t="str">
        <f t="shared" si="47"/>
        <v>Swamp Gauntlet</v>
      </c>
    </row>
    <row r="64" ht="15.75" customHeight="1">
      <c r="A64" s="222"/>
      <c r="B64" s="3"/>
      <c r="C64" s="3"/>
      <c r="D64" s="3"/>
      <c r="E64" s="3"/>
      <c r="F64" s="43"/>
      <c r="G64" s="3"/>
      <c r="H64" s="43"/>
      <c r="I64" s="43"/>
      <c r="J64" s="43"/>
      <c r="K64" s="43"/>
      <c r="L64" s="43"/>
      <c r="M64" s="43"/>
      <c r="N64" s="3"/>
      <c r="O64" s="3"/>
      <c r="P64">
        <f>'EDITING Artifact Optimizer'!Q150</f>
        <v>40</v>
      </c>
      <c r="Q64">
        <f t="shared" si="45"/>
        <v>40</v>
      </c>
      <c r="R64" t="b">
        <f t="shared" si="6"/>
        <v>1</v>
      </c>
      <c r="S64" t="b">
        <f t="shared" si="46"/>
        <v>1</v>
      </c>
      <c r="U64" t="b">
        <f t="shared" si="8"/>
        <v>1</v>
      </c>
      <c r="V64" s="4" t="s">
        <v>332</v>
      </c>
      <c r="W64" s="118" t="str">
        <f>image("https://vignette.wikia.nocookie.net/tap-titans-2/images/4/4f/Titan_Spear.png/revision/latest?cb=20171024233755")</f>
        <v/>
      </c>
      <c r="X64" s="70">
        <f t="shared" si="9"/>
        <v>1</v>
      </c>
      <c r="Y64" s="6">
        <f>1+'EDITING Artifact Optimizer'!S150*Q64 ^ (1 + ('EDITING Artifact Optimizer'!Y150-1)*min('EDITING Artifact Optimizer'!U150*Q64,'EDITING Artifact Optimizer'!T150))^'EDITING Artifact Optimizer'!V150</f>
        <v>41</v>
      </c>
      <c r="AA64">
        <v>38400.0</v>
      </c>
      <c r="AB64">
        <f>Q64*'EDITING Artifact Optimizer'!W150</f>
        <v>32</v>
      </c>
      <c r="AC64" s="7">
        <f>('EDITING Artifact Optimizer'!W150*Q64*$Y$16+$AB$89)/$AB$89</f>
        <v>1</v>
      </c>
      <c r="AD64">
        <f>('EDITING Artifact Optimizer'!X150/(1+'EDITING Artifact Optimizer'!Y150))*Q64^(1+'EDITING Artifact Optimizer'!Y150)</f>
        <v>384000</v>
      </c>
      <c r="AE64" s="93">
        <f t="shared" si="11"/>
        <v>0</v>
      </c>
      <c r="AF64" s="8">
        <f t="shared" si="12"/>
        <v>0.00000419995796</v>
      </c>
      <c r="AH64" s="1" t="str">
        <f t="shared" si="22"/>
        <v/>
      </c>
      <c r="AV64" s="131">
        <v>2.007E10</v>
      </c>
      <c r="AZ64" t="str">
        <f t="shared" si="24"/>
        <v/>
      </c>
      <c r="BA64" t="s">
        <v>431</v>
      </c>
      <c r="BB64" t="s">
        <v>431</v>
      </c>
      <c r="BC64" t="s">
        <v>431</v>
      </c>
      <c r="BD64" t="s">
        <v>431</v>
      </c>
      <c r="BE64" t="s">
        <v>431</v>
      </c>
      <c r="BF64" t="str">
        <f t="shared" si="47"/>
        <v>Infinity Pendulum</v>
      </c>
    </row>
    <row r="65" ht="15.75" customHeight="1">
      <c r="A65" s="222"/>
      <c r="B65" s="3"/>
      <c r="C65" s="3"/>
      <c r="D65" s="3"/>
      <c r="E65" s="3"/>
      <c r="F65" s="43"/>
      <c r="G65" s="3"/>
      <c r="H65" s="43"/>
      <c r="I65" s="43"/>
      <c r="J65" s="43"/>
      <c r="K65" s="43"/>
      <c r="L65" s="43"/>
      <c r="M65" s="43"/>
      <c r="N65" s="3"/>
      <c r="O65" s="3"/>
      <c r="P65">
        <f>'EDITING Artifact Optimizer'!Q151</f>
        <v>30</v>
      </c>
      <c r="Q65">
        <f t="shared" si="45"/>
        <v>30</v>
      </c>
      <c r="R65" t="b">
        <f t="shared" si="6"/>
        <v>1</v>
      </c>
      <c r="S65" t="b">
        <f t="shared" si="46"/>
        <v>1</v>
      </c>
      <c r="U65" t="b">
        <f t="shared" si="8"/>
        <v>1</v>
      </c>
      <c r="V65" s="4" t="s">
        <v>332</v>
      </c>
      <c r="W65" s="118" t="str">
        <f>image("https://vignette.wikia.nocookie.net/tap-titans-2/images/f/f1/Oak_Staff.png/revision/latest?cb=20171024230310")</f>
        <v/>
      </c>
      <c r="X65" s="70">
        <f t="shared" si="9"/>
        <v>1</v>
      </c>
      <c r="Y65" s="6">
        <f>1+'EDITING Artifact Optimizer'!S151*Q65 ^ (1 + ('EDITING Artifact Optimizer'!Y151-1)*min('EDITING Artifact Optimizer'!U151*Q65,'EDITING Artifact Optimizer'!T151))^'EDITING Artifact Optimizer'!V151</f>
        <v>31</v>
      </c>
      <c r="AA65">
        <v>16200.0</v>
      </c>
      <c r="AB65">
        <f>Q65*'EDITING Artifact Optimizer'!W151</f>
        <v>24</v>
      </c>
      <c r="AC65" s="7">
        <f>('EDITING Artifact Optimizer'!W151*Q65*$Y$16+$AB$89)/$AB$89</f>
        <v>1</v>
      </c>
      <c r="AD65">
        <f>('EDITING Artifact Optimizer'!X151/(1+'EDITING Artifact Optimizer'!Y151))*Q65^(1+'EDITING Artifact Optimizer'!Y151)</f>
        <v>121500</v>
      </c>
      <c r="AE65" s="93">
        <f t="shared" si="11"/>
        <v>0</v>
      </c>
      <c r="AF65" s="8">
        <f t="shared" si="12"/>
        <v>0.00001227458184</v>
      </c>
      <c r="AH65" s="1" t="str">
        <f t="shared" si="22"/>
        <v/>
      </c>
      <c r="AV65" s="131">
        <v>3.367E10</v>
      </c>
      <c r="AW65" s="133"/>
      <c r="AX65" s="133"/>
      <c r="AZ65" t="str">
        <f t="shared" si="24"/>
        <v/>
      </c>
      <c r="BA65" t="s">
        <v>431</v>
      </c>
      <c r="BB65" t="s">
        <v>431</v>
      </c>
      <c r="BC65" t="s">
        <v>431</v>
      </c>
      <c r="BD65" t="s">
        <v>431</v>
      </c>
      <c r="BE65" t="s">
        <v>431</v>
      </c>
      <c r="BF65" t="str">
        <f t="shared" si="47"/>
        <v>Glove of Kuma</v>
      </c>
    </row>
    <row r="66" ht="15.75" customHeight="1">
      <c r="A66" s="427"/>
      <c r="B66" s="76"/>
      <c r="C66" s="76"/>
      <c r="D66" s="76"/>
      <c r="E66" s="76"/>
      <c r="F66" s="428"/>
      <c r="G66" s="76"/>
      <c r="H66" s="428"/>
      <c r="I66" s="428"/>
      <c r="J66" s="428"/>
      <c r="K66" s="428"/>
      <c r="L66" s="428"/>
      <c r="M66" s="428"/>
      <c r="N66" s="76"/>
      <c r="O66" s="76"/>
      <c r="P66">
        <f>'EDITING Artifact Optimizer'!Q152</f>
        <v>40</v>
      </c>
      <c r="Q66">
        <f t="shared" si="45"/>
        <v>40</v>
      </c>
      <c r="R66" t="b">
        <f t="shared" si="6"/>
        <v>1</v>
      </c>
      <c r="S66" t="b">
        <f t="shared" si="46"/>
        <v>1</v>
      </c>
      <c r="U66" t="b">
        <f t="shared" si="8"/>
        <v>1</v>
      </c>
      <c r="V66" s="4" t="s">
        <v>332</v>
      </c>
      <c r="W66" s="118" t="str">
        <f>image("https://vignette.wikia.nocookie.net/tap-titans-2/images/a/a0/The_Arcana_Cloak.png/revision/latest?cb=20171024233611")</f>
        <v/>
      </c>
      <c r="X66" s="70">
        <f t="shared" si="9"/>
        <v>1</v>
      </c>
      <c r="Y66" s="6">
        <f>1+'EDITING Artifact Optimizer'!S152*Q66 ^ (1 + ('EDITING Artifact Optimizer'!Y152-1)*min('EDITING Artifact Optimizer'!U152*Q66,'EDITING Artifact Optimizer'!T152))^'EDITING Artifact Optimizer'!V152</f>
        <v>41</v>
      </c>
      <c r="AA66">
        <v>38400.0</v>
      </c>
      <c r="AB66">
        <f>Q66*'EDITING Artifact Optimizer'!W152</f>
        <v>32</v>
      </c>
      <c r="AC66" s="7">
        <f>('EDITING Artifact Optimizer'!W152*Q66*$Y$16+$AB$89)/$AB$89</f>
        <v>1</v>
      </c>
      <c r="AD66">
        <f>('EDITING Artifact Optimizer'!X152/(1+'EDITING Artifact Optimizer'!Y152))*Q66^(1+'EDITING Artifact Optimizer'!Y152)</f>
        <v>384000</v>
      </c>
      <c r="AE66" s="93">
        <f t="shared" si="11"/>
        <v>0</v>
      </c>
      <c r="AF66" s="8">
        <f t="shared" si="12"/>
        <v>0.00000419995796</v>
      </c>
      <c r="AH66" s="1" t="str">
        <f t="shared" si="22"/>
        <v/>
      </c>
      <c r="AV66" s="131">
        <v>5.676E10</v>
      </c>
      <c r="AZ66" t="str">
        <f t="shared" si="24"/>
        <v/>
      </c>
      <c r="BA66" t="s">
        <v>431</v>
      </c>
      <c r="BB66" t="s">
        <v>431</v>
      </c>
      <c r="BC66" t="s">
        <v>431</v>
      </c>
      <c r="BD66" t="s">
        <v>431</v>
      </c>
      <c r="BE66" t="s">
        <v>431</v>
      </c>
      <c r="BF66" t="str">
        <f t="shared" si="47"/>
        <v>Titan Spear</v>
      </c>
    </row>
    <row r="67" ht="15.75" customHeight="1">
      <c r="A67" s="427"/>
      <c r="B67" s="76"/>
      <c r="C67" s="76"/>
      <c r="D67" s="76"/>
      <c r="E67" s="76"/>
      <c r="F67" s="428"/>
      <c r="G67" s="76"/>
      <c r="H67" s="428"/>
      <c r="I67" s="428"/>
      <c r="J67" s="428"/>
      <c r="K67" s="428"/>
      <c r="L67" s="428"/>
      <c r="M67" s="428"/>
      <c r="N67" s="76"/>
      <c r="O67" s="76"/>
      <c r="P67">
        <f>'EDITING Artifact Optimizer'!Q153</f>
        <v>40</v>
      </c>
      <c r="Q67">
        <f t="shared" si="45"/>
        <v>40</v>
      </c>
      <c r="R67" t="b">
        <f t="shared" si="6"/>
        <v>1</v>
      </c>
      <c r="S67" t="b">
        <f t="shared" si="46"/>
        <v>1</v>
      </c>
      <c r="U67" t="b">
        <f t="shared" si="8"/>
        <v>1</v>
      </c>
      <c r="V67" s="4" t="s">
        <v>332</v>
      </c>
      <c r="W67" s="118" t="str">
        <f>image("https://vignette.wikia.nocookie.net/tap-titans-2/images/a/a6/Hunter%27s_Ointment.png/revision/latest?cb=20170927233819")</f>
        <v/>
      </c>
      <c r="X67" s="70">
        <f t="shared" si="9"/>
        <v>1</v>
      </c>
      <c r="Y67" s="6">
        <f>1+'EDITING Artifact Optimizer'!S153*Q67 ^ (1 + ('EDITING Artifact Optimizer'!Y153-1)*min('EDITING Artifact Optimizer'!U153*Q67,'EDITING Artifact Optimizer'!T153))^'EDITING Artifact Optimizer'!V153</f>
        <v>41</v>
      </c>
      <c r="AA67">
        <v>38400.0</v>
      </c>
      <c r="AB67">
        <f>Q67*'EDITING Artifact Optimizer'!W153</f>
        <v>32</v>
      </c>
      <c r="AC67" s="7">
        <f>('EDITING Artifact Optimizer'!W153*Q67*$Y$16+$AB$89)/$AB$89</f>
        <v>1</v>
      </c>
      <c r="AD67">
        <f>('EDITING Artifact Optimizer'!X153/(1+'EDITING Artifact Optimizer'!Y153))*Q67^(1+'EDITING Artifact Optimizer'!Y153)</f>
        <v>384000</v>
      </c>
      <c r="AE67" s="93">
        <f t="shared" si="11"/>
        <v>0</v>
      </c>
      <c r="AF67" s="8">
        <f t="shared" si="12"/>
        <v>0.00000419995796</v>
      </c>
      <c r="AH67" s="1" t="str">
        <f t="shared" si="22"/>
        <v/>
      </c>
      <c r="AV67" s="131">
        <v>9.614E10</v>
      </c>
      <c r="AZ67" t="str">
        <f t="shared" si="24"/>
        <v/>
      </c>
      <c r="BA67" t="s">
        <v>431</v>
      </c>
      <c r="BB67" t="s">
        <v>431</v>
      </c>
      <c r="BC67" t="s">
        <v>431</v>
      </c>
      <c r="BD67" t="s">
        <v>431</v>
      </c>
      <c r="BE67" t="s">
        <v>431</v>
      </c>
      <c r="BF67" t="str">
        <f t="shared" si="47"/>
        <v>Oak Staff</v>
      </c>
    </row>
    <row r="68" ht="15.75" customHeight="1">
      <c r="A68" s="427"/>
      <c r="B68" s="76"/>
      <c r="C68" s="76"/>
      <c r="D68" s="76"/>
      <c r="E68" s="76"/>
      <c r="F68" s="428"/>
      <c r="G68" s="76"/>
      <c r="H68" s="428"/>
      <c r="I68" s="428"/>
      <c r="J68" s="428"/>
      <c r="K68" s="428"/>
      <c r="L68" s="428"/>
      <c r="M68" s="428"/>
      <c r="N68" s="76"/>
      <c r="O68" s="76"/>
      <c r="P68">
        <f>'EDITING Artifact Optimizer'!Q154</f>
        <v>40</v>
      </c>
      <c r="Q68">
        <f t="shared" si="45"/>
        <v>40</v>
      </c>
      <c r="R68" t="b">
        <f t="shared" si="6"/>
        <v>1</v>
      </c>
      <c r="S68" t="b">
        <f t="shared" si="46"/>
        <v>1</v>
      </c>
      <c r="U68" t="b">
        <f t="shared" si="8"/>
        <v>1</v>
      </c>
      <c r="V68" s="4" t="s">
        <v>332</v>
      </c>
      <c r="W68" s="118" t="str">
        <f>image("https://vignette.wikia.nocookie.net/tap-titans-2/images/5/5c/Ambrosia_Elixir.png/revision/latest?cb=20180522002003")</f>
        <v/>
      </c>
      <c r="X68" s="70">
        <f t="shared" si="9"/>
        <v>1</v>
      </c>
      <c r="Y68" s="6">
        <f>1+'EDITING Artifact Optimizer'!S154*Q68 ^ (1 + ('EDITING Artifact Optimizer'!Y154-1)*min('EDITING Artifact Optimizer'!U154*Q68,'EDITING Artifact Optimizer'!T154))^'EDITING Artifact Optimizer'!V154</f>
        <v>81</v>
      </c>
      <c r="AA68">
        <v>38400.0</v>
      </c>
      <c r="AB68">
        <f>Q68*'EDITING Artifact Optimizer'!W154</f>
        <v>32</v>
      </c>
      <c r="AC68" s="7">
        <f>('EDITING Artifact Optimizer'!W154*Q68*$Y$16+$AB$89)/$AB$89</f>
        <v>1</v>
      </c>
      <c r="AD68">
        <f>('EDITING Artifact Optimizer'!X154/(1+'EDITING Artifact Optimizer'!Y154))*Q68^(1+'EDITING Artifact Optimizer'!Y154)</f>
        <v>384000</v>
      </c>
      <c r="AE68" s="93">
        <f t="shared" si="11"/>
        <v>0</v>
      </c>
      <c r="AF68" s="8">
        <f t="shared" si="12"/>
        <v>0.00000497001307</v>
      </c>
      <c r="AH68" s="1" t="str">
        <f t="shared" si="22"/>
        <v/>
      </c>
      <c r="AV68" s="131">
        <v>1.6364E11</v>
      </c>
      <c r="AZ68" t="str">
        <f t="shared" si="24"/>
        <v/>
      </c>
      <c r="BA68" t="s">
        <v>431</v>
      </c>
      <c r="BB68" t="s">
        <v>431</v>
      </c>
      <c r="BC68" t="s">
        <v>431</v>
      </c>
      <c r="BD68" t="s">
        <v>431</v>
      </c>
      <c r="BE68" t="s">
        <v>431</v>
      </c>
      <c r="BF68" t="str">
        <f t="shared" si="47"/>
        <v>The Arcana Cloak</v>
      </c>
    </row>
    <row r="69" ht="15.75" customHeight="1">
      <c r="A69" s="427"/>
      <c r="B69" s="76"/>
      <c r="C69" s="76"/>
      <c r="D69" s="76"/>
      <c r="E69" s="76"/>
      <c r="F69" s="428"/>
      <c r="G69" s="76"/>
      <c r="H69" s="428"/>
      <c r="I69" s="428"/>
      <c r="J69" s="428"/>
      <c r="K69" s="428"/>
      <c r="L69" s="428"/>
      <c r="M69" s="428"/>
      <c r="N69" s="76"/>
      <c r="O69" s="76"/>
      <c r="P69">
        <f>'EDITING Artifact Optimizer'!Q155</f>
        <v>40</v>
      </c>
      <c r="Q69">
        <f t="shared" si="45"/>
        <v>40</v>
      </c>
      <c r="R69" t="b">
        <f t="shared" si="6"/>
        <v>1</v>
      </c>
      <c r="S69" t="b">
        <f t="shared" si="46"/>
        <v>1</v>
      </c>
      <c r="U69" t="b">
        <f t="shared" si="8"/>
        <v>1</v>
      </c>
      <c r="V69" s="4" t="s">
        <v>332</v>
      </c>
      <c r="W69" s="118" t="str">
        <f>image("https://vignette.wikia.nocookie.net/tap-titans-2/images/7/76/Mystic_Staff.png/revision/latest?cb=20171117220503")</f>
        <v/>
      </c>
      <c r="X69" s="70">
        <f t="shared" si="9"/>
        <v>1</v>
      </c>
      <c r="Y69" s="6">
        <f>1+'EDITING Artifact Optimizer'!S155*Q69 ^ (1 + ('EDITING Artifact Optimizer'!Y155-1)*min('EDITING Artifact Optimizer'!U155*Q69,'EDITING Artifact Optimizer'!T155))^'EDITING Artifact Optimizer'!V155</f>
        <v>4</v>
      </c>
      <c r="AA69">
        <v>7316.880830837224</v>
      </c>
      <c r="AB69">
        <f>Q69*'EDITING Artifact Optimizer'!W155</f>
        <v>80</v>
      </c>
      <c r="AC69" s="7">
        <f>('EDITING Artifact Optimizer'!W155*Q69*$Y$16+$AB$89)/$AB$89</f>
        <v>1</v>
      </c>
      <c r="AD69">
        <f>('EDITING Artifact Optimizer'!X155/(1+'EDITING Artifact Optimizer'!Y155))*Q69^(1+'EDITING Artifact Optimizer'!Y155)</f>
        <v>81298.6759</v>
      </c>
      <c r="AE69" s="93">
        <f t="shared" si="11"/>
        <v>0</v>
      </c>
      <c r="AF69" s="8">
        <f t="shared" si="12"/>
        <v>0.000007405532559</v>
      </c>
      <c r="AH69" s="1" t="str">
        <f t="shared" si="22"/>
        <v/>
      </c>
      <c r="AV69" s="131">
        <v>2.799E11</v>
      </c>
      <c r="AZ69" t="str">
        <f t="shared" si="24"/>
        <v/>
      </c>
      <c r="BA69" t="s">
        <v>431</v>
      </c>
      <c r="BB69" t="s">
        <v>431</v>
      </c>
      <c r="BC69" t="s">
        <v>431</v>
      </c>
      <c r="BD69" t="s">
        <v>431</v>
      </c>
      <c r="BE69" t="s">
        <v>431</v>
      </c>
      <c r="BF69" t="str">
        <f t="shared" si="47"/>
        <v>Hunter's Ointment</v>
      </c>
    </row>
    <row r="70" ht="15.75" customHeight="1">
      <c r="A70" s="427"/>
      <c r="B70" s="76"/>
      <c r="C70" s="76"/>
      <c r="D70" s="76"/>
      <c r="E70" s="76"/>
      <c r="F70" s="428"/>
      <c r="G70" s="76"/>
      <c r="H70" s="428"/>
      <c r="I70" s="428"/>
      <c r="J70" s="428"/>
      <c r="K70" s="428"/>
      <c r="L70" s="428"/>
      <c r="M70" s="428"/>
      <c r="N70" s="76"/>
      <c r="O70" s="76"/>
      <c r="P70">
        <f>'EDITING Artifact Optimizer'!Q156</f>
        <v>40</v>
      </c>
      <c r="Q70">
        <f t="shared" si="45"/>
        <v>40</v>
      </c>
      <c r="R70" t="b">
        <f t="shared" si="6"/>
        <v>1</v>
      </c>
      <c r="S70" t="b">
        <f t="shared" si="46"/>
        <v>1</v>
      </c>
      <c r="U70" t="b">
        <f t="shared" si="8"/>
        <v>1</v>
      </c>
      <c r="V70" s="4" t="s">
        <v>332</v>
      </c>
      <c r="W70" s="118" t="str">
        <f>image("https://vignette.wikia.nocookie.net/tap-titans-2/images/6/6a/Mystical_Beans_of_Senzu.png/revision/latest?cb=20180406183735")</f>
        <v/>
      </c>
      <c r="X70" s="70">
        <f t="shared" si="9"/>
        <v>1</v>
      </c>
      <c r="Y70" s="6">
        <f>1+'EDITING Artifact Optimizer'!S156*Q70 ^ (1 + ('EDITING Artifact Optimizer'!Y156-1)*min('EDITING Artifact Optimizer'!U156*Q70,'EDITING Artifact Optimizer'!T156))^'EDITING Artifact Optimizer'!V156</f>
        <v>1.1</v>
      </c>
      <c r="AA70">
        <v>7316.880830837224</v>
      </c>
      <c r="AB70">
        <f>Q70*'EDITING Artifact Optimizer'!W156</f>
        <v>80</v>
      </c>
      <c r="AC70" s="7">
        <f>('EDITING Artifact Optimizer'!W156*Q70*$Y$16+$AB$89)/$AB$89</f>
        <v>1</v>
      </c>
      <c r="AD70">
        <f>('EDITING Artifact Optimizer'!X156/(1+'EDITING Artifact Optimizer'!Y156))*Q70^(1+'EDITING Artifact Optimizer'!Y156)</f>
        <v>81298.6759</v>
      </c>
      <c r="AE70" s="93">
        <f t="shared" si="11"/>
        <v>0</v>
      </c>
      <c r="AF70" s="8">
        <f t="shared" si="12"/>
        <v>0.000000509143411</v>
      </c>
      <c r="AH70" s="1" t="str">
        <f t="shared" si="22"/>
        <v/>
      </c>
      <c r="AV70" s="131">
        <v>3.84E12</v>
      </c>
      <c r="AZ70" t="str">
        <f t="shared" si="24"/>
        <v/>
      </c>
      <c r="BA70" t="s">
        <v>610</v>
      </c>
      <c r="BB70" t="s">
        <v>610</v>
      </c>
      <c r="BC70" t="s">
        <v>610</v>
      </c>
      <c r="BD70" t="s">
        <v>610</v>
      </c>
      <c r="BE70" t="s">
        <v>610</v>
      </c>
      <c r="BF70" t="str">
        <f t="shared" si="47"/>
        <v>Ambrosia Elixir</v>
      </c>
    </row>
    <row r="71" ht="15.75" customHeight="1">
      <c r="A71" s="427"/>
      <c r="B71" s="76"/>
      <c r="C71" s="76"/>
      <c r="D71" s="76"/>
      <c r="E71" s="76"/>
      <c r="F71" s="428"/>
      <c r="G71" s="76"/>
      <c r="H71" s="428"/>
      <c r="I71" s="428"/>
      <c r="J71" s="428"/>
      <c r="K71" s="428"/>
      <c r="L71" s="428"/>
      <c r="M71" s="428"/>
      <c r="N71" s="76"/>
      <c r="O71" s="76"/>
      <c r="P71">
        <f>'EDITING Artifact Optimizer'!Q157</f>
        <v>40</v>
      </c>
      <c r="Q71">
        <f t="shared" si="45"/>
        <v>40</v>
      </c>
      <c r="R71" t="b">
        <f t="shared" si="6"/>
        <v>1</v>
      </c>
      <c r="S71" t="b">
        <f t="shared" si="46"/>
        <v>1</v>
      </c>
      <c r="U71" t="b">
        <f t="shared" si="8"/>
        <v>1</v>
      </c>
      <c r="V71" s="4" t="s">
        <v>332</v>
      </c>
      <c r="W71" s="118" t="str">
        <f>image("https://vignette.wikia.nocookie.net/tap-titans-2/images/9/9d/Egg_of_Fortune.png/revision/latest?cb=20171024225228")</f>
        <v/>
      </c>
      <c r="X71" s="70">
        <f t="shared" si="9"/>
        <v>1</v>
      </c>
      <c r="Y71" s="6">
        <f>1+'EDITING Artifact Optimizer'!S157*Q71 ^ (1 + ('EDITING Artifact Optimizer'!Y157-1)*min('EDITING Artifact Optimizer'!U157*Q71,'EDITING Artifact Optimizer'!T157))^'EDITING Artifact Optimizer'!V157</f>
        <v>1.2</v>
      </c>
      <c r="AA71">
        <v>89600.0</v>
      </c>
      <c r="AB71">
        <f>Q71*'EDITING Artifact Optimizer'!W157</f>
        <v>80</v>
      </c>
      <c r="AC71" s="7">
        <f>('EDITING Artifact Optimizer'!W157*Q71*$Y$16+$AB$89)/$AB$89</f>
        <v>1</v>
      </c>
      <c r="AD71">
        <f>('EDITING Artifact Optimizer'!X157/(1+'EDITING Artifact Optimizer'!Y157))*Q71^(1+'EDITING Artifact Optimizer'!Y157)</f>
        <v>896000</v>
      </c>
      <c r="AE71" s="93">
        <f t="shared" si="11"/>
        <v>0</v>
      </c>
      <c r="AF71" s="8">
        <f t="shared" si="12"/>
        <v>0.00000008837192639</v>
      </c>
      <c r="AH71" s="1" t="str">
        <f t="shared" si="22"/>
        <v/>
      </c>
      <c r="AV71" s="131">
        <v>5.317E13</v>
      </c>
      <c r="AZ71" t="str">
        <f t="shared" si="24"/>
        <v/>
      </c>
      <c r="BA71" t="s">
        <v>610</v>
      </c>
      <c r="BB71" t="s">
        <v>610</v>
      </c>
      <c r="BC71" t="s">
        <v>610</v>
      </c>
      <c r="BD71" t="s">
        <v>610</v>
      </c>
      <c r="BE71" t="s">
        <v>610</v>
      </c>
      <c r="BF71" t="str">
        <f t="shared" si="47"/>
        <v>Mystic Staff</v>
      </c>
    </row>
    <row r="72" ht="15.75" customHeight="1">
      <c r="A72" s="427"/>
      <c r="B72" s="76"/>
      <c r="C72" s="76"/>
      <c r="D72" s="76"/>
      <c r="E72" s="76"/>
      <c r="F72" s="428"/>
      <c r="G72" s="76"/>
      <c r="H72" s="428"/>
      <c r="I72" s="428"/>
      <c r="J72" s="428"/>
      <c r="K72" s="428"/>
      <c r="L72" s="428"/>
      <c r="M72" s="428"/>
      <c r="N72" s="76"/>
      <c r="O72" s="76"/>
      <c r="P72">
        <f>'EDITING Artifact Optimizer'!Q158</f>
        <v>50</v>
      </c>
      <c r="Q72">
        <f t="shared" si="45"/>
        <v>50</v>
      </c>
      <c r="R72" t="b">
        <f t="shared" si="6"/>
        <v>1</v>
      </c>
      <c r="S72" t="b">
        <f t="shared" si="46"/>
        <v>1</v>
      </c>
      <c r="U72" t="b">
        <f t="shared" si="8"/>
        <v>1</v>
      </c>
      <c r="V72" s="4" t="s">
        <v>332</v>
      </c>
      <c r="W72" s="118" t="str">
        <f>image("https://vignette.wikia.nocookie.net/tap-titans-2/images/e/e3/Divine_Chalice.png/revision/latest?cb=20171024225516")</f>
        <v/>
      </c>
      <c r="X72" s="70">
        <f t="shared" si="9"/>
        <v>1</v>
      </c>
      <c r="Y72" s="6">
        <f>1+'EDITING Artifact Optimizer'!S158*Q72 ^ (1 + ('EDITING Artifact Optimizer'!Y158-1)*min('EDITING Artifact Optimizer'!U158*Q72,'EDITING Artifact Optimizer'!T158))^'EDITING Artifact Optimizer'!V158</f>
        <v>1.5</v>
      </c>
      <c r="AA72">
        <v>20912.791051825472</v>
      </c>
      <c r="AB72">
        <f>Q72*'EDITING Artifact Optimizer'!W158</f>
        <v>50</v>
      </c>
      <c r="AC72" s="7">
        <f>('EDITING Artifact Optimizer'!W158*Q72*$Y$16+$AB$89)/$AB$89</f>
        <v>1</v>
      </c>
      <c r="AD72">
        <f>('EDITING Artifact Optimizer'!X158/(1+'EDITING Artifact Optimizer'!Y158))*Q72^(1+'EDITING Artifact Optimizer'!Y158)</f>
        <v>290455.4313</v>
      </c>
      <c r="AE72" s="93">
        <f t="shared" si="11"/>
        <v>0</v>
      </c>
      <c r="AF72" s="8">
        <f t="shared" si="12"/>
        <v>0.0000006062591368</v>
      </c>
      <c r="AH72" s="1" t="str">
        <f t="shared" si="22"/>
        <v/>
      </c>
      <c r="AV72" s="131">
        <v>7.3833E14</v>
      </c>
      <c r="AW72" s="5"/>
      <c r="AX72" s="5"/>
      <c r="AZ72" t="str">
        <f t="shared" si="24"/>
        <v/>
      </c>
      <c r="BA72" t="s">
        <v>431</v>
      </c>
      <c r="BB72" t="s">
        <v>431</v>
      </c>
      <c r="BC72" t="s">
        <v>431</v>
      </c>
      <c r="BD72" t="s">
        <v>431</v>
      </c>
      <c r="BE72" t="s">
        <v>431</v>
      </c>
      <c r="BF72" t="str">
        <f t="shared" si="47"/>
        <v>Mystical Beans of Senzu</v>
      </c>
    </row>
    <row r="73" ht="15.75" customHeight="1">
      <c r="A73" s="427"/>
      <c r="B73" s="76"/>
      <c r="C73" s="76"/>
      <c r="D73" s="76"/>
      <c r="E73" s="76"/>
      <c r="F73" s="428"/>
      <c r="G73" s="76"/>
      <c r="H73" s="428"/>
      <c r="I73" s="428"/>
      <c r="J73" s="428"/>
      <c r="K73" s="428"/>
      <c r="L73" s="428"/>
      <c r="M73" s="428"/>
      <c r="N73" s="76"/>
      <c r="O73" s="76"/>
      <c r="P73">
        <f>'EDITING Artifact Optimizer'!Q159</f>
        <v>50</v>
      </c>
      <c r="Q73">
        <f t="shared" si="45"/>
        <v>50</v>
      </c>
      <c r="R73" t="b">
        <f t="shared" si="6"/>
        <v>1</v>
      </c>
      <c r="S73" t="b">
        <f t="shared" si="46"/>
        <v>1</v>
      </c>
      <c r="U73" t="b">
        <f t="shared" si="8"/>
        <v>1</v>
      </c>
      <c r="V73" s="4" t="s">
        <v>332</v>
      </c>
      <c r="W73" s="118" t="str">
        <f>image("https://vignette.wikia.nocookie.net/tap-titans-2/images/5/5b/Invader%27s_Shield.png/revision/latest?cb=20171024225419")</f>
        <v/>
      </c>
      <c r="X73" s="70">
        <f t="shared" si="9"/>
        <v>1</v>
      </c>
      <c r="Y73" s="6">
        <f>1+'EDITING Artifact Optimizer'!S159*Q73 ^ (1 + ('EDITING Artifact Optimizer'!Y159-1)*min('EDITING Artifact Optimizer'!U159*Q73,'EDITING Artifact Optimizer'!T159))^'EDITING Artifact Optimizer'!V159</f>
        <v>1.25</v>
      </c>
      <c r="AA73">
        <v>1848.447045785393</v>
      </c>
      <c r="AB73">
        <f>Q73*'EDITING Artifact Optimizer'!W159</f>
        <v>80</v>
      </c>
      <c r="AC73" s="7">
        <f>('EDITING Artifact Optimizer'!W159*Q73*$Y$16+$AB$89)/$AB$89</f>
        <v>1</v>
      </c>
      <c r="AD73">
        <f>('EDITING Artifact Optimizer'!X159/(1+'EDITING Artifact Optimizer'!Y159))*Q73^(1+'EDITING Artifact Optimizer'!Y159)</f>
        <v>29813.66203</v>
      </c>
      <c r="AE73" s="93">
        <f t="shared" si="11"/>
        <v>0</v>
      </c>
      <c r="AF73" s="8">
        <f t="shared" si="12"/>
        <v>0.000003250523633</v>
      </c>
      <c r="AH73" s="1" t="str">
        <f t="shared" si="22"/>
        <v/>
      </c>
      <c r="AV73" s="131">
        <v>1.03E16</v>
      </c>
      <c r="AZ73" t="str">
        <f t="shared" si="24"/>
        <v/>
      </c>
      <c r="BA73" t="s">
        <v>610</v>
      </c>
      <c r="BB73" t="s">
        <v>610</v>
      </c>
      <c r="BC73" t="s">
        <v>610</v>
      </c>
      <c r="BD73" t="s">
        <v>610</v>
      </c>
      <c r="BE73" t="s">
        <v>610</v>
      </c>
      <c r="BF73" t="str">
        <f t="shared" si="47"/>
        <v>Egg of Fortune</v>
      </c>
    </row>
    <row r="74" ht="15.75" customHeight="1">
      <c r="A74" s="427"/>
      <c r="B74" s="76"/>
      <c r="C74" s="76"/>
      <c r="D74" s="76"/>
      <c r="E74" s="76"/>
      <c r="F74" s="428"/>
      <c r="G74" s="76"/>
      <c r="H74" s="428"/>
      <c r="I74" s="428"/>
      <c r="J74" s="428"/>
      <c r="K74" s="428"/>
      <c r="L74" s="428"/>
      <c r="M74" s="428"/>
      <c r="N74" s="76"/>
      <c r="O74" s="76"/>
      <c r="P74">
        <f>'EDITING Artifact Optimizer'!Q160</f>
        <v>40</v>
      </c>
      <c r="Q74">
        <f t="shared" si="45"/>
        <v>40</v>
      </c>
      <c r="R74" t="b">
        <f t="shared" si="6"/>
        <v>1</v>
      </c>
      <c r="S74" t="b">
        <f t="shared" si="46"/>
        <v>1</v>
      </c>
      <c r="U74" t="b">
        <f t="shared" si="8"/>
        <v>1</v>
      </c>
      <c r="V74" s="4" t="s">
        <v>332</v>
      </c>
      <c r="W74" s="118" t="str">
        <f>image("https://vignette.wikia.nocookie.net/tap-titans-2/images/e/ea/Axe_of_Muerte.png/revision/latest?cb=20171024233630")</f>
        <v/>
      </c>
      <c r="X74" s="70">
        <f t="shared" si="9"/>
        <v>1</v>
      </c>
      <c r="Y74" s="6">
        <f>1+'EDITING Artifact Optimizer'!S160*Q74 ^ (1 + ('EDITING Artifact Optimizer'!Y160-1)*min('EDITING Artifact Optimizer'!U160*Q74,'EDITING Artifact Optimizer'!T160))^'EDITING Artifact Optimizer'!V160</f>
        <v>1.2</v>
      </c>
      <c r="AA74">
        <v>8095.430810031052</v>
      </c>
      <c r="AB74">
        <f>Q74*'EDITING Artifact Optimizer'!W160</f>
        <v>120</v>
      </c>
      <c r="AC74" s="7">
        <f>('EDITING Artifact Optimizer'!W160*Q74*$Y$16+$AB$89)/$AB$89</f>
        <v>1</v>
      </c>
      <c r="AD74">
        <f>('EDITING Artifact Optimizer'!X160/(1+'EDITING Artifact Optimizer'!Y160))*Q74^(1+'EDITING Artifact Optimizer'!Y160)</f>
        <v>92519.20926</v>
      </c>
      <c r="AE74" s="93">
        <f t="shared" si="11"/>
        <v>0</v>
      </c>
      <c r="AF74" s="8">
        <f t="shared" si="12"/>
        <v>0.0000008558357414</v>
      </c>
      <c r="AH74" s="1" t="str">
        <f t="shared" si="22"/>
        <v/>
      </c>
      <c r="AV74" s="131">
        <v>1.44E17</v>
      </c>
      <c r="AZ74" t="str">
        <f t="shared" si="24"/>
        <v/>
      </c>
      <c r="BA74" t="s">
        <v>610</v>
      </c>
      <c r="BB74" t="s">
        <v>610</v>
      </c>
      <c r="BC74" t="s">
        <v>610</v>
      </c>
      <c r="BD74" t="s">
        <v>610</v>
      </c>
      <c r="BE74" t="s">
        <v>610</v>
      </c>
      <c r="BF74" t="str">
        <f t="shared" si="47"/>
        <v>Divine Chalice</v>
      </c>
    </row>
    <row r="75" ht="15.75" customHeight="1">
      <c r="A75" s="427"/>
      <c r="B75" s="76"/>
      <c r="C75" s="76"/>
      <c r="D75" s="76"/>
      <c r="E75" s="76"/>
      <c r="F75" s="428"/>
      <c r="G75" s="76"/>
      <c r="H75" s="428"/>
      <c r="I75" s="428"/>
      <c r="J75" s="428"/>
      <c r="K75" s="428"/>
      <c r="L75" s="428"/>
      <c r="M75" s="428"/>
      <c r="N75" s="76"/>
      <c r="O75" s="76"/>
      <c r="P75">
        <f>'EDITING Artifact Optimizer'!Q161</f>
        <v>40</v>
      </c>
      <c r="Q75">
        <f t="shared" si="45"/>
        <v>40</v>
      </c>
      <c r="R75" t="b">
        <f t="shared" si="6"/>
        <v>1</v>
      </c>
      <c r="S75" t="b">
        <f t="shared" si="46"/>
        <v>1</v>
      </c>
      <c r="U75" t="b">
        <f t="shared" si="8"/>
        <v>1</v>
      </c>
      <c r="V75" s="4" t="s">
        <v>332</v>
      </c>
      <c r="W75" s="118" t="str">
        <f>image("https://vignette.wikia.nocookie.net/tap-titans-2/images/9/99/Essence_of_the_Kitsune.png/revision/latest?cb=20171117221122")
</f>
        <v/>
      </c>
      <c r="X75" s="70">
        <f t="shared" si="9"/>
        <v>1</v>
      </c>
      <c r="Y75" s="6">
        <f>1+'EDITING Artifact Optimizer'!S161*Q75 ^ (1 + ('EDITING Artifact Optimizer'!Y161-1)*min('EDITING Artifact Optimizer'!U161*Q75,'EDITING Artifact Optimizer'!T161))^'EDITING Artifact Optimizer'!V161</f>
        <v>1.2</v>
      </c>
      <c r="AA75">
        <v>8095.430810031052</v>
      </c>
      <c r="AB75">
        <f>Q75*'EDITING Artifact Optimizer'!W161</f>
        <v>120</v>
      </c>
      <c r="AC75" s="7">
        <f>('EDITING Artifact Optimizer'!W161*Q75*$Y$16+$AB$89)/$AB$89</f>
        <v>1</v>
      </c>
      <c r="AD75">
        <f>('EDITING Artifact Optimizer'!X161/(1+'EDITING Artifact Optimizer'!Y161))*Q75^(1+'EDITING Artifact Optimizer'!Y161)</f>
        <v>92519.20926</v>
      </c>
      <c r="AE75" s="93">
        <f t="shared" si="11"/>
        <v>0</v>
      </c>
      <c r="AF75" s="8">
        <f t="shared" si="12"/>
        <v>0.0000008558357414</v>
      </c>
      <c r="AH75" s="1" t="str">
        <f t="shared" si="22"/>
        <v/>
      </c>
      <c r="AV75" s="131">
        <v>2.03E18</v>
      </c>
      <c r="AW75" s="131"/>
      <c r="AX75" s="131"/>
      <c r="AZ75" t="str">
        <f t="shared" si="24"/>
        <v/>
      </c>
      <c r="BA75" t="s">
        <v>610</v>
      </c>
      <c r="BB75" t="s">
        <v>610</v>
      </c>
      <c r="BC75" t="s">
        <v>610</v>
      </c>
      <c r="BD75" t="s">
        <v>610</v>
      </c>
      <c r="BE75" t="s">
        <v>610</v>
      </c>
      <c r="BF75" t="str">
        <f t="shared" si="47"/>
        <v>Invader's Shield</v>
      </c>
    </row>
    <row r="76" ht="15.75" customHeight="1">
      <c r="A76" s="427"/>
      <c r="B76" s="76"/>
      <c r="C76" s="76"/>
      <c r="D76" s="76"/>
      <c r="E76" s="76"/>
      <c r="F76" s="428"/>
      <c r="G76" s="76"/>
      <c r="H76" s="428"/>
      <c r="I76" s="428"/>
      <c r="J76" s="428"/>
      <c r="K76" s="428"/>
      <c r="L76" s="428"/>
      <c r="M76" s="428"/>
      <c r="N76" s="76"/>
      <c r="O76" s="76"/>
      <c r="P76">
        <f>'EDITING Artifact Optimizer'!Q162</f>
        <v>40</v>
      </c>
      <c r="Q76">
        <f t="shared" si="45"/>
        <v>40</v>
      </c>
      <c r="R76" t="b">
        <f t="shared" si="6"/>
        <v>1</v>
      </c>
      <c r="S76" t="b">
        <f t="shared" si="46"/>
        <v>1</v>
      </c>
      <c r="U76" t="b">
        <f t="shared" si="8"/>
        <v>1</v>
      </c>
      <c r="V76" s="4" t="s">
        <v>332</v>
      </c>
      <c r="W76" s="281" t="str">
        <f>image("https://vignette.wikia.nocookie.net/tap-titans-2/images/6/64/Boots_of_Hermes.png/revision/latest?cb=20180406183716")</f>
        <v/>
      </c>
      <c r="X76" s="70">
        <f t="shared" si="9"/>
        <v>1</v>
      </c>
      <c r="Y76" s="6">
        <f>1+'EDITING Artifact Optimizer'!S162*Q76 ^ (1 + ('EDITING Artifact Optimizer'!Y162-1)*min('EDITING Artifact Optimizer'!U162*Q76,'EDITING Artifact Optimizer'!T162))^'EDITING Artifact Optimizer'!V162</f>
        <v>1.04</v>
      </c>
      <c r="AA76">
        <v>8095.430810031052</v>
      </c>
      <c r="AB76">
        <f>Q76*'EDITING Artifact Optimizer'!W162</f>
        <v>120</v>
      </c>
      <c r="AC76" s="7">
        <f>('EDITING Artifact Optimizer'!W162*Q76*$Y$16+$AB$89)/$AB$89</f>
        <v>1</v>
      </c>
      <c r="AD76">
        <f>('EDITING Artifact Optimizer'!X162/(1+'EDITING Artifact Optimizer'!Y162))*Q76^(1+'EDITING Artifact Optimizer'!Y162)</f>
        <v>92519.20926</v>
      </c>
      <c r="AE76" s="93">
        <f t="shared" si="11"/>
        <v>0</v>
      </c>
      <c r="AF76" s="8">
        <f t="shared" si="12"/>
        <v>0.0000001841059758</v>
      </c>
      <c r="AH76" s="1" t="str">
        <f t="shared" si="22"/>
        <v/>
      </c>
      <c r="AV76" s="131">
        <v>2.88E19</v>
      </c>
      <c r="AW76" s="131"/>
      <c r="AX76" s="131"/>
      <c r="AZ76" t="str">
        <f t="shared" si="24"/>
        <v/>
      </c>
      <c r="BA76" t="s">
        <v>431</v>
      </c>
      <c r="BB76" t="s">
        <v>431</v>
      </c>
      <c r="BC76" t="s">
        <v>431</v>
      </c>
      <c r="BD76" t="s">
        <v>431</v>
      </c>
      <c r="BE76" t="s">
        <v>431</v>
      </c>
      <c r="BF76" t="str">
        <f t="shared" si="47"/>
        <v>Axe of Muerte</v>
      </c>
    </row>
    <row r="77" ht="15.75" customHeight="1">
      <c r="A77" s="427"/>
      <c r="B77" s="76"/>
      <c r="C77" s="76"/>
      <c r="D77" s="76"/>
      <c r="E77" s="76"/>
      <c r="F77" s="428"/>
      <c r="G77" s="76"/>
      <c r="H77" s="428"/>
      <c r="I77" s="428"/>
      <c r="J77" s="428"/>
      <c r="K77" s="428"/>
      <c r="L77" s="428"/>
      <c r="M77" s="428"/>
      <c r="N77" s="76"/>
      <c r="O77" s="76"/>
      <c r="P77">
        <f>'EDITING Artifact Optimizer'!Q163</f>
        <v>40</v>
      </c>
      <c r="Q77">
        <f t="shared" si="45"/>
        <v>40</v>
      </c>
      <c r="R77" t="b">
        <f t="shared" si="6"/>
        <v>1</v>
      </c>
      <c r="S77" t="b">
        <f t="shared" si="46"/>
        <v>1</v>
      </c>
      <c r="U77" t="b">
        <f t="shared" si="8"/>
        <v>1</v>
      </c>
      <c r="V77" s="4" t="s">
        <v>332</v>
      </c>
      <c r="W77" t="str">
        <f>image("https://vignette.wikia.nocookie.net/tap-titans-2/images/8/81/Unbound_Gauntlet.png/revision/latest?cb=20180803145551")</f>
        <v/>
      </c>
      <c r="X77" s="70">
        <f t="shared" si="9"/>
        <v>1</v>
      </c>
      <c r="Y77" s="6">
        <f>1+'EDITING Artifact Optimizer'!S163*Q77 ^ (1 + ('EDITING Artifact Optimizer'!Y163-1)*min('EDITING Artifact Optimizer'!U163*Q77,'EDITING Artifact Optimizer'!T163))^'EDITING Artifact Optimizer'!V163</f>
        <v>1.04</v>
      </c>
      <c r="AA77">
        <v>8095.430810031052</v>
      </c>
      <c r="AB77">
        <f>Q77*'EDITING Artifact Optimizer'!W163</f>
        <v>120</v>
      </c>
      <c r="AC77" s="7">
        <f>('EDITING Artifact Optimizer'!W163*Q77*$Y$16+$AB$89)/$AB$89</f>
        <v>1</v>
      </c>
      <c r="AD77">
        <f>('EDITING Artifact Optimizer'!X163/(1+'EDITING Artifact Optimizer'!Y163))*Q77^(1+'EDITING Artifact Optimizer'!Y163)</f>
        <v>92519.20926</v>
      </c>
      <c r="AE77" s="93">
        <f t="shared" si="11"/>
        <v>0</v>
      </c>
      <c r="AF77" s="8">
        <f t="shared" si="12"/>
        <v>0.0000001841059758</v>
      </c>
      <c r="AH77" s="1" t="str">
        <f t="shared" si="22"/>
        <v/>
      </c>
      <c r="AV77" s="131">
        <v>4.09E20</v>
      </c>
      <c r="AW77" s="131"/>
      <c r="AX77" s="131"/>
      <c r="AZ77" t="str">
        <f t="shared" si="24"/>
        <v/>
      </c>
      <c r="BA77" t="s">
        <v>610</v>
      </c>
      <c r="BB77" t="s">
        <v>610</v>
      </c>
      <c r="BC77" t="s">
        <v>610</v>
      </c>
      <c r="BD77" t="s">
        <v>610</v>
      </c>
      <c r="BE77" t="s">
        <v>610</v>
      </c>
      <c r="BF77" t="str">
        <f t="shared" si="47"/>
        <v>Essence of the Kitsune</v>
      </c>
    </row>
    <row r="78" ht="15.75" customHeight="1">
      <c r="A78" s="427"/>
      <c r="B78" s="76"/>
      <c r="C78" s="76"/>
      <c r="D78" s="76"/>
      <c r="E78" s="76"/>
      <c r="F78" s="428"/>
      <c r="G78" s="76"/>
      <c r="H78" s="428"/>
      <c r="I78" s="428"/>
      <c r="J78" s="428"/>
      <c r="K78" s="428"/>
      <c r="L78" s="428"/>
      <c r="M78" s="428"/>
      <c r="N78" s="76"/>
      <c r="O78" s="76"/>
      <c r="P78">
        <f>'EDITING Artifact Optimizer'!Q164</f>
        <v>40</v>
      </c>
      <c r="Q78">
        <f t="shared" si="45"/>
        <v>40</v>
      </c>
      <c r="R78" t="b">
        <f t="shared" si="6"/>
        <v>1</v>
      </c>
      <c r="S78" t="b">
        <f t="shared" si="46"/>
        <v>1</v>
      </c>
      <c r="U78" t="b">
        <f t="shared" si="8"/>
        <v>1</v>
      </c>
      <c r="V78" s="4" t="s">
        <v>332</v>
      </c>
      <c r="W78" s="281" t="str">
        <f>image("https://vignette.wikia.nocookie.net/tap-titans-2/images/1/1c/Oberon_Pendant.png/revision/latest?cb=20180525170733")</f>
        <v/>
      </c>
      <c r="X78" s="70">
        <f t="shared" si="9"/>
        <v>1</v>
      </c>
      <c r="Y78" s="6">
        <f>1+'EDITING Artifact Optimizer'!S164*Q78 ^ (1 + ('EDITING Artifact Optimizer'!Y164-1)*min('EDITING Artifact Optimizer'!U164*Q78,'EDITING Artifact Optimizer'!T164))^'EDITING Artifact Optimizer'!V164</f>
        <v>1.08</v>
      </c>
      <c r="AA78">
        <v>8095.430810031052</v>
      </c>
      <c r="AB78">
        <f>Q78*'EDITING Artifact Optimizer'!W164</f>
        <v>120</v>
      </c>
      <c r="AC78" s="7">
        <f>('EDITING Artifact Optimizer'!W164*Q78*$Y$16+$AB$89)/$AB$89</f>
        <v>1</v>
      </c>
      <c r="AD78">
        <f>('EDITING Artifact Optimizer'!X164/(1+'EDITING Artifact Optimizer'!Y164))*Q78^(1+'EDITING Artifact Optimizer'!Y164)</f>
        <v>92519.20926</v>
      </c>
      <c r="AE78" s="93">
        <f t="shared" si="11"/>
        <v>0</v>
      </c>
      <c r="AF78" s="8">
        <f t="shared" si="12"/>
        <v>0.0000003612628745</v>
      </c>
      <c r="AH78" s="1" t="str">
        <f t="shared" si="22"/>
        <v/>
      </c>
      <c r="AV78" s="131">
        <v>5.849999999999999E21</v>
      </c>
      <c r="AZ78" t="str">
        <f t="shared" si="24"/>
        <v/>
      </c>
      <c r="BA78" t="s">
        <v>389</v>
      </c>
      <c r="BB78" t="s">
        <v>389</v>
      </c>
      <c r="BC78" t="s">
        <v>389</v>
      </c>
      <c r="BD78" t="s">
        <v>389</v>
      </c>
      <c r="BE78" t="s">
        <v>389</v>
      </c>
      <c r="BF78" t="str">
        <f t="shared" si="47"/>
        <v>Boots of Hermes</v>
      </c>
    </row>
    <row r="79" ht="15.75" customHeight="1">
      <c r="A79" s="427"/>
      <c r="B79" s="76"/>
      <c r="C79" s="76"/>
      <c r="D79" s="76"/>
      <c r="E79" s="76"/>
      <c r="F79" s="428"/>
      <c r="G79" s="76"/>
      <c r="H79" s="428"/>
      <c r="I79" s="428"/>
      <c r="J79" s="428"/>
      <c r="K79" s="428"/>
      <c r="L79" s="428"/>
      <c r="M79" s="428"/>
      <c r="N79" s="76"/>
      <c r="O79" s="76"/>
      <c r="P79">
        <f>'EDITING Artifact Optimizer'!Q165</f>
        <v>40</v>
      </c>
      <c r="Q79">
        <f t="shared" si="45"/>
        <v>40</v>
      </c>
      <c r="R79" t="b">
        <f t="shared" si="6"/>
        <v>1</v>
      </c>
      <c r="S79" t="b">
        <f t="shared" si="46"/>
        <v>1</v>
      </c>
      <c r="U79" t="b">
        <f t="shared" si="8"/>
        <v>1</v>
      </c>
      <c r="V79" s="4" t="s">
        <v>332</v>
      </c>
      <c r="W79" s="281" t="str">
        <f>image("https://vignette.wikia.nocookie.net/tap-titans-2/images/e/ef/Lucky_Foot_of_Al-mi%27raj.png/revision/latest?cb=20180406183730")</f>
        <v/>
      </c>
      <c r="X79" s="70">
        <f t="shared" si="9"/>
        <v>1</v>
      </c>
      <c r="Y79" s="6">
        <f>1+'EDITING Artifact Optimizer'!S165*Q79 ^ (1 + ('EDITING Artifact Optimizer'!Y165-1)*min('EDITING Artifact Optimizer'!U165*Q79,'EDITING Artifact Optimizer'!T165))^'EDITING Artifact Optimizer'!V165</f>
        <v>1.1</v>
      </c>
      <c r="AA79">
        <v>7316.880830837224</v>
      </c>
      <c r="AB79">
        <f>Q79*'EDITING Artifact Optimizer'!W165</f>
        <v>80</v>
      </c>
      <c r="AC79" s="7">
        <f>('EDITING Artifact Optimizer'!W165*Q79*$Y$16+$AB$89)/$AB$89</f>
        <v>1</v>
      </c>
      <c r="AD79">
        <f>('EDITING Artifact Optimizer'!X165/(1+'EDITING Artifact Optimizer'!Y165))*Q79^(1+'EDITING Artifact Optimizer'!Y165)</f>
        <v>81298.6759</v>
      </c>
      <c r="AE79" s="93">
        <f t="shared" si="11"/>
        <v>0</v>
      </c>
      <c r="AF79" s="8">
        <f t="shared" si="12"/>
        <v>0.000000509143411</v>
      </c>
      <c r="AH79" s="1" t="str">
        <f t="shared" si="22"/>
        <v/>
      </c>
      <c r="AV79" s="131">
        <v>8.42E22</v>
      </c>
      <c r="AZ79" t="str">
        <f t="shared" si="24"/>
        <v/>
      </c>
      <c r="BA79" t="s">
        <v>431</v>
      </c>
      <c r="BB79" t="s">
        <v>431</v>
      </c>
      <c r="BC79" t="s">
        <v>431</v>
      </c>
      <c r="BD79" t="s">
        <v>431</v>
      </c>
      <c r="BE79" t="s">
        <v>431</v>
      </c>
      <c r="BF79" t="str">
        <f t="shared" si="47"/>
        <v>Unbound Gauntlet</v>
      </c>
    </row>
    <row r="80" ht="15.75" customHeight="1">
      <c r="A80" s="427"/>
      <c r="B80" s="76"/>
      <c r="C80" s="76"/>
      <c r="D80" s="76"/>
      <c r="E80" s="76"/>
      <c r="F80" s="428"/>
      <c r="G80" s="76"/>
      <c r="H80" s="428"/>
      <c r="I80" s="428"/>
      <c r="J80" s="428"/>
      <c r="K80" s="428"/>
      <c r="L80" s="428"/>
      <c r="M80" s="428"/>
      <c r="N80" s="76"/>
      <c r="O80" s="76"/>
      <c r="P80">
        <f>'EDITING Artifact Optimizer'!Q166</f>
        <v>40</v>
      </c>
      <c r="Q80">
        <f t="shared" si="45"/>
        <v>40</v>
      </c>
      <c r="R80" t="b">
        <f t="shared" si="6"/>
        <v>1</v>
      </c>
      <c r="S80" t="b">
        <f t="shared" si="46"/>
        <v>1</v>
      </c>
      <c r="U80" t="b">
        <f t="shared" si="8"/>
        <v>1</v>
      </c>
      <c r="V80" s="4" t="s">
        <v>332</v>
      </c>
      <c r="W80" s="281" t="str">
        <f>image("https://vignette.wikia.nocookie.net/tap-titans-2/images/c/cc/Lost_King%27s_Mask.png/revision/latest?cb=20171206185759")</f>
        <v/>
      </c>
      <c r="X80" s="70">
        <f t="shared" si="9"/>
        <v>1</v>
      </c>
      <c r="Y80" s="6">
        <f>1+'EDITING Artifact Optimizer'!S166*Q80 ^ (1 + ('EDITING Artifact Optimizer'!Y166-1)*min('EDITING Artifact Optimizer'!U166*Q80,'EDITING Artifact Optimizer'!T166))^'EDITING Artifact Optimizer'!V166</f>
        <v>1.8</v>
      </c>
      <c r="AA80">
        <v>32000.0</v>
      </c>
      <c r="AB80">
        <f>Q80*'EDITING Artifact Optimizer'!W166</f>
        <v>32</v>
      </c>
      <c r="AC80" s="7">
        <f>('EDITING Artifact Optimizer'!W166*Q80*$Y$16+$AB$89)/$AB$89</f>
        <v>1</v>
      </c>
      <c r="AD80">
        <f>('EDITING Artifact Optimizer'!X166/(1+'EDITING Artifact Optimizer'!Y166))*Q80^(1+'EDITING Artifact Optimizer'!Y166)</f>
        <v>320000</v>
      </c>
      <c r="AE80" s="93">
        <f t="shared" si="11"/>
        <v>0</v>
      </c>
      <c r="AF80" s="8">
        <f t="shared" si="12"/>
        <v>0.0000007977265784</v>
      </c>
      <c r="AH80" s="1" t="str">
        <f t="shared" si="22"/>
        <v/>
      </c>
      <c r="AV80" s="131">
        <v>1.21E24</v>
      </c>
      <c r="AZ80" t="str">
        <f t="shared" si="24"/>
        <v/>
      </c>
      <c r="BA80" t="s">
        <v>610</v>
      </c>
      <c r="BB80" t="s">
        <v>610</v>
      </c>
      <c r="BC80" t="s">
        <v>610</v>
      </c>
      <c r="BD80" t="s">
        <v>610</v>
      </c>
      <c r="BE80" t="s">
        <v>610</v>
      </c>
      <c r="BF80" t="str">
        <f t="shared" si="47"/>
        <v>Oberon Pendant</v>
      </c>
    </row>
    <row r="81" ht="15.75" customHeight="1">
      <c r="A81" s="427"/>
      <c r="B81" s="76"/>
      <c r="C81" s="76"/>
      <c r="D81" s="76"/>
      <c r="E81" s="76"/>
      <c r="F81" s="428"/>
      <c r="G81" s="76"/>
      <c r="H81" s="428"/>
      <c r="I81" s="428"/>
      <c r="J81" s="428"/>
      <c r="K81" s="428"/>
      <c r="L81" s="428"/>
      <c r="M81" s="428"/>
      <c r="N81" s="76"/>
      <c r="O81" s="76"/>
      <c r="P81">
        <f>'EDITING Artifact Optimizer'!Q167</f>
        <v>40</v>
      </c>
      <c r="Q81">
        <f t="shared" si="45"/>
        <v>40</v>
      </c>
      <c r="R81" t="b">
        <f t="shared" si="6"/>
        <v>1</v>
      </c>
      <c r="S81" t="b">
        <f t="shared" si="46"/>
        <v>1</v>
      </c>
      <c r="U81" t="b">
        <f t="shared" si="8"/>
        <v>1</v>
      </c>
      <c r="V81" s="4" t="s">
        <v>332</v>
      </c>
      <c r="W81" s="281" t="str">
        <f>image("https://vignette.wikia.nocookie.net/tap-titans-2/images/c/cb/Staff_of_Radiance.png/revision/latest?cb=20171024224732")</f>
        <v/>
      </c>
      <c r="X81" s="70">
        <f t="shared" si="9"/>
        <v>1</v>
      </c>
      <c r="Y81" s="6">
        <f>1+'EDITING Artifact Optimizer'!S167*Q81 ^ (1 + ('EDITING Artifact Optimizer'!Y167-1)*min('EDITING Artifact Optimizer'!U167*Q81,'EDITING Artifact Optimizer'!T167))^'EDITING Artifact Optimizer'!V167</f>
        <v>1.8</v>
      </c>
      <c r="AA81">
        <v>7316.880830837224</v>
      </c>
      <c r="AB81">
        <f>Q81*'EDITING Artifact Optimizer'!W167</f>
        <v>32</v>
      </c>
      <c r="AC81" s="7">
        <f>('EDITING Artifact Optimizer'!W167*Q81*$Y$16+$AB$89)/$AB$89</f>
        <v>1</v>
      </c>
      <c r="AD81">
        <f>('EDITING Artifact Optimizer'!X167/(1+'EDITING Artifact Optimizer'!Y167))*Q81^(1+'EDITING Artifact Optimizer'!Y167)</f>
        <v>81298.6759</v>
      </c>
      <c r="AE81" s="93">
        <f t="shared" si="11"/>
        <v>0</v>
      </c>
      <c r="AF81" s="8">
        <f t="shared" si="12"/>
        <v>0.000003139934351</v>
      </c>
      <c r="AH81" s="1" t="str">
        <f t="shared" si="22"/>
        <v/>
      </c>
      <c r="AV81" s="131">
        <v>1.76E25</v>
      </c>
      <c r="AZ81" t="str">
        <f t="shared" si="24"/>
        <v/>
      </c>
      <c r="BA81" t="s">
        <v>403</v>
      </c>
      <c r="BB81" t="s">
        <v>403</v>
      </c>
      <c r="BC81" t="s">
        <v>403</v>
      </c>
      <c r="BD81" t="s">
        <v>403</v>
      </c>
      <c r="BE81" t="s">
        <v>403</v>
      </c>
      <c r="BF81" t="str">
        <f t="shared" si="47"/>
        <v>Lucky Foot of Al-mi'raj</v>
      </c>
    </row>
    <row r="82" ht="15.75" customHeight="1">
      <c r="A82" s="469"/>
      <c r="B82" s="76"/>
      <c r="C82" s="76"/>
      <c r="D82" s="76"/>
      <c r="E82" s="470"/>
      <c r="F82" s="76"/>
      <c r="G82" s="76"/>
      <c r="H82" s="76"/>
      <c r="I82" s="76"/>
      <c r="J82" s="76"/>
      <c r="K82" s="76"/>
      <c r="L82" s="76"/>
      <c r="M82" s="76"/>
      <c r="N82" s="76"/>
      <c r="O82" s="76"/>
      <c r="P82">
        <f>'EDITING Artifact Optimizer'!Q168</f>
        <v>50</v>
      </c>
      <c r="Q82">
        <f t="shared" si="45"/>
        <v>50</v>
      </c>
      <c r="R82" t="b">
        <f t="shared" si="6"/>
        <v>1</v>
      </c>
      <c r="S82" t="b">
        <f t="shared" si="46"/>
        <v>1</v>
      </c>
      <c r="U82" t="b">
        <f t="shared" si="8"/>
        <v>1</v>
      </c>
      <c r="V82" s="4" t="s">
        <v>332</v>
      </c>
      <c r="W82" s="118" t="str">
        <f>image("https://vignette.wikia.nocookie.net/tap-titans-2/images/6/61/Morgelai_Sword.png/revision/latest?cb=20180525170635")</f>
        <v/>
      </c>
      <c r="X82" s="70">
        <f t="shared" si="9"/>
        <v>1</v>
      </c>
      <c r="Y82" s="6">
        <f>1+'EDITING Artifact Optimizer'!S168*Q82 ^ (1 + ('EDITING Artifact Optimizer'!Y168-1)*min('EDITING Artifact Optimizer'!U168*Q82,'EDITING Artifact Optimizer'!T168))^'EDITING Artifact Optimizer'!V168</f>
        <v>1.5</v>
      </c>
      <c r="Z82" s="93"/>
      <c r="AA82" s="93">
        <v>62500.0</v>
      </c>
      <c r="AB82">
        <f>Q82*'EDITING Artifact Optimizer'!W168</f>
        <v>40</v>
      </c>
      <c r="AC82" s="7">
        <f>('EDITING Artifact Optimizer'!W168*Q82*$Y$16+$AB$89)/$AB$89</f>
        <v>1</v>
      </c>
      <c r="AD82">
        <f>('EDITING Artifact Optimizer'!X168/(1+'EDITING Artifact Optimizer'!Y168))*Q82^(1+'EDITING Artifact Optimizer'!Y168)</f>
        <v>781250</v>
      </c>
      <c r="AE82" s="93">
        <f t="shared" si="11"/>
        <v>0</v>
      </c>
      <c r="AF82" s="8">
        <f t="shared" si="12"/>
        <v>0.0000002253968116</v>
      </c>
      <c r="AH82" s="1" t="str">
        <f t="shared" si="22"/>
        <v/>
      </c>
      <c r="AV82" s="131">
        <v>2.56E26</v>
      </c>
      <c r="AZ82" t="str">
        <f t="shared" si="24"/>
        <v/>
      </c>
      <c r="BA82" t="s">
        <v>610</v>
      </c>
      <c r="BB82" t="s">
        <v>610</v>
      </c>
      <c r="BC82" t="s">
        <v>610</v>
      </c>
      <c r="BD82" t="s">
        <v>610</v>
      </c>
      <c r="BE82" t="s">
        <v>610</v>
      </c>
      <c r="BF82" t="str">
        <f t="shared" si="47"/>
        <v>Lost King's Mask</v>
      </c>
    </row>
    <row r="83" ht="15.75" customHeight="1">
      <c r="A83" s="469"/>
      <c r="B83" s="76"/>
      <c r="C83" s="76"/>
      <c r="D83" s="76"/>
      <c r="E83" s="470"/>
      <c r="F83" s="76"/>
      <c r="G83" s="76"/>
      <c r="H83" s="76"/>
      <c r="I83" s="76"/>
      <c r="J83" s="76"/>
      <c r="K83" s="76"/>
      <c r="L83" s="76"/>
      <c r="M83" s="76"/>
      <c r="N83" s="76"/>
      <c r="O83" s="76"/>
      <c r="P83">
        <f>'EDITING Artifact Optimizer'!Q169</f>
        <v>40</v>
      </c>
      <c r="Q83">
        <f t="shared" si="45"/>
        <v>40</v>
      </c>
      <c r="R83" t="b">
        <f t="shared" si="6"/>
        <v>1</v>
      </c>
      <c r="S83" t="b">
        <f t="shared" si="46"/>
        <v>1</v>
      </c>
      <c r="U83" t="b">
        <f t="shared" si="8"/>
        <v>1</v>
      </c>
      <c r="V83" s="4" t="s">
        <v>332</v>
      </c>
      <c r="W83" s="118" t="str">
        <f>image("https://vignette.wikia.nocookie.net/tap-titans-2/images/b/bf/The_Master%27s_Sword.png/revision/latest?cb=20171024221847")</f>
        <v/>
      </c>
      <c r="X83" s="70">
        <f t="shared" si="9"/>
        <v>1</v>
      </c>
      <c r="Y83" s="6">
        <f>1+'EDITING Artifact Optimizer'!S169*Q83 ^ (1 + ('EDITING Artifact Optimizer'!Y169-1)*min('EDITING Artifact Optimizer'!U169*Q83,'EDITING Artifact Optimizer'!T169))^'EDITING Artifact Optimizer'!V169</f>
        <v>1.004</v>
      </c>
      <c r="Z83" s="93"/>
      <c r="AA83" s="93">
        <v>7316.880830837224</v>
      </c>
      <c r="AB83">
        <f>Q83*'EDITING Artifact Optimizer'!W169</f>
        <v>80</v>
      </c>
      <c r="AC83" s="7">
        <f>('EDITING Artifact Optimizer'!W169*Q83*$Y$16+$AB$89)/$AB$89</f>
        <v>1</v>
      </c>
      <c r="AD83">
        <f>('EDITING Artifact Optimizer'!X169/(1+'EDITING Artifact Optimizer'!Y169))*Q83^(1+'EDITING Artifact Optimizer'!Y169)</f>
        <v>81298.6759</v>
      </c>
      <c r="AE83" s="93">
        <f t="shared" si="11"/>
        <v>0</v>
      </c>
      <c r="AF83" s="8">
        <f t="shared" si="12"/>
        <v>0.00000002132522812</v>
      </c>
      <c r="AH83" s="1" t="str">
        <f t="shared" si="22"/>
        <v/>
      </c>
      <c r="AV83" s="476">
        <v>3.74E27</v>
      </c>
      <c r="AZ83" t="str">
        <f t="shared" si="24"/>
        <v/>
      </c>
      <c r="BA83" t="s">
        <v>610</v>
      </c>
      <c r="BB83" t="s">
        <v>610</v>
      </c>
      <c r="BC83" t="s">
        <v>610</v>
      </c>
      <c r="BD83" t="s">
        <v>610</v>
      </c>
      <c r="BE83" t="s">
        <v>610</v>
      </c>
      <c r="BF83" t="str">
        <f t="shared" si="47"/>
        <v>Staff of Radiance</v>
      </c>
    </row>
    <row r="84" ht="15.75" customHeight="1">
      <c r="A84" s="469"/>
      <c r="B84" s="76"/>
      <c r="C84" s="76"/>
      <c r="D84" s="76"/>
      <c r="E84" s="470"/>
      <c r="F84" s="76"/>
      <c r="G84" s="76"/>
      <c r="H84" s="76"/>
      <c r="I84" s="76"/>
      <c r="J84" s="76"/>
      <c r="K84" s="76"/>
      <c r="L84" s="76"/>
      <c r="M84" s="76"/>
      <c r="N84" s="76"/>
      <c r="O84" s="76"/>
      <c r="P84">
        <f>'EDITING Artifact Optimizer'!Q170</f>
        <v>40</v>
      </c>
      <c r="Q84">
        <f t="shared" si="45"/>
        <v>40</v>
      </c>
      <c r="R84" t="b">
        <f t="shared" si="6"/>
        <v>1</v>
      </c>
      <c r="S84" t="b">
        <f t="shared" si="46"/>
        <v>1</v>
      </c>
      <c r="U84" t="b">
        <f t="shared" si="8"/>
        <v>1</v>
      </c>
      <c r="V84" s="4" t="s">
        <v>332</v>
      </c>
      <c r="W84" s="118" t="str">
        <f>image("https://i.imgur.com/dE9Ir8h.png")</f>
        <v/>
      </c>
      <c r="X84" s="70">
        <f t="shared" si="9"/>
        <v>1</v>
      </c>
      <c r="Y84" s="6">
        <f>1+'EDITING Artifact Optimizer'!S170*Q84 ^ (1 + ('EDITING Artifact Optimizer'!Y170-1)*min('EDITING Artifact Optimizer'!U170*Q84,'EDITING Artifact Optimizer'!T170))^'EDITING Artifact Optimizer'!V170</f>
        <v>10</v>
      </c>
      <c r="Z84" s="93"/>
      <c r="AA84" s="93">
        <v>128000.0</v>
      </c>
      <c r="AB84">
        <f>Q84*'EDITING Artifact Optimizer'!W170</f>
        <v>120</v>
      </c>
      <c r="AC84" s="7">
        <f>('EDITING Artifact Optimizer'!W170*Q84*$Y$16+$AB$89)/$AB$89</f>
        <v>1</v>
      </c>
      <c r="AD84">
        <f>('EDITING Artifact Optimizer'!X170/(1+'EDITING Artifact Optimizer'!Y170))*Q84^(1+'EDITING Artifact Optimizer'!Y170)</f>
        <v>1280000</v>
      </c>
      <c r="AE84" s="93">
        <f t="shared" si="11"/>
        <v>0</v>
      </c>
      <c r="AF84" s="8">
        <f t="shared" si="12"/>
        <v>0.00000078125</v>
      </c>
      <c r="AH84" s="1" t="str">
        <f t="shared" si="22"/>
        <v/>
      </c>
      <c r="AV84" s="476">
        <v>5.5E28</v>
      </c>
      <c r="AZ84" t="str">
        <f t="shared" si="24"/>
        <v/>
      </c>
      <c r="BA84" t="s">
        <v>403</v>
      </c>
      <c r="BB84" t="s">
        <v>403</v>
      </c>
      <c r="BC84" t="s">
        <v>403</v>
      </c>
      <c r="BD84" t="s">
        <v>403</v>
      </c>
      <c r="BE84" t="s">
        <v>403</v>
      </c>
      <c r="BF84" t="str">
        <f t="shared" si="47"/>
        <v>Morgelai Sword</v>
      </c>
    </row>
    <row r="85" ht="15.75" customHeight="1">
      <c r="A85" s="469"/>
      <c r="B85" s="76"/>
      <c r="C85" s="76"/>
      <c r="D85" s="76"/>
      <c r="E85" s="470"/>
      <c r="F85" s="76"/>
      <c r="G85" s="76"/>
      <c r="H85" s="76"/>
      <c r="I85" s="76"/>
      <c r="J85" s="76"/>
      <c r="K85" s="76"/>
      <c r="L85" s="76"/>
      <c r="M85" s="76"/>
      <c r="N85" s="76"/>
      <c r="O85" s="76"/>
      <c r="P85">
        <f>'EDITING Artifact Optimizer'!Q171</f>
        <v>40</v>
      </c>
      <c r="Q85">
        <f t="shared" si="45"/>
        <v>40</v>
      </c>
      <c r="R85" t="b">
        <f t="shared" si="6"/>
        <v>1</v>
      </c>
      <c r="S85" t="b">
        <f t="shared" si="46"/>
        <v>1</v>
      </c>
      <c r="U85" t="b">
        <f t="shared" si="8"/>
        <v>1</v>
      </c>
      <c r="V85" s="4" t="s">
        <v>332</v>
      </c>
      <c r="W85" s="118" t="str">
        <f>image("https://i.imgur.com/raUqgFI.png")</f>
        <v/>
      </c>
      <c r="X85" s="70">
        <f t="shared" si="9"/>
        <v>1</v>
      </c>
      <c r="Y85" s="6">
        <f>1+'EDITING Artifact Optimizer'!S171*Q85 ^ (1 + ('EDITING Artifact Optimizer'!Y171-1)*min('EDITING Artifact Optimizer'!U171*Q85,'EDITING Artifact Optimizer'!T171))^'EDITING Artifact Optimizer'!V171</f>
        <v>10</v>
      </c>
      <c r="Z85" s="93"/>
      <c r="AA85" s="93">
        <v>128000.0</v>
      </c>
      <c r="AB85">
        <f>Q85*'EDITING Artifact Optimizer'!W171</f>
        <v>120</v>
      </c>
      <c r="AC85" s="7">
        <f>('EDITING Artifact Optimizer'!W171*Q85*$Y$16+$AB$89)/$AB$89</f>
        <v>1</v>
      </c>
      <c r="AD85">
        <f>('EDITING Artifact Optimizer'!X171/(1+'EDITING Artifact Optimizer'!Y171))*Q85^(1+'EDITING Artifact Optimizer'!Y171)</f>
        <v>1280000</v>
      </c>
      <c r="AE85" s="93">
        <f t="shared" si="11"/>
        <v>0</v>
      </c>
      <c r="AF85" s="8">
        <f t="shared" si="12"/>
        <v>0.00000078125</v>
      </c>
      <c r="AH85" s="1" t="str">
        <f t="shared" ref="AH85:AH86" si="48">W87</f>
        <v/>
      </c>
      <c r="AV85" s="476">
        <v>8.12E29</v>
      </c>
      <c r="AZ85" t="str">
        <f t="shared" si="24"/>
        <v/>
      </c>
      <c r="BA85" t="s">
        <v>431</v>
      </c>
      <c r="BB85" t="s">
        <v>431</v>
      </c>
      <c r="BC85" t="s">
        <v>431</v>
      </c>
      <c r="BD85" t="s">
        <v>431</v>
      </c>
      <c r="BE85" t="s">
        <v>431</v>
      </c>
      <c r="BF85" t="str">
        <f t="shared" si="47"/>
        <v>The Master's Sword</v>
      </c>
    </row>
    <row r="86" ht="15.75" customHeight="1">
      <c r="A86" s="469"/>
      <c r="B86" s="76"/>
      <c r="C86" s="76"/>
      <c r="D86" s="76"/>
      <c r="E86" s="470"/>
      <c r="F86" s="76"/>
      <c r="G86" s="76"/>
      <c r="H86" s="76"/>
      <c r="I86" s="76"/>
      <c r="J86" s="76"/>
      <c r="K86" s="76"/>
      <c r="L86" s="76"/>
      <c r="M86" s="76"/>
      <c r="N86" s="76"/>
      <c r="O86" s="76"/>
      <c r="P86">
        <f>'EDITING Artifact Optimizer'!Q172</f>
        <v>50</v>
      </c>
      <c r="Q86">
        <f t="shared" si="45"/>
        <v>50</v>
      </c>
      <c r="R86" t="b">
        <f t="shared" si="6"/>
        <v>1</v>
      </c>
      <c r="U86" t="b">
        <f t="shared" si="8"/>
        <v>1</v>
      </c>
      <c r="V86" s="4" t="s">
        <v>332</v>
      </c>
      <c r="W86" s="118" t="str">
        <f>image("https://i.imgur.com/6CaFG99.png")</f>
        <v/>
      </c>
      <c r="X86" s="70">
        <f t="shared" si="9"/>
        <v>1</v>
      </c>
      <c r="Y86" s="6">
        <f>1+'EDITING Artifact Optimizer'!S172*Q86 ^ (1 + ('EDITING Artifact Optimizer'!Y172-1)*min('EDITING Artifact Optimizer'!U172*Q86,'EDITING Artifact Optimizer'!T172))^'EDITING Artifact Optimizer'!V172</f>
        <v>1.25</v>
      </c>
      <c r="Z86" s="93"/>
      <c r="AA86" s="93">
        <v>250000.0</v>
      </c>
      <c r="AB86">
        <f>Q86*'EDITING Artifact Optimizer'!W172</f>
        <v>150</v>
      </c>
      <c r="AC86" s="7">
        <f>('EDITING Artifact Optimizer'!W172*Q86*$Y$16+$AB$89)/$AB$89</f>
        <v>1</v>
      </c>
      <c r="AD86">
        <f>('EDITING Artifact Optimizer'!X172/(1+'EDITING Artifact Optimizer'!Y172))*Q86^(1+'EDITING Artifact Optimizer'!Y172)</f>
        <v>3125000</v>
      </c>
      <c r="AE86" s="93">
        <f t="shared" si="11"/>
        <v>0</v>
      </c>
      <c r="AF86" s="8">
        <f t="shared" si="12"/>
        <v>0.00000003101120416</v>
      </c>
      <c r="AH86" s="1" t="str">
        <f t="shared" si="48"/>
        <v/>
      </c>
      <c r="AV86" s="476">
        <v>1.2E30</v>
      </c>
      <c r="AZ86" t="str">
        <f t="shared" si="24"/>
        <v/>
      </c>
      <c r="BA86" t="s">
        <v>431</v>
      </c>
      <c r="BB86" t="s">
        <v>431</v>
      </c>
      <c r="BC86" t="s">
        <v>431</v>
      </c>
      <c r="BD86" t="s">
        <v>431</v>
      </c>
      <c r="BE86" t="s">
        <v>431</v>
      </c>
      <c r="BF86" t="str">
        <f t="shared" si="47"/>
        <v>The Magnifier</v>
      </c>
    </row>
    <row r="87" ht="15.75" customHeight="1">
      <c r="A87" s="469"/>
      <c r="B87" s="76"/>
      <c r="C87" s="76"/>
      <c r="D87" s="76"/>
      <c r="E87" s="470"/>
      <c r="F87" s="76"/>
      <c r="G87" s="76"/>
      <c r="H87" s="76"/>
      <c r="I87" s="76"/>
      <c r="J87" s="76"/>
      <c r="K87" s="76"/>
      <c r="L87" s="76"/>
      <c r="M87" s="76"/>
      <c r="N87" s="76"/>
      <c r="O87" s="76"/>
      <c r="P87">
        <f>'EDITING Artifact Optimizer'!Q173</f>
        <v>40</v>
      </c>
      <c r="Q87">
        <f t="shared" si="45"/>
        <v>40</v>
      </c>
      <c r="R87" t="b">
        <f t="shared" si="6"/>
        <v>1</v>
      </c>
      <c r="S87" t="b">
        <f t="shared" ref="S87:S88" si="49">IF(L50="☑",true,false)</f>
        <v>1</v>
      </c>
      <c r="U87" t="b">
        <f t="shared" si="8"/>
        <v>1</v>
      </c>
      <c r="V87" s="4" t="s">
        <v>332</v>
      </c>
      <c r="W87" s="281" t="str">
        <f>image("https://vignette.wikia.nocookie.net/tap-titans-2/images/8/88/Aram_Spear.png/revision/latest?cb=20171117220101")</f>
        <v/>
      </c>
      <c r="X87" s="70">
        <f t="shared" si="9"/>
        <v>1</v>
      </c>
      <c r="Y87" s="6">
        <f>1+'EDITING Artifact Optimizer'!S173*Q87 ^ (1 + ('EDITING Artifact Optimizer'!Y173-1)*min('EDITING Artifact Optimizer'!U173*Q87,'EDITING Artifact Optimizer'!T173))^'EDITING Artifact Optimizer'!V173</f>
        <v>1.8</v>
      </c>
      <c r="AA87" s="93">
        <v>7316.880830837224</v>
      </c>
      <c r="AB87">
        <f>Q87*'EDITING Artifact Optimizer'!W173</f>
        <v>80</v>
      </c>
      <c r="AC87" s="7">
        <f>('EDITING Artifact Optimizer'!W173*Q87*$Y$16+$AB$89)/$AB$89</f>
        <v>1</v>
      </c>
      <c r="AD87">
        <f>('EDITING Artifact Optimizer'!X173/(1+'EDITING Artifact Optimizer'!Y173))*Q87^(1+'EDITING Artifact Optimizer'!Y173)</f>
        <v>81298.6759</v>
      </c>
      <c r="AE87" s="93">
        <f t="shared" si="11"/>
        <v>0</v>
      </c>
      <c r="AF87" s="8">
        <f t="shared" si="12"/>
        <v>0.000003139934351</v>
      </c>
      <c r="AV87" s="476">
        <v>1.79E31</v>
      </c>
      <c r="AZ87" t="str">
        <f t="shared" si="24"/>
        <v/>
      </c>
      <c r="BA87" t="s">
        <v>431</v>
      </c>
      <c r="BB87" t="s">
        <v>431</v>
      </c>
      <c r="BC87" t="s">
        <v>431</v>
      </c>
      <c r="BD87" t="s">
        <v>431</v>
      </c>
      <c r="BE87" t="s">
        <v>431</v>
      </c>
      <c r="BF87" t="str">
        <f t="shared" si="47"/>
        <v>The Treasure of Fergus</v>
      </c>
    </row>
    <row r="88" ht="15.75" customHeight="1">
      <c r="A88" s="469"/>
      <c r="B88" s="76"/>
      <c r="C88" s="76"/>
      <c r="D88" s="76"/>
      <c r="E88" s="470"/>
      <c r="F88" s="76"/>
      <c r="G88" s="76"/>
      <c r="H88" s="76"/>
      <c r="I88" s="76"/>
      <c r="J88" s="76"/>
      <c r="K88" s="76"/>
      <c r="L88" s="76"/>
      <c r="M88" s="76"/>
      <c r="N88" s="76"/>
      <c r="O88" s="76"/>
      <c r="P88">
        <f>'EDITING Artifact Optimizer'!Q174</f>
        <v>60</v>
      </c>
      <c r="Q88">
        <f t="shared" si="45"/>
        <v>60</v>
      </c>
      <c r="R88" t="b">
        <f t="shared" si="6"/>
        <v>1</v>
      </c>
      <c r="S88" t="b">
        <f t="shared" si="49"/>
        <v>1</v>
      </c>
      <c r="U88" t="b">
        <f t="shared" si="8"/>
        <v>1</v>
      </c>
      <c r="V88" s="4" t="s">
        <v>332</v>
      </c>
      <c r="W88" s="281" t="str">
        <f>image("https://vignette.wikia.nocookie.net/tap-titans-2/images/3/3b/Ward_of_the_Darkness.png/revision/latest?cb=20171117220020")</f>
        <v/>
      </c>
      <c r="X88" s="70">
        <f t="shared" si="9"/>
        <v>1</v>
      </c>
      <c r="Y88" s="6">
        <f>1+'EDITING Artifact Optimizer'!S174*Q88 ^ (1 + ('EDITING Artifact Optimizer'!Y174-1)*min('EDITING Artifact Optimizer'!U174*Q88,'EDITING Artifact Optimizer'!T174))^'EDITING Artifact Optimizer'!V174</f>
        <v>61</v>
      </c>
      <c r="AA88" s="93">
        <v>20997.290429570225</v>
      </c>
      <c r="AB88">
        <f>Q88*'EDITING Artifact Optimizer'!W174</f>
        <v>120</v>
      </c>
      <c r="AC88" s="7">
        <f>('EDITING Artifact Optimizer'!W174*Q88*$Y$16+$AB$89)/$AB$89</f>
        <v>1</v>
      </c>
      <c r="AD88">
        <f>('EDITING Artifact Optimizer'!X174/(1+'EDITING Artifact Optimizer'!Y174))*Q88^(1+'EDITING Artifact Optimizer'!Y174)</f>
        <v>349954.8405</v>
      </c>
      <c r="AE88" s="93">
        <f t="shared" si="11"/>
        <v>0</v>
      </c>
      <c r="AF88" s="8">
        <f t="shared" si="12"/>
        <v>0.000005101600631</v>
      </c>
      <c r="AV88" s="476">
        <v>2.69E33</v>
      </c>
      <c r="AZ88" t="str">
        <f t="shared" si="24"/>
        <v/>
      </c>
      <c r="BA88" t="s">
        <v>403</v>
      </c>
      <c r="BB88" t="s">
        <v>403</v>
      </c>
      <c r="BC88" t="s">
        <v>403</v>
      </c>
      <c r="BD88" t="s">
        <v>403</v>
      </c>
      <c r="BE88" t="s">
        <v>403</v>
      </c>
      <c r="BF88" t="str">
        <f t="shared" si="47"/>
        <v>The White Dwarf</v>
      </c>
    </row>
    <row r="89" ht="15.75" customHeight="1">
      <c r="A89" s="469"/>
      <c r="B89" s="76"/>
      <c r="C89" s="76"/>
      <c r="D89" s="76"/>
      <c r="E89" s="470"/>
      <c r="F89" s="76"/>
      <c r="G89" s="76"/>
      <c r="H89" s="76"/>
      <c r="I89" s="76"/>
      <c r="J89" s="76"/>
      <c r="K89" s="76"/>
      <c r="L89" s="76"/>
      <c r="M89" s="76"/>
      <c r="N89" s="76"/>
      <c r="O89" s="76"/>
      <c r="P89" s="1" t="s">
        <v>771</v>
      </c>
      <c r="AA89" s="93">
        <f>AD4/(SUM(AD4:AD88)+AX5)</f>
        <v>0.5706410626</v>
      </c>
      <c r="AB89">
        <f>SUM(AB4:AB88)*Y16</f>
        <v>7.82191E+37</v>
      </c>
      <c r="AV89" s="476">
        <v>4.04E34</v>
      </c>
      <c r="AZ89" t="str">
        <f t="shared" si="24"/>
        <v/>
      </c>
      <c r="BA89" t="s">
        <v>610</v>
      </c>
      <c r="BB89" t="s">
        <v>610</v>
      </c>
      <c r="BC89" t="s">
        <v>610</v>
      </c>
      <c r="BD89" t="s">
        <v>610</v>
      </c>
      <c r="BE89" t="s">
        <v>610</v>
      </c>
      <c r="BF89" t="str">
        <f t="shared" si="47"/>
        <v>Aram Spear</v>
      </c>
    </row>
    <row r="90" ht="15.75" customHeight="1">
      <c r="A90" s="469"/>
      <c r="B90" s="76"/>
      <c r="C90" s="76"/>
      <c r="D90" s="76"/>
      <c r="E90" s="470"/>
      <c r="F90" s="76"/>
      <c r="G90" s="76"/>
      <c r="H90" s="76"/>
      <c r="I90" s="76"/>
      <c r="J90" s="76"/>
      <c r="K90" s="76"/>
      <c r="L90" s="76"/>
      <c r="M90" s="76"/>
      <c r="N90" s="76"/>
      <c r="O90" s="76"/>
      <c r="P90" s="1" t="s">
        <v>773</v>
      </c>
      <c r="Q90" s="1">
        <v>0.0</v>
      </c>
      <c r="R90" s="1" t="s">
        <v>774</v>
      </c>
      <c r="S90" s="1">
        <v>0.05</v>
      </c>
      <c r="T90" s="1">
        <v>0.12</v>
      </c>
      <c r="U90" s="9">
        <v>1.0E-4</v>
      </c>
      <c r="V90" s="1">
        <v>0.5</v>
      </c>
      <c r="W90" s="1">
        <v>0.3</v>
      </c>
      <c r="X90" s="1">
        <v>0.7</v>
      </c>
      <c r="Y90" s="1">
        <v>2.5</v>
      </c>
      <c r="Z90" t="s">
        <v>775</v>
      </c>
      <c r="AA90" t="s">
        <v>374</v>
      </c>
      <c r="AB90" t="s">
        <v>776</v>
      </c>
      <c r="AZ90" t="str">
        <f t="shared" si="24"/>
        <v/>
      </c>
      <c r="BA90" t="s">
        <v>422</v>
      </c>
      <c r="BB90" t="s">
        <v>422</v>
      </c>
      <c r="BC90" t="s">
        <v>422</v>
      </c>
      <c r="BD90" t="s">
        <v>422</v>
      </c>
      <c r="BE90" t="s">
        <v>422</v>
      </c>
      <c r="BF90" t="str">
        <f t="shared" si="47"/>
        <v>Ward of the Darkness</v>
      </c>
    </row>
    <row r="91" ht="15.75" customHeight="1">
      <c r="A91" s="469"/>
      <c r="B91" s="76"/>
      <c r="C91" s="76"/>
      <c r="D91" s="76"/>
      <c r="E91" s="470"/>
      <c r="F91" s="76"/>
      <c r="G91" s="76"/>
      <c r="H91" s="76"/>
      <c r="I91" s="76"/>
      <c r="J91" s="76"/>
      <c r="K91" s="76"/>
      <c r="L91" s="76"/>
      <c r="M91" s="76"/>
      <c r="N91" s="76"/>
      <c r="O91" s="76"/>
      <c r="P91" s="1" t="s">
        <v>777</v>
      </c>
      <c r="Q91" s="1">
        <v>0.0</v>
      </c>
      <c r="R91" s="1" t="s">
        <v>778</v>
      </c>
      <c r="S91" s="1">
        <v>0.01</v>
      </c>
      <c r="T91" s="1">
        <v>0.36</v>
      </c>
      <c r="U91" s="9">
        <v>1.8E-4</v>
      </c>
      <c r="V91" s="1">
        <v>0.5</v>
      </c>
      <c r="W91" s="1">
        <v>0.2</v>
      </c>
      <c r="X91" s="1">
        <v>0.6</v>
      </c>
      <c r="Y91" s="1">
        <v>1.8</v>
      </c>
      <c r="Z91" t="s">
        <v>779</v>
      </c>
      <c r="AA91" t="s">
        <v>386</v>
      </c>
      <c r="AB91" s="70">
        <v>10000.0</v>
      </c>
    </row>
    <row r="92" ht="15.75" customHeight="1">
      <c r="A92" s="469"/>
      <c r="B92" s="76"/>
      <c r="C92" s="76"/>
      <c r="D92" s="76"/>
      <c r="E92" s="470"/>
      <c r="F92" s="76"/>
      <c r="G92" s="76"/>
      <c r="H92" s="76"/>
      <c r="I92" s="76"/>
      <c r="J92" s="76"/>
      <c r="K92" s="76"/>
      <c r="L92" s="76"/>
      <c r="M92" s="76"/>
      <c r="N92" s="76"/>
      <c r="O92" s="76"/>
      <c r="P92" s="1" t="s">
        <v>780</v>
      </c>
      <c r="Q92" s="1">
        <v>0.0</v>
      </c>
      <c r="R92" s="1" t="s">
        <v>187</v>
      </c>
      <c r="S92" s="1">
        <v>0.25</v>
      </c>
      <c r="T92" s="1">
        <v>0.4</v>
      </c>
      <c r="U92" s="9">
        <v>2.0E-4</v>
      </c>
      <c r="V92" s="1">
        <v>0.5</v>
      </c>
      <c r="W92" s="1">
        <v>0.4</v>
      </c>
      <c r="X92" s="1">
        <v>1.0</v>
      </c>
      <c r="Y92" s="1">
        <v>1.8</v>
      </c>
      <c r="Z92" t="s">
        <v>781</v>
      </c>
      <c r="AA92" t="s">
        <v>396</v>
      </c>
      <c r="AB92" s="70">
        <v>5555.56</v>
      </c>
    </row>
    <row r="93" ht="15.75" customHeight="1">
      <c r="A93" s="469"/>
      <c r="B93" s="76"/>
      <c r="C93" s="76"/>
      <c r="D93" s="76"/>
      <c r="E93" s="470"/>
      <c r="F93" s="76"/>
      <c r="G93" s="76"/>
      <c r="H93" s="76"/>
      <c r="I93" s="76"/>
      <c r="J93" s="76"/>
      <c r="K93" s="76"/>
      <c r="L93" s="76"/>
      <c r="M93" s="76"/>
      <c r="N93" s="76"/>
      <c r="O93" s="76"/>
      <c r="P93" s="1" t="s">
        <v>782</v>
      </c>
      <c r="Q93" s="1">
        <v>0.0</v>
      </c>
      <c r="R93" s="1" t="s">
        <v>140</v>
      </c>
      <c r="S93" s="1">
        <v>0.2</v>
      </c>
      <c r="T93" s="1">
        <v>0.4</v>
      </c>
      <c r="U93" s="9">
        <v>2.0E-4</v>
      </c>
      <c r="V93" s="1">
        <v>0.5</v>
      </c>
      <c r="W93" s="1">
        <v>0.4</v>
      </c>
      <c r="X93" s="1">
        <v>0.7</v>
      </c>
      <c r="Y93" s="1">
        <v>1.8</v>
      </c>
      <c r="Z93" t="s">
        <v>783</v>
      </c>
      <c r="AA93" t="s">
        <v>401</v>
      </c>
      <c r="AB93" s="70">
        <v>5000.0</v>
      </c>
    </row>
    <row r="94" ht="15.75" customHeight="1">
      <c r="A94" s="469"/>
      <c r="B94" s="76"/>
      <c r="C94" s="76"/>
      <c r="D94" s="76"/>
      <c r="E94" s="470"/>
      <c r="F94" s="76"/>
      <c r="G94" s="76"/>
      <c r="H94" s="76"/>
      <c r="I94" s="76"/>
      <c r="J94" s="76"/>
      <c r="K94" s="76"/>
      <c r="L94" s="76"/>
      <c r="M94" s="76"/>
      <c r="N94" s="76"/>
      <c r="O94" s="76"/>
      <c r="P94" s="1" t="s">
        <v>785</v>
      </c>
      <c r="Q94" s="1">
        <v>0.0</v>
      </c>
      <c r="R94" s="1" t="s">
        <v>326</v>
      </c>
      <c r="S94" s="1">
        <v>0.2</v>
      </c>
      <c r="T94" s="1">
        <v>0.4</v>
      </c>
      <c r="U94" s="9">
        <v>1.5E-4</v>
      </c>
      <c r="V94" s="1">
        <v>0.5</v>
      </c>
      <c r="W94" s="1">
        <v>0.3</v>
      </c>
      <c r="X94" s="1">
        <v>0.7</v>
      </c>
      <c r="Y94" s="1">
        <v>2.2</v>
      </c>
      <c r="Z94" t="s">
        <v>786</v>
      </c>
      <c r="AA94" t="s">
        <v>408</v>
      </c>
      <c r="AB94" s="70">
        <v>5000.0</v>
      </c>
    </row>
    <row r="95" ht="15.75" customHeight="1">
      <c r="A95" s="469"/>
      <c r="B95" s="76"/>
      <c r="C95" s="76"/>
      <c r="D95" s="76"/>
      <c r="E95" s="470"/>
      <c r="F95" s="76"/>
      <c r="G95" s="76"/>
      <c r="H95" s="76"/>
      <c r="I95" s="76"/>
      <c r="J95" s="76"/>
      <c r="K95" s="76"/>
      <c r="L95" s="76"/>
      <c r="M95" s="76"/>
      <c r="N95" s="76"/>
      <c r="O95" s="76"/>
      <c r="P95" s="1" t="s">
        <v>787</v>
      </c>
      <c r="Q95" s="1">
        <v>0.0</v>
      </c>
      <c r="R95" s="1" t="s">
        <v>788</v>
      </c>
      <c r="S95" s="1">
        <v>0.04</v>
      </c>
      <c r="T95" s="1">
        <v>0.4</v>
      </c>
      <c r="U95" s="9">
        <v>2.0E-4</v>
      </c>
      <c r="V95" s="1">
        <v>0.5</v>
      </c>
      <c r="W95" s="1">
        <v>0.3</v>
      </c>
      <c r="X95" s="1">
        <v>0.7</v>
      </c>
      <c r="Y95" s="1">
        <v>1.8</v>
      </c>
      <c r="Z95" t="s">
        <v>789</v>
      </c>
      <c r="AA95" t="s">
        <v>123</v>
      </c>
      <c r="AB95" s="70">
        <v>6666.67</v>
      </c>
    </row>
    <row r="96" ht="15.75" customHeight="1">
      <c r="A96" s="469"/>
      <c r="B96" s="76"/>
      <c r="C96" s="76"/>
      <c r="D96" s="76"/>
      <c r="E96" s="470"/>
      <c r="F96" s="76"/>
      <c r="G96" s="76"/>
      <c r="H96" s="76"/>
      <c r="I96" s="76"/>
      <c r="J96" s="76"/>
      <c r="K96" s="76"/>
      <c r="L96" s="76"/>
      <c r="M96" s="76"/>
      <c r="N96" s="76"/>
      <c r="O96" s="76"/>
      <c r="P96" s="1" t="s">
        <v>790</v>
      </c>
      <c r="Q96" s="1">
        <v>0.0</v>
      </c>
      <c r="R96" s="1" t="s">
        <v>328</v>
      </c>
      <c r="S96" s="1">
        <v>0.6</v>
      </c>
      <c r="T96" s="1">
        <v>0.4</v>
      </c>
      <c r="U96" s="9">
        <v>2.0E-4</v>
      </c>
      <c r="V96" s="1">
        <v>0.5</v>
      </c>
      <c r="W96" s="1">
        <v>0.3</v>
      </c>
      <c r="X96" s="1">
        <v>0.7</v>
      </c>
      <c r="Y96" s="1">
        <v>1.8</v>
      </c>
      <c r="Z96" t="s">
        <v>791</v>
      </c>
      <c r="AA96" t="s">
        <v>419</v>
      </c>
      <c r="AB96" s="70">
        <v>5000.0</v>
      </c>
    </row>
    <row r="97" ht="15.75" customHeight="1">
      <c r="A97" s="469"/>
      <c r="B97" s="76"/>
      <c r="C97" s="76"/>
      <c r="D97" s="76"/>
      <c r="E97" s="470"/>
      <c r="F97" s="76"/>
      <c r="G97" s="76"/>
      <c r="H97" s="76"/>
      <c r="I97" s="76"/>
      <c r="J97" s="76"/>
      <c r="K97" s="76"/>
      <c r="L97" s="76"/>
      <c r="M97" s="76"/>
      <c r="N97" s="76"/>
      <c r="O97" s="76"/>
      <c r="P97" s="1" t="s">
        <v>793</v>
      </c>
      <c r="Q97" s="1">
        <v>0.0</v>
      </c>
      <c r="R97" s="1" t="s">
        <v>243</v>
      </c>
      <c r="S97" s="1">
        <v>0.3</v>
      </c>
      <c r="T97" s="1">
        <v>0.4</v>
      </c>
      <c r="U97" s="9">
        <v>1.8E-4</v>
      </c>
      <c r="V97" s="1">
        <v>0.5</v>
      </c>
      <c r="W97" s="1">
        <v>0.4</v>
      </c>
      <c r="X97" s="1">
        <v>1.0</v>
      </c>
      <c r="Y97" s="1">
        <v>1.8</v>
      </c>
      <c r="Z97" t="s">
        <v>794</v>
      </c>
      <c r="AA97" t="s">
        <v>421</v>
      </c>
      <c r="AB97" s="70">
        <v>5000.0</v>
      </c>
    </row>
    <row r="98" ht="15.75" customHeight="1">
      <c r="A98" s="469"/>
      <c r="B98" s="76"/>
      <c r="C98" s="76"/>
      <c r="D98" s="76"/>
      <c r="E98" s="470"/>
      <c r="F98" s="76"/>
      <c r="G98" s="76"/>
      <c r="H98" s="76"/>
      <c r="I98" s="76"/>
      <c r="J98" s="76"/>
      <c r="K98" s="76"/>
      <c r="L98" s="76"/>
      <c r="M98" s="76"/>
      <c r="N98" s="76"/>
      <c r="O98" s="76"/>
      <c r="P98" s="1" t="s">
        <v>795</v>
      </c>
      <c r="Q98" s="1">
        <v>0.0</v>
      </c>
      <c r="R98" s="1" t="s">
        <v>796</v>
      </c>
      <c r="S98" s="1">
        <v>0.3</v>
      </c>
      <c r="T98" s="1">
        <v>0.4</v>
      </c>
      <c r="U98" s="9">
        <v>2.0E-4</v>
      </c>
      <c r="V98" s="1">
        <v>0.5</v>
      </c>
      <c r="W98" s="1">
        <v>0.5</v>
      </c>
      <c r="X98" s="1">
        <v>0.7</v>
      </c>
      <c r="Y98" s="1">
        <v>1.8</v>
      </c>
      <c r="Z98" t="s">
        <v>797</v>
      </c>
      <c r="AA98" t="s">
        <v>426</v>
      </c>
      <c r="AB98" s="70">
        <v>5555.56</v>
      </c>
    </row>
    <row r="99" ht="15.75" customHeight="1">
      <c r="A99" s="469"/>
      <c r="B99" s="76"/>
      <c r="C99" s="76"/>
      <c r="D99" s="76"/>
      <c r="E99" s="470"/>
      <c r="F99" s="76"/>
      <c r="G99" s="76"/>
      <c r="H99" s="76"/>
      <c r="I99" s="76"/>
      <c r="J99" s="76"/>
      <c r="K99" s="76"/>
      <c r="L99" s="76"/>
      <c r="M99" s="76"/>
      <c r="N99" s="76"/>
      <c r="O99" s="76"/>
      <c r="P99" s="1" t="s">
        <v>798</v>
      </c>
      <c r="Q99" s="1">
        <v>0.0</v>
      </c>
      <c r="R99" s="1" t="s">
        <v>799</v>
      </c>
      <c r="S99" s="1">
        <v>0.2</v>
      </c>
      <c r="T99" s="1">
        <v>0.4</v>
      </c>
      <c r="U99" s="9">
        <v>2.0E-4</v>
      </c>
      <c r="V99" s="1">
        <v>0.5</v>
      </c>
      <c r="W99" s="1">
        <v>0.3</v>
      </c>
      <c r="X99" s="1">
        <v>0.7</v>
      </c>
      <c r="Y99" s="1">
        <v>1.8</v>
      </c>
      <c r="Z99" t="s">
        <v>801</v>
      </c>
      <c r="AA99" t="s">
        <v>437</v>
      </c>
      <c r="AB99" s="70">
        <v>5000.0</v>
      </c>
    </row>
    <row r="100" ht="15.75" customHeight="1">
      <c r="A100" s="469"/>
      <c r="B100" s="76"/>
      <c r="C100" s="76"/>
      <c r="D100" s="76"/>
      <c r="E100" s="470"/>
      <c r="F100" s="76"/>
      <c r="G100" s="76"/>
      <c r="H100" s="76"/>
      <c r="I100" s="76"/>
      <c r="J100" s="76"/>
      <c r="K100" s="76"/>
      <c r="L100" s="76"/>
      <c r="M100" s="76"/>
      <c r="N100" s="76"/>
      <c r="O100" s="76"/>
      <c r="P100" s="1" t="s">
        <v>802</v>
      </c>
      <c r="Q100" s="1">
        <v>0.0</v>
      </c>
      <c r="R100" s="1" t="s">
        <v>803</v>
      </c>
      <c r="S100" s="1">
        <v>0.04</v>
      </c>
      <c r="T100" s="1">
        <v>0.32</v>
      </c>
      <c r="U100" s="9">
        <v>1.5E-4</v>
      </c>
      <c r="V100" s="1">
        <v>0.5</v>
      </c>
      <c r="W100" s="1">
        <v>0.3</v>
      </c>
      <c r="X100" s="1">
        <v>0.7</v>
      </c>
      <c r="Y100" s="1">
        <v>1.8</v>
      </c>
      <c r="Z100" t="s">
        <v>804</v>
      </c>
      <c r="AA100" t="s">
        <v>442</v>
      </c>
      <c r="AB100" s="70">
        <v>4000.0</v>
      </c>
    </row>
    <row r="101" ht="15.75" customHeight="1">
      <c r="A101" s="469"/>
      <c r="B101" s="76"/>
      <c r="C101" s="76"/>
      <c r="D101" s="76"/>
      <c r="E101" s="470"/>
      <c r="F101" s="76"/>
      <c r="G101" s="76"/>
      <c r="H101" s="76"/>
      <c r="I101" s="76"/>
      <c r="J101" s="76"/>
      <c r="K101" s="76"/>
      <c r="L101" s="76"/>
      <c r="M101" s="76"/>
      <c r="N101" s="76"/>
      <c r="O101" s="76"/>
      <c r="P101" s="1" t="s">
        <v>805</v>
      </c>
      <c r="Q101" s="1">
        <v>0.0</v>
      </c>
      <c r="R101" s="1" t="s">
        <v>806</v>
      </c>
      <c r="S101" s="1">
        <v>0.01</v>
      </c>
      <c r="T101" s="1">
        <v>0.24</v>
      </c>
      <c r="U101" s="9">
        <v>1.0E-4</v>
      </c>
      <c r="V101" s="1">
        <v>0.5</v>
      </c>
      <c r="W101" s="1">
        <v>0.2</v>
      </c>
      <c r="X101" s="1">
        <v>0.6</v>
      </c>
      <c r="Y101" s="1">
        <v>2.2</v>
      </c>
      <c r="Z101" t="s">
        <v>807</v>
      </c>
      <c r="AA101" t="s">
        <v>447</v>
      </c>
      <c r="AB101" s="70">
        <v>6666.67</v>
      </c>
    </row>
    <row r="102" ht="15.75" customHeight="1">
      <c r="A102" s="469"/>
      <c r="B102" s="76"/>
      <c r="C102" s="76"/>
      <c r="D102" s="76"/>
      <c r="E102" s="470"/>
      <c r="F102" s="76"/>
      <c r="G102" s="76"/>
      <c r="H102" s="76"/>
      <c r="I102" s="76"/>
      <c r="J102" s="76"/>
      <c r="K102" s="76"/>
      <c r="L102" s="76"/>
      <c r="M102" s="76"/>
      <c r="N102" s="76"/>
      <c r="O102" s="76"/>
      <c r="P102" s="1" t="s">
        <v>808</v>
      </c>
      <c r="Q102" s="1">
        <v>0.0</v>
      </c>
      <c r="R102" s="1" t="s">
        <v>809</v>
      </c>
      <c r="S102" s="1">
        <v>0.05</v>
      </c>
      <c r="T102" s="1">
        <v>0.4</v>
      </c>
      <c r="U102" s="9">
        <v>2.5E-4</v>
      </c>
      <c r="V102" s="1">
        <v>0.5</v>
      </c>
      <c r="W102" s="1">
        <v>1.0</v>
      </c>
      <c r="X102" s="1">
        <v>0.7</v>
      </c>
      <c r="Y102" s="1">
        <v>2.2</v>
      </c>
      <c r="Z102" t="s">
        <v>810</v>
      </c>
      <c r="AA102" t="s">
        <v>455</v>
      </c>
      <c r="AB102" s="70">
        <v>5000.0</v>
      </c>
    </row>
    <row r="103" ht="15.75" customHeight="1">
      <c r="A103" s="469"/>
      <c r="B103" s="76"/>
      <c r="C103" s="76"/>
      <c r="D103" s="76"/>
      <c r="E103" s="470"/>
      <c r="F103" s="76"/>
      <c r="G103" s="76"/>
      <c r="H103" s="76"/>
      <c r="I103" s="76"/>
      <c r="J103" s="76"/>
      <c r="K103" s="76"/>
      <c r="L103" s="76"/>
      <c r="M103" s="76"/>
      <c r="N103" s="76"/>
      <c r="O103" s="76"/>
      <c r="P103" s="1" t="s">
        <v>811</v>
      </c>
      <c r="Q103" s="1">
        <v>0.0</v>
      </c>
      <c r="R103" s="1" t="s">
        <v>812</v>
      </c>
      <c r="S103" s="1">
        <v>0.1</v>
      </c>
      <c r="T103" s="1">
        <v>0.32</v>
      </c>
      <c r="U103" s="9">
        <v>1.5E-4</v>
      </c>
      <c r="V103" s="1">
        <v>0.5</v>
      </c>
      <c r="W103" s="1">
        <v>1.0</v>
      </c>
      <c r="X103" s="1">
        <v>1.0</v>
      </c>
      <c r="Y103" s="1">
        <v>2.0</v>
      </c>
      <c r="Z103" t="s">
        <v>813</v>
      </c>
      <c r="AA103" t="s">
        <v>461</v>
      </c>
      <c r="AB103" s="70">
        <v>7142.86</v>
      </c>
    </row>
    <row r="104" ht="15.75" customHeight="1">
      <c r="A104" s="469"/>
      <c r="B104" s="76"/>
      <c r="C104" s="76"/>
      <c r="D104" s="76"/>
      <c r="E104" s="470"/>
      <c r="F104" s="76"/>
      <c r="G104" s="76"/>
      <c r="H104" s="76"/>
      <c r="I104" s="76"/>
      <c r="J104" s="76"/>
      <c r="K104" s="76"/>
      <c r="L104" s="76"/>
      <c r="M104" s="76"/>
      <c r="N104" s="76"/>
      <c r="O104" s="76"/>
      <c r="P104" s="1" t="s">
        <v>815</v>
      </c>
      <c r="Q104" s="1">
        <v>0.0</v>
      </c>
      <c r="R104" s="1" t="s">
        <v>124</v>
      </c>
      <c r="S104" s="1">
        <v>0.1</v>
      </c>
      <c r="T104" s="1">
        <v>0.4</v>
      </c>
      <c r="U104" s="9">
        <v>2.0E-4</v>
      </c>
      <c r="V104" s="1">
        <v>0.5</v>
      </c>
      <c r="W104" s="1">
        <v>0.3</v>
      </c>
      <c r="X104" s="1">
        <v>0.6</v>
      </c>
      <c r="Y104" s="1">
        <v>1.7</v>
      </c>
      <c r="Z104" t="s">
        <v>816</v>
      </c>
      <c r="AA104" t="s">
        <v>470</v>
      </c>
      <c r="AB104" s="70">
        <v>5000.0</v>
      </c>
    </row>
    <row r="105" ht="15.75" customHeight="1">
      <c r="A105" s="469"/>
      <c r="B105" s="76"/>
      <c r="C105" s="76"/>
      <c r="D105" s="76"/>
      <c r="E105" s="470"/>
      <c r="F105" s="76"/>
      <c r="G105" s="76"/>
      <c r="H105" s="76"/>
      <c r="I105" s="76"/>
      <c r="J105" s="76"/>
      <c r="K105" s="76"/>
      <c r="L105" s="76"/>
      <c r="M105" s="76"/>
      <c r="N105" s="76"/>
      <c r="O105" s="76"/>
      <c r="P105" s="1" t="s">
        <v>817</v>
      </c>
      <c r="Q105" s="1">
        <v>0.0</v>
      </c>
      <c r="R105" s="1" t="s">
        <v>818</v>
      </c>
      <c r="S105" s="1">
        <v>0.1</v>
      </c>
      <c r="T105" s="1">
        <v>0.32</v>
      </c>
      <c r="U105" s="9">
        <v>1.4E-4</v>
      </c>
      <c r="V105" s="1">
        <v>0.5</v>
      </c>
      <c r="W105" s="1">
        <v>0.5</v>
      </c>
      <c r="X105" s="1">
        <v>0.7</v>
      </c>
      <c r="Y105" s="1">
        <v>2.0</v>
      </c>
      <c r="Z105" t="s">
        <v>819</v>
      </c>
      <c r="AA105" t="s">
        <v>475</v>
      </c>
      <c r="AB105" s="70">
        <v>5000.0</v>
      </c>
    </row>
    <row r="106" ht="15.75" customHeight="1">
      <c r="A106" s="469"/>
      <c r="B106" s="76"/>
      <c r="C106" s="76"/>
      <c r="D106" s="76"/>
      <c r="E106" s="470"/>
      <c r="F106" s="76"/>
      <c r="G106" s="76"/>
      <c r="H106" s="76"/>
      <c r="I106" s="76"/>
      <c r="J106" s="76"/>
      <c r="K106" s="76"/>
      <c r="L106" s="76"/>
      <c r="M106" s="76"/>
      <c r="N106" s="76"/>
      <c r="O106" s="76"/>
      <c r="P106" s="1" t="s">
        <v>821</v>
      </c>
      <c r="Q106" s="1">
        <v>0.0</v>
      </c>
      <c r="R106" s="1" t="s">
        <v>822</v>
      </c>
      <c r="S106" s="1">
        <v>0.1</v>
      </c>
      <c r="T106" s="1">
        <v>0.4</v>
      </c>
      <c r="U106" s="9">
        <v>2.0E-4</v>
      </c>
      <c r="V106" s="1">
        <v>0.5</v>
      </c>
      <c r="W106" s="1">
        <v>0.2</v>
      </c>
      <c r="X106" s="1">
        <v>0.6</v>
      </c>
      <c r="Y106" s="1">
        <v>1.7</v>
      </c>
      <c r="Z106" t="s">
        <v>823</v>
      </c>
      <c r="AA106" t="s">
        <v>502</v>
      </c>
      <c r="AB106" s="70">
        <v>5000.0</v>
      </c>
    </row>
    <row r="107" ht="15.75" customHeight="1">
      <c r="A107" s="469"/>
      <c r="B107" s="76"/>
      <c r="C107" s="76"/>
      <c r="D107" s="76"/>
      <c r="E107" s="470"/>
      <c r="F107" s="76"/>
      <c r="G107" s="76"/>
      <c r="H107" s="76"/>
      <c r="I107" s="76"/>
      <c r="J107" s="76"/>
      <c r="K107" s="76"/>
      <c r="L107" s="76"/>
      <c r="M107" s="76"/>
      <c r="N107" s="76"/>
      <c r="O107" s="76"/>
      <c r="P107" s="1" t="s">
        <v>824</v>
      </c>
      <c r="Q107" s="1">
        <v>0.0</v>
      </c>
      <c r="R107" s="1" t="s">
        <v>825</v>
      </c>
      <c r="S107" s="1">
        <v>0.04</v>
      </c>
      <c r="T107" s="1">
        <v>0.32</v>
      </c>
      <c r="U107" s="9">
        <v>1.5E-4</v>
      </c>
      <c r="V107" s="1">
        <v>0.5</v>
      </c>
      <c r="W107" s="1">
        <v>1.0</v>
      </c>
      <c r="X107" s="1">
        <v>1.0</v>
      </c>
      <c r="Y107" s="1">
        <v>2.0</v>
      </c>
      <c r="Z107" t="s">
        <v>827</v>
      </c>
      <c r="AA107" t="s">
        <v>514</v>
      </c>
      <c r="AB107" s="70">
        <v>5000.0</v>
      </c>
    </row>
    <row r="108" ht="15.75" customHeight="1">
      <c r="A108" s="469"/>
      <c r="B108" s="76"/>
      <c r="C108" s="76"/>
      <c r="D108" s="76"/>
      <c r="E108" s="470"/>
      <c r="F108" s="76"/>
      <c r="G108" s="76"/>
      <c r="H108" s="76"/>
      <c r="I108" s="76"/>
      <c r="J108" s="76"/>
      <c r="K108" s="76"/>
      <c r="L108" s="76"/>
      <c r="M108" s="76"/>
      <c r="N108" s="76"/>
      <c r="O108" s="76"/>
      <c r="P108" s="1" t="s">
        <v>828</v>
      </c>
      <c r="Q108" s="1">
        <v>0.0</v>
      </c>
      <c r="R108" s="1" t="s">
        <v>183</v>
      </c>
      <c r="S108" s="1">
        <v>0.15</v>
      </c>
      <c r="T108" s="1">
        <v>0.4</v>
      </c>
      <c r="U108" s="9">
        <v>2.0E-4</v>
      </c>
      <c r="V108" s="1">
        <v>0.5</v>
      </c>
      <c r="W108" s="1">
        <v>0.5</v>
      </c>
      <c r="X108" s="1">
        <v>0.7</v>
      </c>
      <c r="Y108" s="1">
        <v>1.7</v>
      </c>
      <c r="Z108" t="s">
        <v>829</v>
      </c>
      <c r="AA108" t="s">
        <v>555</v>
      </c>
      <c r="AB108" s="70">
        <v>5000.0</v>
      </c>
    </row>
    <row r="109" ht="15.75" customHeight="1">
      <c r="A109" s="469"/>
      <c r="B109" s="76"/>
      <c r="C109" s="76"/>
      <c r="D109" s="76"/>
      <c r="E109" s="470"/>
      <c r="F109" s="76"/>
      <c r="G109" s="76"/>
      <c r="H109" s="76"/>
      <c r="I109" s="76"/>
      <c r="J109" s="76"/>
      <c r="K109" s="76"/>
      <c r="L109" s="76"/>
      <c r="M109" s="76"/>
      <c r="N109" s="76"/>
      <c r="O109" s="76"/>
      <c r="P109" s="1" t="s">
        <v>830</v>
      </c>
      <c r="Q109" s="1">
        <v>0.0</v>
      </c>
      <c r="R109" s="1" t="s">
        <v>831</v>
      </c>
      <c r="S109" s="1">
        <v>0.2</v>
      </c>
      <c r="T109" s="1">
        <v>0.4</v>
      </c>
      <c r="U109" s="9">
        <v>2.0E-4</v>
      </c>
      <c r="V109" s="1">
        <v>0.5</v>
      </c>
      <c r="W109" s="1">
        <v>0.3</v>
      </c>
      <c r="X109" s="1">
        <v>0.7</v>
      </c>
      <c r="Y109" s="1">
        <v>1.7</v>
      </c>
      <c r="Z109" t="s">
        <v>832</v>
      </c>
      <c r="AA109" t="s">
        <v>564</v>
      </c>
      <c r="AB109" s="70">
        <v>5000.0</v>
      </c>
    </row>
    <row r="110" ht="15.75" customHeight="1">
      <c r="A110" s="469"/>
      <c r="B110" s="76"/>
      <c r="C110" s="76"/>
      <c r="D110" s="76"/>
      <c r="E110" s="470"/>
      <c r="F110" s="76"/>
      <c r="G110" s="76"/>
      <c r="H110" s="76"/>
      <c r="I110" s="76"/>
      <c r="J110" s="76"/>
      <c r="K110" s="76"/>
      <c r="L110" s="76"/>
      <c r="M110" s="76"/>
      <c r="N110" s="76"/>
      <c r="O110" s="76"/>
      <c r="P110" s="1" t="s">
        <v>834</v>
      </c>
      <c r="Q110" s="1">
        <v>0.0</v>
      </c>
      <c r="R110" s="1" t="s">
        <v>835</v>
      </c>
      <c r="S110" s="1">
        <v>0.2</v>
      </c>
      <c r="T110" s="1">
        <v>0.4</v>
      </c>
      <c r="U110" s="9">
        <v>2.0E-4</v>
      </c>
      <c r="V110" s="1">
        <v>0.5</v>
      </c>
      <c r="W110" s="1">
        <v>0.3</v>
      </c>
      <c r="X110" s="1">
        <v>0.7</v>
      </c>
      <c r="Y110" s="1">
        <v>1.7</v>
      </c>
      <c r="Z110" t="s">
        <v>836</v>
      </c>
      <c r="AA110" t="s">
        <v>571</v>
      </c>
      <c r="AB110" s="70">
        <v>5000.0</v>
      </c>
    </row>
    <row r="111" ht="15.75" customHeight="1">
      <c r="A111" s="469"/>
      <c r="B111" s="76"/>
      <c r="C111" s="76"/>
      <c r="D111" s="76"/>
      <c r="E111" s="470"/>
      <c r="F111" s="76"/>
      <c r="G111" s="76"/>
      <c r="H111" s="76"/>
      <c r="I111" s="76"/>
      <c r="J111" s="76"/>
      <c r="K111" s="76"/>
      <c r="L111" s="76"/>
      <c r="M111" s="76"/>
      <c r="N111" s="76"/>
      <c r="O111" s="76"/>
      <c r="P111" s="1" t="s">
        <v>837</v>
      </c>
      <c r="Q111" s="1">
        <v>0.0</v>
      </c>
      <c r="R111" s="1" t="s">
        <v>838</v>
      </c>
      <c r="S111" s="1">
        <v>0.2</v>
      </c>
      <c r="T111" s="1">
        <v>0.4</v>
      </c>
      <c r="U111" s="9">
        <v>2.0E-4</v>
      </c>
      <c r="V111" s="1">
        <v>0.5</v>
      </c>
      <c r="W111" s="1">
        <v>0.3</v>
      </c>
      <c r="X111" s="1">
        <v>0.7</v>
      </c>
      <c r="Y111" s="1">
        <v>1.7</v>
      </c>
      <c r="Z111" t="s">
        <v>839</v>
      </c>
      <c r="AA111" t="s">
        <v>573</v>
      </c>
      <c r="AB111" s="70">
        <v>6666.67</v>
      </c>
    </row>
    <row r="112" ht="15.75" customHeight="1">
      <c r="A112" s="469"/>
      <c r="B112" s="76"/>
      <c r="C112" s="76"/>
      <c r="D112" s="76"/>
      <c r="E112" s="470"/>
      <c r="F112" s="76"/>
      <c r="G112" s="76"/>
      <c r="H112" s="76"/>
      <c r="I112" s="76"/>
      <c r="J112" s="76"/>
      <c r="K112" s="76"/>
      <c r="L112" s="76"/>
      <c r="M112" s="76"/>
      <c r="N112" s="76"/>
      <c r="O112" s="76"/>
      <c r="P112" s="1" t="s">
        <v>840</v>
      </c>
      <c r="Q112" s="1">
        <v>0.0</v>
      </c>
      <c r="R112" s="1" t="s">
        <v>841</v>
      </c>
      <c r="S112" s="1">
        <v>0.2</v>
      </c>
      <c r="T112" s="1">
        <v>0.4</v>
      </c>
      <c r="U112" s="9">
        <v>2.0E-4</v>
      </c>
      <c r="V112" s="1">
        <v>0.5</v>
      </c>
      <c r="W112" s="1">
        <v>0.3</v>
      </c>
      <c r="X112" s="1">
        <v>0.7</v>
      </c>
      <c r="Y112" s="1">
        <v>1.7</v>
      </c>
      <c r="Z112" t="s">
        <v>843</v>
      </c>
      <c r="AA112" t="s">
        <v>577</v>
      </c>
      <c r="AB112" s="70">
        <v>6666.67</v>
      </c>
    </row>
    <row r="113" ht="15.75" customHeight="1">
      <c r="A113" s="469"/>
      <c r="B113" s="76"/>
      <c r="C113" s="76"/>
      <c r="D113" s="76"/>
      <c r="E113" s="470"/>
      <c r="F113" s="76"/>
      <c r="G113" s="76"/>
      <c r="H113" s="76"/>
      <c r="I113" s="76"/>
      <c r="J113" s="76"/>
      <c r="K113" s="76"/>
      <c r="L113" s="76"/>
      <c r="M113" s="76"/>
      <c r="N113" s="76"/>
      <c r="O113" s="76"/>
      <c r="P113" s="1" t="s">
        <v>844</v>
      </c>
      <c r="Q113" s="1">
        <v>0.0</v>
      </c>
      <c r="R113" s="1" t="s">
        <v>845</v>
      </c>
      <c r="S113" s="1">
        <v>0.2</v>
      </c>
      <c r="T113" s="1">
        <v>0.4</v>
      </c>
      <c r="U113" s="9">
        <v>2.0E-4</v>
      </c>
      <c r="V113" s="1">
        <v>0.5</v>
      </c>
      <c r="W113" s="1">
        <v>0.3</v>
      </c>
      <c r="X113" s="1">
        <v>0.7</v>
      </c>
      <c r="Y113" s="1">
        <v>1.7</v>
      </c>
      <c r="Z113" t="s">
        <v>846</v>
      </c>
      <c r="AA113" t="s">
        <v>580</v>
      </c>
      <c r="AB113" s="70">
        <v>6666.67</v>
      </c>
    </row>
    <row r="114" ht="15.75" customHeight="1">
      <c r="A114" s="469"/>
      <c r="B114" s="76"/>
      <c r="C114" s="76"/>
      <c r="D114" s="76"/>
      <c r="E114" s="470"/>
      <c r="F114" s="76"/>
      <c r="G114" s="76"/>
      <c r="H114" s="76"/>
      <c r="I114" s="76"/>
      <c r="J114" s="76"/>
      <c r="K114" s="76"/>
      <c r="L114" s="76"/>
      <c r="M114" s="76"/>
      <c r="N114" s="76"/>
      <c r="O114" s="76"/>
      <c r="P114" s="1" t="s">
        <v>847</v>
      </c>
      <c r="Q114" s="1">
        <v>0.0</v>
      </c>
      <c r="R114" s="1" t="s">
        <v>135</v>
      </c>
      <c r="S114" s="1">
        <v>0.1</v>
      </c>
      <c r="T114" s="1">
        <v>0.4</v>
      </c>
      <c r="U114" s="9">
        <v>1.5E-4</v>
      </c>
      <c r="V114" s="1">
        <v>0.5</v>
      </c>
      <c r="W114" s="1">
        <v>0.5</v>
      </c>
      <c r="X114" s="1">
        <v>0.7</v>
      </c>
      <c r="Y114" s="1">
        <v>2.0</v>
      </c>
      <c r="Z114" t="s">
        <v>848</v>
      </c>
      <c r="AA114" t="s">
        <v>584</v>
      </c>
      <c r="AB114" s="70">
        <v>6666.67</v>
      </c>
    </row>
    <row r="115" ht="15.75" customHeight="1">
      <c r="A115" s="469"/>
      <c r="B115" s="76"/>
      <c r="C115" s="76"/>
      <c r="D115" s="76"/>
      <c r="E115" s="470"/>
      <c r="F115" s="76"/>
      <c r="G115" s="76"/>
      <c r="H115" s="76"/>
      <c r="I115" s="76"/>
      <c r="J115" s="76"/>
      <c r="K115" s="76"/>
      <c r="L115" s="76"/>
      <c r="M115" s="76"/>
      <c r="N115" s="76"/>
      <c r="O115" s="76"/>
      <c r="P115" s="1" t="s">
        <v>850</v>
      </c>
      <c r="Q115" s="1">
        <v>0.0</v>
      </c>
      <c r="R115" s="1" t="s">
        <v>199</v>
      </c>
      <c r="S115" s="1">
        <v>0.1</v>
      </c>
      <c r="T115" s="1">
        <v>0.4</v>
      </c>
      <c r="U115" s="9">
        <v>1.5E-4</v>
      </c>
      <c r="V115" s="1">
        <v>0.5</v>
      </c>
      <c r="W115" s="1">
        <v>0.5</v>
      </c>
      <c r="X115" s="1">
        <v>0.7</v>
      </c>
      <c r="Y115" s="1">
        <v>1.7</v>
      </c>
      <c r="Z115" t="s">
        <v>851</v>
      </c>
      <c r="AA115" t="s">
        <v>123</v>
      </c>
      <c r="AB115" s="70">
        <v>6666.67</v>
      </c>
    </row>
    <row r="116" ht="15.75" customHeight="1">
      <c r="A116" s="469"/>
      <c r="B116" s="76"/>
      <c r="C116" s="76"/>
      <c r="D116" s="76"/>
      <c r="E116" s="470"/>
      <c r="F116" s="76"/>
      <c r="G116" s="76"/>
      <c r="H116" s="76"/>
      <c r="I116" s="76"/>
      <c r="J116" s="76"/>
      <c r="K116" s="76"/>
      <c r="L116" s="76"/>
      <c r="M116" s="76"/>
      <c r="N116" s="76"/>
      <c r="O116" s="76"/>
      <c r="P116" s="1" t="s">
        <v>853</v>
      </c>
      <c r="Q116" s="1">
        <v>0.0</v>
      </c>
      <c r="R116" s="1" t="s">
        <v>854</v>
      </c>
      <c r="S116" s="1">
        <v>0.1</v>
      </c>
      <c r="T116" s="1">
        <v>0.4</v>
      </c>
      <c r="U116" s="9">
        <v>1.5E-4</v>
      </c>
      <c r="V116" s="1">
        <v>0.5</v>
      </c>
      <c r="W116" s="1">
        <v>0.5</v>
      </c>
      <c r="X116" s="1">
        <v>0.7</v>
      </c>
      <c r="Y116" s="1">
        <v>1.8</v>
      </c>
      <c r="Z116" t="s">
        <v>856</v>
      </c>
      <c r="AA116" t="s">
        <v>594</v>
      </c>
      <c r="AB116" s="70">
        <v>5000.0</v>
      </c>
    </row>
    <row r="117" ht="15.75" customHeight="1">
      <c r="A117" s="469"/>
      <c r="B117" s="76"/>
      <c r="C117" s="76"/>
      <c r="D117" s="76"/>
      <c r="E117" s="470"/>
      <c r="F117" s="76"/>
      <c r="G117" s="76"/>
      <c r="H117" s="76"/>
      <c r="I117" s="76"/>
      <c r="J117" s="76"/>
      <c r="K117" s="76"/>
      <c r="L117" s="76"/>
      <c r="M117" s="76"/>
      <c r="N117" s="76"/>
      <c r="O117" s="76"/>
      <c r="P117" s="1" t="s">
        <v>858</v>
      </c>
      <c r="Q117" s="1">
        <v>0.0</v>
      </c>
      <c r="R117" s="1" t="s">
        <v>859</v>
      </c>
      <c r="S117" s="1">
        <v>0.005</v>
      </c>
      <c r="T117" s="1">
        <v>0.32</v>
      </c>
      <c r="U117" s="9">
        <v>1.5E-4</v>
      </c>
      <c r="V117" s="1">
        <v>0.5</v>
      </c>
      <c r="W117" s="1">
        <v>0.5</v>
      </c>
      <c r="X117" s="1">
        <v>0.7</v>
      </c>
      <c r="Y117" s="1">
        <v>2.2</v>
      </c>
      <c r="Z117" t="s">
        <v>860</v>
      </c>
      <c r="AA117" t="s">
        <v>599</v>
      </c>
      <c r="AB117" s="70">
        <v>5000.0</v>
      </c>
    </row>
    <row r="118" ht="15.75" customHeight="1">
      <c r="A118" s="469"/>
      <c r="B118" s="76"/>
      <c r="C118" s="76"/>
      <c r="D118" s="76"/>
      <c r="E118" s="470"/>
      <c r="F118" s="76"/>
      <c r="G118" s="76"/>
      <c r="H118" s="76"/>
      <c r="I118" s="76"/>
      <c r="J118" s="76"/>
      <c r="K118" s="76"/>
      <c r="L118" s="76"/>
      <c r="M118" s="76"/>
      <c r="N118" s="76"/>
      <c r="O118" s="76"/>
      <c r="P118" s="1" t="s">
        <v>862</v>
      </c>
      <c r="Q118" s="1">
        <v>0.0</v>
      </c>
      <c r="R118" s="1" t="s">
        <v>863</v>
      </c>
      <c r="S118" s="1">
        <v>0.02</v>
      </c>
      <c r="T118" s="1">
        <v>0.32</v>
      </c>
      <c r="U118" s="9">
        <v>1.5E-4</v>
      </c>
      <c r="V118" s="1">
        <v>0.5</v>
      </c>
      <c r="W118" s="1">
        <v>0.5</v>
      </c>
      <c r="X118" s="1">
        <v>0.7</v>
      </c>
      <c r="Y118" s="1">
        <v>2.2</v>
      </c>
      <c r="Z118" t="s">
        <v>864</v>
      </c>
      <c r="AA118" t="s">
        <v>604</v>
      </c>
      <c r="AB118" s="70">
        <v>5000.0</v>
      </c>
    </row>
    <row r="119" ht="15.75" customHeight="1">
      <c r="A119" s="469"/>
      <c r="B119" s="76"/>
      <c r="C119" s="76"/>
      <c r="D119" s="76"/>
      <c r="E119" s="470"/>
      <c r="F119" s="76"/>
      <c r="G119" s="76"/>
      <c r="H119" s="76"/>
      <c r="I119" s="76"/>
      <c r="J119" s="76"/>
      <c r="K119" s="76"/>
      <c r="L119" s="76"/>
      <c r="M119" s="76"/>
      <c r="N119" s="76"/>
      <c r="O119" s="76"/>
      <c r="P119" s="1" t="s">
        <v>866</v>
      </c>
      <c r="Q119" s="1">
        <v>0.0</v>
      </c>
      <c r="R119" s="1" t="s">
        <v>867</v>
      </c>
      <c r="S119" s="1">
        <v>0.03</v>
      </c>
      <c r="T119" s="1">
        <v>0.4</v>
      </c>
      <c r="U119" s="9">
        <v>2.0E-4</v>
      </c>
      <c r="V119" s="1">
        <v>0.5</v>
      </c>
      <c r="W119" s="1">
        <v>0.3</v>
      </c>
      <c r="X119" s="1">
        <v>0.6</v>
      </c>
      <c r="Y119" s="1">
        <v>1.7</v>
      </c>
      <c r="Z119" t="s">
        <v>868</v>
      </c>
      <c r="AA119" t="s">
        <v>609</v>
      </c>
      <c r="AB119" s="70">
        <v>6666.67</v>
      </c>
    </row>
    <row r="120" ht="15.75" customHeight="1">
      <c r="A120" s="469"/>
      <c r="B120" s="76"/>
      <c r="C120" s="76"/>
      <c r="D120" s="76"/>
      <c r="E120" s="470"/>
      <c r="F120" s="76"/>
      <c r="G120" s="76"/>
      <c r="H120" s="76"/>
      <c r="I120" s="76"/>
      <c r="J120" s="76"/>
      <c r="K120" s="76"/>
      <c r="L120" s="76"/>
      <c r="M120" s="76"/>
      <c r="N120" s="76"/>
      <c r="O120" s="76"/>
      <c r="P120" s="1" t="s">
        <v>870</v>
      </c>
      <c r="Q120" s="1">
        <v>0.0</v>
      </c>
      <c r="R120" s="1" t="s">
        <v>339</v>
      </c>
      <c r="S120" s="1">
        <v>0.5</v>
      </c>
      <c r="T120" s="1">
        <v>0.4</v>
      </c>
      <c r="U120" s="9">
        <v>2.0E-4</v>
      </c>
      <c r="V120" s="1">
        <v>0.5</v>
      </c>
      <c r="W120" s="1">
        <v>0.3</v>
      </c>
      <c r="X120" s="1">
        <v>0.6</v>
      </c>
      <c r="Y120" s="1">
        <v>1.7</v>
      </c>
      <c r="Z120" t="s">
        <v>872</v>
      </c>
      <c r="AA120" t="s">
        <v>123</v>
      </c>
      <c r="AB120" s="70">
        <v>6666.67</v>
      </c>
    </row>
    <row r="121" ht="15.75" customHeight="1">
      <c r="A121" s="469"/>
      <c r="B121" s="76"/>
      <c r="C121" s="76"/>
      <c r="D121" s="76"/>
      <c r="E121" s="470"/>
      <c r="F121" s="76"/>
      <c r="G121" s="76"/>
      <c r="H121" s="76"/>
      <c r="I121" s="76"/>
      <c r="J121" s="76"/>
      <c r="K121" s="76"/>
      <c r="L121" s="76"/>
      <c r="M121" s="76"/>
      <c r="N121" s="76"/>
      <c r="O121" s="76"/>
      <c r="P121" s="1" t="s">
        <v>874</v>
      </c>
      <c r="Q121" s="1">
        <v>0.0</v>
      </c>
      <c r="R121" s="1" t="s">
        <v>875</v>
      </c>
      <c r="S121" s="1">
        <v>2.5E-4</v>
      </c>
      <c r="T121" s="1">
        <v>0.4</v>
      </c>
      <c r="U121" s="9">
        <v>2.0E-4</v>
      </c>
      <c r="V121" s="1">
        <v>0.5</v>
      </c>
      <c r="W121" s="1">
        <v>0.3</v>
      </c>
      <c r="X121" s="1">
        <v>0.6</v>
      </c>
      <c r="Y121" s="1">
        <v>1.7</v>
      </c>
      <c r="Z121" t="s">
        <v>876</v>
      </c>
      <c r="AA121" t="s">
        <v>123</v>
      </c>
      <c r="AB121" s="70">
        <v>6666.67</v>
      </c>
    </row>
    <row r="122" ht="15.75" customHeight="1">
      <c r="A122" s="469"/>
      <c r="B122" s="76"/>
      <c r="C122" s="76"/>
      <c r="D122" s="76"/>
      <c r="E122" s="470"/>
      <c r="F122" s="76"/>
      <c r="G122" s="76"/>
      <c r="H122" s="76"/>
      <c r="I122" s="76"/>
      <c r="J122" s="76"/>
      <c r="K122" s="76"/>
      <c r="L122" s="76"/>
      <c r="M122" s="76"/>
      <c r="N122" s="76"/>
      <c r="O122" s="76"/>
      <c r="P122" s="1" t="s">
        <v>877</v>
      </c>
      <c r="Q122" s="1">
        <v>0.0</v>
      </c>
      <c r="R122" s="1" t="s">
        <v>878</v>
      </c>
      <c r="S122" s="1">
        <v>0.24</v>
      </c>
      <c r="T122" s="1">
        <v>0.32</v>
      </c>
      <c r="U122" s="9">
        <v>1.5E-4</v>
      </c>
      <c r="V122" s="1">
        <v>0.5</v>
      </c>
      <c r="W122" s="1">
        <v>1.0</v>
      </c>
      <c r="X122" s="1">
        <v>1.0</v>
      </c>
      <c r="Y122" s="1">
        <v>2.0</v>
      </c>
      <c r="Z122" t="s">
        <v>879</v>
      </c>
      <c r="AA122" t="s">
        <v>123</v>
      </c>
      <c r="AB122" s="70">
        <v>6666.67</v>
      </c>
    </row>
    <row r="123" ht="15.75" customHeight="1">
      <c r="A123" s="469"/>
      <c r="B123" s="76"/>
      <c r="C123" s="76"/>
      <c r="D123" s="76"/>
      <c r="E123" s="470"/>
      <c r="F123" s="76"/>
      <c r="G123" s="76"/>
      <c r="H123" s="76"/>
      <c r="I123" s="76"/>
      <c r="J123" s="76"/>
      <c r="K123" s="76"/>
      <c r="L123" s="76"/>
      <c r="M123" s="76"/>
      <c r="N123" s="76"/>
      <c r="O123" s="76"/>
      <c r="P123" s="1" t="s">
        <v>880</v>
      </c>
      <c r="Q123" s="1">
        <v>0.0</v>
      </c>
      <c r="R123" s="1" t="s">
        <v>881</v>
      </c>
      <c r="S123" s="1">
        <v>0.12</v>
      </c>
      <c r="T123" s="1">
        <v>0.32</v>
      </c>
      <c r="U123" s="9">
        <v>1.5E-4</v>
      </c>
      <c r="V123" s="1">
        <v>0.5</v>
      </c>
      <c r="W123" s="1">
        <v>1.0</v>
      </c>
      <c r="X123" s="1">
        <v>1.0</v>
      </c>
      <c r="Y123" s="1">
        <v>2.0</v>
      </c>
      <c r="Z123" t="s">
        <v>882</v>
      </c>
      <c r="AA123" t="s">
        <v>123</v>
      </c>
      <c r="AB123" s="70">
        <v>6666.67</v>
      </c>
    </row>
    <row r="124" ht="15.75" customHeight="1">
      <c r="A124" s="469"/>
      <c r="B124" s="76"/>
      <c r="C124" s="76"/>
      <c r="D124" s="76"/>
      <c r="E124" s="470"/>
      <c r="F124" s="76"/>
      <c r="G124" s="76"/>
      <c r="H124" s="76"/>
      <c r="I124" s="76"/>
      <c r="J124" s="76"/>
      <c r="K124" s="76"/>
      <c r="L124" s="76"/>
      <c r="M124" s="76"/>
      <c r="N124" s="76"/>
      <c r="O124" s="76"/>
      <c r="P124" s="1" t="s">
        <v>883</v>
      </c>
      <c r="Q124" s="1">
        <v>0.0</v>
      </c>
      <c r="R124" s="1" t="s">
        <v>884</v>
      </c>
      <c r="S124" s="1">
        <v>0.02</v>
      </c>
      <c r="T124" s="1">
        <v>0.32</v>
      </c>
      <c r="U124" s="9">
        <v>1.5E-4</v>
      </c>
      <c r="V124" s="1">
        <v>0.5</v>
      </c>
      <c r="W124" s="1">
        <v>0.5</v>
      </c>
      <c r="X124" s="1">
        <v>0.65</v>
      </c>
      <c r="Y124" s="1">
        <v>2.2</v>
      </c>
      <c r="Z124" t="s">
        <v>885</v>
      </c>
      <c r="AA124" t="s">
        <v>632</v>
      </c>
      <c r="AB124" s="70">
        <v>6666.67</v>
      </c>
    </row>
    <row r="125" ht="15.75" customHeight="1">
      <c r="A125" s="469"/>
      <c r="B125" s="76"/>
      <c r="C125" s="76"/>
      <c r="D125" s="76"/>
      <c r="E125" s="470"/>
      <c r="F125" s="76"/>
      <c r="G125" s="76"/>
      <c r="H125" s="76"/>
      <c r="I125" s="76"/>
      <c r="J125" s="76"/>
      <c r="K125" s="76"/>
      <c r="L125" s="76"/>
      <c r="M125" s="76"/>
      <c r="N125" s="76"/>
      <c r="O125" s="76"/>
      <c r="P125" s="1" t="s">
        <v>886</v>
      </c>
      <c r="Q125" s="1">
        <v>0.0</v>
      </c>
      <c r="R125" s="1" t="s">
        <v>887</v>
      </c>
      <c r="S125" s="1">
        <v>0.02</v>
      </c>
      <c r="T125" s="1">
        <v>0.32</v>
      </c>
      <c r="U125" s="9">
        <v>1.5E-4</v>
      </c>
      <c r="V125" s="1">
        <v>0.5</v>
      </c>
      <c r="W125" s="1">
        <v>0.5</v>
      </c>
      <c r="X125" s="1">
        <v>0.65</v>
      </c>
      <c r="Y125" s="1">
        <v>2.2</v>
      </c>
      <c r="Z125" t="s">
        <v>888</v>
      </c>
      <c r="AA125" t="s">
        <v>639</v>
      </c>
      <c r="AB125" s="70">
        <v>6666.67</v>
      </c>
    </row>
    <row r="126" ht="15.75" customHeight="1">
      <c r="A126" s="469"/>
      <c r="B126" s="76"/>
      <c r="C126" s="76"/>
      <c r="D126" s="76"/>
      <c r="E126" s="470"/>
      <c r="F126" s="76"/>
      <c r="G126" s="76"/>
      <c r="H126" s="76"/>
      <c r="I126" s="76"/>
      <c r="J126" s="76"/>
      <c r="K126" s="76"/>
      <c r="L126" s="76"/>
      <c r="M126" s="76"/>
      <c r="N126" s="76"/>
      <c r="O126" s="76"/>
      <c r="P126" s="1" t="s">
        <v>889</v>
      </c>
      <c r="Q126" s="1">
        <v>0.0</v>
      </c>
      <c r="R126" s="1" t="s">
        <v>890</v>
      </c>
      <c r="S126" s="1">
        <v>0.02</v>
      </c>
      <c r="T126" s="1">
        <v>0.32</v>
      </c>
      <c r="U126" s="9">
        <v>1.5E-4</v>
      </c>
      <c r="V126" s="1">
        <v>0.5</v>
      </c>
      <c r="W126" s="1">
        <v>0.5</v>
      </c>
      <c r="X126" s="1">
        <v>0.65</v>
      </c>
      <c r="Y126" s="1">
        <v>2.2</v>
      </c>
      <c r="Z126" t="s">
        <v>891</v>
      </c>
      <c r="AA126" t="s">
        <v>650</v>
      </c>
      <c r="AB126" s="70">
        <v>6666.67</v>
      </c>
    </row>
    <row r="127" ht="15.75" customHeight="1">
      <c r="A127" s="469"/>
      <c r="B127" s="76"/>
      <c r="C127" s="76"/>
      <c r="D127" s="76"/>
      <c r="E127" s="470"/>
      <c r="F127" s="76"/>
      <c r="G127" s="76"/>
      <c r="H127" s="76"/>
      <c r="I127" s="76"/>
      <c r="J127" s="76"/>
      <c r="K127" s="76"/>
      <c r="L127" s="76"/>
      <c r="M127" s="76"/>
      <c r="N127" s="76"/>
      <c r="O127" s="76"/>
      <c r="P127" s="1" t="s">
        <v>892</v>
      </c>
      <c r="Q127" s="1">
        <v>0.0</v>
      </c>
      <c r="R127" s="1" t="s">
        <v>893</v>
      </c>
      <c r="S127" s="1">
        <v>0.02</v>
      </c>
      <c r="T127" s="1">
        <v>0.32</v>
      </c>
      <c r="U127" s="9">
        <v>1.5E-4</v>
      </c>
      <c r="V127" s="1">
        <v>0.5</v>
      </c>
      <c r="W127" s="1">
        <v>0.5</v>
      </c>
      <c r="X127" s="1">
        <v>0.65</v>
      </c>
      <c r="Y127" s="1">
        <v>2.2</v>
      </c>
      <c r="Z127" t="s">
        <v>894</v>
      </c>
      <c r="AA127" t="s">
        <v>656</v>
      </c>
      <c r="AB127" s="70">
        <v>6666.67</v>
      </c>
    </row>
    <row r="128" ht="15.75" customHeight="1">
      <c r="A128" s="469"/>
      <c r="B128" s="76"/>
      <c r="C128" s="76"/>
      <c r="D128" s="76"/>
      <c r="E128" s="470"/>
      <c r="F128" s="76"/>
      <c r="G128" s="76"/>
      <c r="H128" s="76"/>
      <c r="I128" s="76"/>
      <c r="J128" s="76"/>
      <c r="K128" s="76"/>
      <c r="L128" s="76"/>
      <c r="M128" s="76"/>
      <c r="N128" s="76"/>
      <c r="O128" s="76"/>
      <c r="P128" s="1" t="s">
        <v>895</v>
      </c>
      <c r="Q128" s="1">
        <v>0.0</v>
      </c>
      <c r="R128" s="1" t="s">
        <v>896</v>
      </c>
      <c r="S128" s="1">
        <v>0.01</v>
      </c>
      <c r="T128" s="1">
        <v>0.32</v>
      </c>
      <c r="U128" s="9">
        <v>1.5E-4</v>
      </c>
      <c r="V128" s="1">
        <v>0.5</v>
      </c>
      <c r="W128" s="1">
        <v>0.5</v>
      </c>
      <c r="X128" s="1">
        <v>0.65</v>
      </c>
      <c r="Y128" s="1">
        <v>2.2</v>
      </c>
      <c r="Z128" t="s">
        <v>897</v>
      </c>
      <c r="AA128" t="s">
        <v>123</v>
      </c>
      <c r="AB128" s="70">
        <v>6666.67</v>
      </c>
    </row>
    <row r="129" ht="15.75" customHeight="1">
      <c r="A129" s="469"/>
      <c r="B129" s="76"/>
      <c r="C129" s="76"/>
      <c r="D129" s="76"/>
      <c r="E129" s="470"/>
      <c r="F129" s="76"/>
      <c r="G129" s="76"/>
      <c r="H129" s="76"/>
      <c r="I129" s="76"/>
      <c r="J129" s="76"/>
      <c r="K129" s="76"/>
      <c r="L129" s="76"/>
      <c r="M129" s="76"/>
      <c r="N129" s="76"/>
      <c r="O129" s="76"/>
      <c r="P129" s="1" t="s">
        <v>898</v>
      </c>
      <c r="Q129" s="1">
        <v>0.0</v>
      </c>
      <c r="R129" s="1" t="s">
        <v>888</v>
      </c>
      <c r="S129" s="1">
        <v>0.08</v>
      </c>
      <c r="T129" s="1">
        <v>0.32</v>
      </c>
      <c r="U129" s="9">
        <v>1.5E-4</v>
      </c>
      <c r="V129" s="1">
        <v>0.5</v>
      </c>
      <c r="W129" s="1">
        <v>0.5</v>
      </c>
      <c r="X129" s="1">
        <v>0.65</v>
      </c>
      <c r="Y129" s="1">
        <v>2.0</v>
      </c>
      <c r="Z129" t="s">
        <v>899</v>
      </c>
      <c r="AA129" t="s">
        <v>562</v>
      </c>
      <c r="AB129" s="70">
        <v>6666.67</v>
      </c>
    </row>
    <row r="130" ht="15.75" customHeight="1">
      <c r="A130" s="469"/>
      <c r="B130" s="76"/>
      <c r="C130" s="76"/>
      <c r="D130" s="76"/>
      <c r="E130" s="470"/>
      <c r="F130" s="76"/>
      <c r="G130" s="76"/>
      <c r="H130" s="76"/>
      <c r="I130" s="76"/>
      <c r="J130" s="76"/>
      <c r="K130" s="76"/>
      <c r="L130" s="76"/>
      <c r="M130" s="76"/>
      <c r="N130" s="76"/>
      <c r="O130" s="76"/>
      <c r="P130" s="1" t="s">
        <v>900</v>
      </c>
      <c r="Q130" s="1">
        <v>0.0</v>
      </c>
      <c r="R130" s="1" t="s">
        <v>891</v>
      </c>
      <c r="S130" s="1">
        <v>0.08</v>
      </c>
      <c r="T130" s="1">
        <v>0.32</v>
      </c>
      <c r="U130" s="9">
        <v>1.5E-4</v>
      </c>
      <c r="V130" s="1">
        <v>0.5</v>
      </c>
      <c r="W130" s="1">
        <v>0.5</v>
      </c>
      <c r="X130" s="1">
        <v>0.65</v>
      </c>
      <c r="Y130" s="1">
        <v>2.0</v>
      </c>
      <c r="Z130" t="s">
        <v>901</v>
      </c>
      <c r="AA130" t="s">
        <v>902</v>
      </c>
      <c r="AB130" s="70">
        <v>6666.67</v>
      </c>
    </row>
    <row r="131" ht="15.75" customHeight="1">
      <c r="A131" s="469"/>
      <c r="B131" s="76"/>
      <c r="C131" s="76"/>
      <c r="D131" s="76"/>
      <c r="E131" s="470"/>
      <c r="F131" s="76"/>
      <c r="G131" s="76"/>
      <c r="H131" s="76"/>
      <c r="I131" s="76"/>
      <c r="J131" s="76"/>
      <c r="K131" s="76"/>
      <c r="L131" s="76"/>
      <c r="M131" s="76"/>
      <c r="N131" s="76"/>
      <c r="O131" s="76"/>
      <c r="P131" s="1" t="s">
        <v>903</v>
      </c>
      <c r="Q131" s="1">
        <v>0.0</v>
      </c>
      <c r="R131" s="1" t="s">
        <v>904</v>
      </c>
      <c r="S131" s="1">
        <v>0.08</v>
      </c>
      <c r="T131" s="1">
        <v>0.32</v>
      </c>
      <c r="U131" s="9">
        <v>1.5E-4</v>
      </c>
      <c r="V131" s="1">
        <v>0.5</v>
      </c>
      <c r="W131" s="1">
        <v>0.5</v>
      </c>
      <c r="X131" s="1">
        <v>0.65</v>
      </c>
      <c r="Y131" s="1">
        <v>2.0</v>
      </c>
      <c r="Z131" t="s">
        <v>905</v>
      </c>
      <c r="AA131" t="s">
        <v>676</v>
      </c>
      <c r="AB131" s="70">
        <v>5555.56</v>
      </c>
    </row>
    <row r="132" ht="15.75" customHeight="1">
      <c r="A132" s="469"/>
      <c r="B132" s="76"/>
      <c r="C132" s="76"/>
      <c r="D132" s="76"/>
      <c r="E132" s="470"/>
      <c r="F132" s="76"/>
      <c r="G132" s="76"/>
      <c r="H132" s="76"/>
      <c r="I132" s="76"/>
      <c r="J132" s="76"/>
      <c r="K132" s="76"/>
      <c r="L132" s="76"/>
      <c r="M132" s="76"/>
      <c r="N132" s="76"/>
      <c r="O132" s="76"/>
      <c r="P132" s="1" t="s">
        <v>906</v>
      </c>
      <c r="Q132" s="1">
        <v>0.0</v>
      </c>
      <c r="R132" s="1" t="s">
        <v>907</v>
      </c>
      <c r="S132" s="1">
        <v>0.08</v>
      </c>
      <c r="T132" s="1">
        <v>0.32</v>
      </c>
      <c r="U132" s="9">
        <v>1.5E-4</v>
      </c>
      <c r="V132" s="1">
        <v>0.5</v>
      </c>
      <c r="W132" s="1">
        <v>0.5</v>
      </c>
      <c r="X132" s="1">
        <v>0.65</v>
      </c>
      <c r="Y132" s="1">
        <v>2.0</v>
      </c>
      <c r="Z132" t="s">
        <v>905</v>
      </c>
      <c r="AA132" t="s">
        <v>680</v>
      </c>
      <c r="AB132" s="70">
        <v>5000.0</v>
      </c>
    </row>
    <row r="133" ht="15.75" customHeight="1">
      <c r="A133" s="469"/>
      <c r="B133" s="76"/>
      <c r="C133" s="76"/>
      <c r="D133" s="76"/>
      <c r="E133" s="470"/>
      <c r="F133" s="76"/>
      <c r="G133" s="76"/>
      <c r="H133" s="76"/>
      <c r="I133" s="76"/>
      <c r="J133" s="76"/>
      <c r="K133" s="76"/>
      <c r="L133" s="76"/>
      <c r="M133" s="76"/>
      <c r="N133" s="76"/>
      <c r="O133" s="76"/>
      <c r="P133" s="1" t="s">
        <v>908</v>
      </c>
      <c r="Q133" s="1">
        <v>0.0</v>
      </c>
      <c r="R133" s="1" t="s">
        <v>899</v>
      </c>
      <c r="S133" s="1">
        <v>0.08</v>
      </c>
      <c r="T133" s="1">
        <v>0.32</v>
      </c>
      <c r="U133" s="9">
        <v>1.5E-4</v>
      </c>
      <c r="V133" s="1">
        <v>0.5</v>
      </c>
      <c r="W133" s="1">
        <v>0.5</v>
      </c>
      <c r="X133" s="1">
        <v>0.65</v>
      </c>
      <c r="Y133" s="1">
        <v>2.0</v>
      </c>
      <c r="Z133" t="s">
        <v>905</v>
      </c>
      <c r="AA133" t="s">
        <v>684</v>
      </c>
      <c r="AB133" s="70">
        <v>5000.0</v>
      </c>
    </row>
    <row r="134" ht="15.75" customHeight="1">
      <c r="A134" s="469"/>
      <c r="B134" s="76"/>
      <c r="C134" s="76"/>
      <c r="D134" s="76"/>
      <c r="E134" s="470"/>
      <c r="F134" s="76"/>
      <c r="G134" s="76"/>
      <c r="H134" s="76"/>
      <c r="I134" s="76"/>
      <c r="J134" s="76"/>
      <c r="K134" s="76"/>
      <c r="L134" s="76"/>
      <c r="M134" s="76"/>
      <c r="N134" s="76"/>
      <c r="O134" s="76"/>
      <c r="P134" s="1" t="s">
        <v>909</v>
      </c>
      <c r="Q134" s="1">
        <v>0.0</v>
      </c>
      <c r="R134" s="1" t="s">
        <v>910</v>
      </c>
      <c r="S134" s="1">
        <v>0.02</v>
      </c>
      <c r="T134" s="1">
        <v>0.36</v>
      </c>
      <c r="U134" s="9">
        <v>1.8E-4</v>
      </c>
      <c r="V134" s="1">
        <v>0.5</v>
      </c>
      <c r="W134" s="1">
        <v>0.2</v>
      </c>
      <c r="X134" s="1">
        <v>0.6</v>
      </c>
      <c r="Y134" s="1">
        <v>1.8</v>
      </c>
      <c r="Z134" t="s">
        <v>905</v>
      </c>
      <c r="AA134" t="s">
        <v>688</v>
      </c>
      <c r="AB134" s="70">
        <v>5000.0</v>
      </c>
    </row>
    <row r="135" ht="15.75" customHeight="1">
      <c r="A135" s="469"/>
      <c r="B135" s="76"/>
      <c r="C135" s="76"/>
      <c r="D135" s="76"/>
      <c r="E135" s="470"/>
      <c r="F135" s="76"/>
      <c r="G135" s="76"/>
      <c r="H135" s="76"/>
      <c r="I135" s="76"/>
      <c r="J135" s="76"/>
      <c r="K135" s="76"/>
      <c r="L135" s="76"/>
      <c r="M135" s="76"/>
      <c r="N135" s="76"/>
      <c r="O135" s="76"/>
      <c r="P135" s="1" t="s">
        <v>911</v>
      </c>
      <c r="Q135" s="1">
        <v>0.0</v>
      </c>
      <c r="R135" s="1" t="s">
        <v>247</v>
      </c>
      <c r="S135" s="1">
        <v>0.1</v>
      </c>
      <c r="T135" s="1">
        <v>0.4</v>
      </c>
      <c r="U135" s="9">
        <v>2.0E-4</v>
      </c>
      <c r="V135" s="1">
        <v>0.5</v>
      </c>
      <c r="W135" s="1">
        <v>0.2</v>
      </c>
      <c r="X135" s="1">
        <v>0.6</v>
      </c>
      <c r="Y135" s="1">
        <v>1.7</v>
      </c>
      <c r="Z135" t="s">
        <v>905</v>
      </c>
      <c r="AA135" t="s">
        <v>693</v>
      </c>
      <c r="AB135" s="70">
        <v>5000.0</v>
      </c>
    </row>
    <row r="136" ht="15.75" customHeight="1">
      <c r="A136" s="469"/>
      <c r="B136" s="76"/>
      <c r="C136" s="76"/>
      <c r="D136" s="76"/>
      <c r="E136" s="470"/>
      <c r="F136" s="76"/>
      <c r="G136" s="76"/>
      <c r="H136" s="76"/>
      <c r="I136" s="76"/>
      <c r="J136" s="76"/>
      <c r="K136" s="76"/>
      <c r="L136" s="76"/>
      <c r="M136" s="76"/>
      <c r="N136" s="76"/>
      <c r="O136" s="76"/>
      <c r="P136" s="1" t="s">
        <v>912</v>
      </c>
      <c r="Q136" s="1">
        <v>0.0</v>
      </c>
      <c r="R136" s="1" t="s">
        <v>333</v>
      </c>
      <c r="S136" s="1">
        <v>0.1</v>
      </c>
      <c r="T136" s="1">
        <v>0.4</v>
      </c>
      <c r="U136" s="9">
        <v>2.0E-4</v>
      </c>
      <c r="V136" s="1">
        <v>0.5</v>
      </c>
      <c r="W136" s="1">
        <v>0.2</v>
      </c>
      <c r="X136" s="1">
        <v>0.6</v>
      </c>
      <c r="Y136" s="1">
        <v>1.7</v>
      </c>
      <c r="Z136" t="s">
        <v>905</v>
      </c>
      <c r="AA136" t="s">
        <v>699</v>
      </c>
      <c r="AB136" s="70">
        <v>5000.0</v>
      </c>
    </row>
    <row r="137" ht="15.75" customHeight="1">
      <c r="A137" s="469"/>
      <c r="B137" s="76"/>
      <c r="C137" s="76"/>
      <c r="D137" s="76"/>
      <c r="E137" s="470"/>
      <c r="F137" s="76"/>
      <c r="G137" s="76"/>
      <c r="H137" s="76"/>
      <c r="I137" s="76"/>
      <c r="J137" s="76"/>
      <c r="K137" s="76"/>
      <c r="L137" s="76"/>
      <c r="M137" s="76"/>
      <c r="N137" s="76"/>
      <c r="O137" s="76"/>
      <c r="P137" s="1" t="s">
        <v>913</v>
      </c>
      <c r="Q137" s="1">
        <v>0.0</v>
      </c>
      <c r="R137" s="1" t="s">
        <v>242</v>
      </c>
      <c r="S137" s="1">
        <v>0.1</v>
      </c>
      <c r="T137" s="1">
        <v>0.4</v>
      </c>
      <c r="U137" s="9">
        <v>2.0E-4</v>
      </c>
      <c r="V137" s="1">
        <v>0.5</v>
      </c>
      <c r="W137" s="1">
        <v>0.2</v>
      </c>
      <c r="X137" s="1">
        <v>0.6</v>
      </c>
      <c r="Y137" s="1">
        <v>1.7</v>
      </c>
      <c r="Z137" t="s">
        <v>914</v>
      </c>
      <c r="AA137" t="s">
        <v>462</v>
      </c>
      <c r="AB137" s="70">
        <v>5000.0</v>
      </c>
    </row>
    <row r="138" ht="15.75" customHeight="1">
      <c r="A138" s="469"/>
      <c r="B138" s="76"/>
      <c r="C138" s="76"/>
      <c r="D138" s="76"/>
      <c r="E138" s="470"/>
      <c r="F138" s="76"/>
      <c r="G138" s="76"/>
      <c r="H138" s="76"/>
      <c r="I138" s="76"/>
      <c r="J138" s="76"/>
      <c r="K138" s="76"/>
      <c r="L138" s="76"/>
      <c r="M138" s="76"/>
      <c r="N138" s="76"/>
      <c r="O138" s="76"/>
      <c r="P138" s="1" t="s">
        <v>915</v>
      </c>
      <c r="Q138" s="1">
        <v>0.0</v>
      </c>
      <c r="R138" s="1" t="s">
        <v>155</v>
      </c>
      <c r="S138" s="1">
        <v>0.1</v>
      </c>
      <c r="T138" s="1">
        <v>0.4</v>
      </c>
      <c r="U138" s="9">
        <v>2.0E-4</v>
      </c>
      <c r="V138" s="1">
        <v>0.5</v>
      </c>
      <c r="W138" s="1">
        <v>0.2</v>
      </c>
      <c r="X138" s="1">
        <v>0.6</v>
      </c>
      <c r="Y138" s="1">
        <v>1.7</v>
      </c>
      <c r="Z138" t="s">
        <v>916</v>
      </c>
      <c r="AA138" t="s">
        <v>468</v>
      </c>
      <c r="AB138">
        <v>0.0</v>
      </c>
    </row>
    <row r="139" ht="15.75" customHeight="1">
      <c r="A139" s="469"/>
      <c r="B139" s="76"/>
      <c r="C139" s="76"/>
      <c r="D139" s="76"/>
      <c r="E139" s="470"/>
      <c r="F139" s="76"/>
      <c r="G139" s="76"/>
      <c r="H139" s="76"/>
      <c r="I139" s="76"/>
      <c r="J139" s="76"/>
      <c r="K139" s="76"/>
      <c r="L139" s="76"/>
      <c r="M139" s="76"/>
      <c r="N139" s="76"/>
      <c r="O139" s="76"/>
      <c r="P139" s="1" t="s">
        <v>917</v>
      </c>
      <c r="Q139" s="1">
        <v>0.0</v>
      </c>
      <c r="R139" s="1" t="s">
        <v>918</v>
      </c>
      <c r="S139" s="1">
        <v>0.1</v>
      </c>
      <c r="T139" s="1">
        <v>0.4</v>
      </c>
      <c r="U139" s="9">
        <v>2.0E-4</v>
      </c>
      <c r="V139" s="1">
        <v>0.5</v>
      </c>
      <c r="W139" s="1">
        <v>0.2</v>
      </c>
      <c r="X139" s="1">
        <v>0.6</v>
      </c>
      <c r="Y139" s="1">
        <v>1.7</v>
      </c>
      <c r="Z139" t="s">
        <v>919</v>
      </c>
      <c r="AA139" t="s">
        <v>472</v>
      </c>
      <c r="AB139">
        <v>0.0</v>
      </c>
    </row>
    <row r="140" ht="15.75" customHeight="1">
      <c r="A140" s="469"/>
      <c r="B140" s="76"/>
      <c r="C140" s="76"/>
      <c r="D140" s="76"/>
      <c r="E140" s="470"/>
      <c r="F140" s="76"/>
      <c r="G140" s="76"/>
      <c r="H140" s="76"/>
      <c r="I140" s="76"/>
      <c r="J140" s="76"/>
      <c r="K140" s="76"/>
      <c r="L140" s="76"/>
      <c r="M140" s="76"/>
      <c r="N140" s="76"/>
      <c r="O140" s="76"/>
      <c r="P140" s="1" t="s">
        <v>920</v>
      </c>
      <c r="Q140" s="1">
        <v>0.0</v>
      </c>
      <c r="R140" s="1" t="s">
        <v>273</v>
      </c>
      <c r="S140" s="1">
        <v>0.1</v>
      </c>
      <c r="T140" s="1">
        <v>0.4</v>
      </c>
      <c r="U140" s="9">
        <v>2.0E-4</v>
      </c>
      <c r="V140" s="1">
        <v>0.5</v>
      </c>
      <c r="W140" s="1">
        <v>0.2</v>
      </c>
      <c r="X140" s="1">
        <v>0.6</v>
      </c>
      <c r="Y140" s="1">
        <v>1.7</v>
      </c>
      <c r="Z140" t="s">
        <v>919</v>
      </c>
      <c r="AA140" t="s">
        <v>477</v>
      </c>
      <c r="AB140">
        <v>0.0</v>
      </c>
    </row>
    <row r="141" ht="15.75" customHeight="1">
      <c r="A141" s="469"/>
      <c r="B141" s="76"/>
      <c r="C141" s="76"/>
      <c r="D141" s="76"/>
      <c r="E141" s="470"/>
      <c r="F141" s="76"/>
      <c r="G141" s="76"/>
      <c r="H141" s="76"/>
      <c r="I141" s="76"/>
      <c r="J141" s="76"/>
      <c r="K141" s="76"/>
      <c r="L141" s="76"/>
      <c r="M141" s="76"/>
      <c r="N141" s="76"/>
      <c r="O141" s="76"/>
      <c r="P141" s="1" t="s">
        <v>921</v>
      </c>
      <c r="Q141" s="1">
        <v>40.0</v>
      </c>
      <c r="R141" s="1" t="s">
        <v>922</v>
      </c>
      <c r="S141" s="1">
        <v>0.02</v>
      </c>
      <c r="T141" s="1">
        <v>0.0</v>
      </c>
      <c r="U141" s="9">
        <v>0.0</v>
      </c>
      <c r="V141" s="1">
        <v>1.0</v>
      </c>
      <c r="W141" s="1">
        <v>0.8</v>
      </c>
      <c r="X141" s="1">
        <v>0.5</v>
      </c>
      <c r="Y141" s="1">
        <v>2.6</v>
      </c>
      <c r="Z141" t="s">
        <v>919</v>
      </c>
      <c r="AA141" t="s">
        <v>503</v>
      </c>
      <c r="AB141">
        <v>0.0</v>
      </c>
    </row>
    <row r="142" ht="15.75" customHeight="1">
      <c r="A142" s="469"/>
      <c r="B142" s="76"/>
      <c r="C142" s="76"/>
      <c r="D142" s="76"/>
      <c r="E142" s="470"/>
      <c r="F142" s="76"/>
      <c r="G142" s="76"/>
      <c r="H142" s="76"/>
      <c r="I142" s="76"/>
      <c r="J142" s="76"/>
      <c r="K142" s="76"/>
      <c r="L142" s="76"/>
      <c r="M142" s="76"/>
      <c r="N142" s="76"/>
      <c r="O142" s="76"/>
      <c r="P142" s="1" t="s">
        <v>923</v>
      </c>
      <c r="Q142" s="1">
        <v>30.0</v>
      </c>
      <c r="R142" s="1" t="s">
        <v>924</v>
      </c>
      <c r="S142" s="1">
        <v>1.0</v>
      </c>
      <c r="T142" s="1">
        <v>0.0</v>
      </c>
      <c r="U142" s="9">
        <v>0.0</v>
      </c>
      <c r="V142" s="1">
        <v>1.0</v>
      </c>
      <c r="W142" s="1">
        <v>0.8</v>
      </c>
      <c r="X142" s="1">
        <v>1.0</v>
      </c>
      <c r="Y142" s="1">
        <v>3.0</v>
      </c>
      <c r="Z142" t="s">
        <v>919</v>
      </c>
      <c r="AA142" t="s">
        <v>516</v>
      </c>
      <c r="AB142">
        <v>0.0</v>
      </c>
    </row>
    <row r="143" ht="15.75" customHeight="1">
      <c r="A143" s="469"/>
      <c r="B143" s="76"/>
      <c r="C143" s="76"/>
      <c r="D143" s="76"/>
      <c r="E143" s="470"/>
      <c r="F143" s="76"/>
      <c r="G143" s="76"/>
      <c r="H143" s="76"/>
      <c r="I143" s="76"/>
      <c r="J143" s="76"/>
      <c r="K143" s="76"/>
      <c r="L143" s="76"/>
      <c r="M143" s="76"/>
      <c r="N143" s="76"/>
      <c r="O143" s="76"/>
      <c r="P143" s="1" t="s">
        <v>925</v>
      </c>
      <c r="Q143" s="1">
        <v>30.0</v>
      </c>
      <c r="R143" s="1" t="s">
        <v>335</v>
      </c>
      <c r="S143" s="1">
        <v>2.0</v>
      </c>
      <c r="T143" s="1">
        <v>0.0</v>
      </c>
      <c r="U143" s="9">
        <v>0.0</v>
      </c>
      <c r="V143" s="1">
        <v>1.0</v>
      </c>
      <c r="W143" s="1">
        <v>1.5</v>
      </c>
      <c r="X143" s="1">
        <v>0.6</v>
      </c>
      <c r="Y143" s="1">
        <v>2.4</v>
      </c>
      <c r="Z143" t="s">
        <v>919</v>
      </c>
      <c r="AA143" t="s">
        <v>556</v>
      </c>
      <c r="AB143">
        <v>0.0</v>
      </c>
    </row>
    <row r="144" ht="15.75" customHeight="1">
      <c r="A144" s="469"/>
      <c r="B144" s="76"/>
      <c r="C144" s="76"/>
      <c r="D144" s="76"/>
      <c r="E144" s="470"/>
      <c r="F144" s="76"/>
      <c r="G144" s="76"/>
      <c r="H144" s="76"/>
      <c r="I144" s="76"/>
      <c r="J144" s="76"/>
      <c r="K144" s="76"/>
      <c r="L144" s="76"/>
      <c r="M144" s="76"/>
      <c r="N144" s="76"/>
      <c r="O144" s="76"/>
      <c r="P144" s="1" t="s">
        <v>926</v>
      </c>
      <c r="Q144" s="1">
        <v>30.0</v>
      </c>
      <c r="R144" s="1" t="s">
        <v>927</v>
      </c>
      <c r="S144" s="1">
        <v>2.0</v>
      </c>
      <c r="T144" s="1">
        <v>0.0</v>
      </c>
      <c r="U144" s="9">
        <v>0.0</v>
      </c>
      <c r="V144" s="1">
        <v>1.0</v>
      </c>
      <c r="W144" s="1">
        <v>1.5</v>
      </c>
      <c r="X144" s="1">
        <v>0.6</v>
      </c>
      <c r="Y144" s="1">
        <v>2.4</v>
      </c>
      <c r="Z144" t="s">
        <v>928</v>
      </c>
      <c r="AA144" t="s">
        <v>567</v>
      </c>
      <c r="AB144">
        <v>0.0</v>
      </c>
    </row>
    <row r="145" ht="15.75" customHeight="1">
      <c r="A145" s="469"/>
      <c r="B145" s="76"/>
      <c r="C145" s="76"/>
      <c r="D145" s="76"/>
      <c r="E145" s="470"/>
      <c r="F145" s="76"/>
      <c r="G145" s="76"/>
      <c r="H145" s="76"/>
      <c r="I145" s="76"/>
      <c r="J145" s="76"/>
      <c r="K145" s="76"/>
      <c r="L145" s="76"/>
      <c r="M145" s="76"/>
      <c r="N145" s="76"/>
      <c r="O145" s="76"/>
      <c r="P145" s="1" t="s">
        <v>930</v>
      </c>
      <c r="Q145" s="1">
        <v>30.0</v>
      </c>
      <c r="R145" s="1" t="s">
        <v>156</v>
      </c>
      <c r="S145" s="1">
        <v>2.0</v>
      </c>
      <c r="T145" s="1">
        <v>0.0</v>
      </c>
      <c r="U145" s="9">
        <v>0.0</v>
      </c>
      <c r="V145" s="1">
        <v>1.0</v>
      </c>
      <c r="W145" s="1">
        <v>1.5</v>
      </c>
      <c r="X145" s="1">
        <v>0.6</v>
      </c>
      <c r="Y145" s="1">
        <v>2.4</v>
      </c>
      <c r="Z145" t="s">
        <v>928</v>
      </c>
      <c r="AA145" t="s">
        <v>572</v>
      </c>
      <c r="AB145">
        <v>0.0</v>
      </c>
    </row>
    <row r="146" ht="15.75" customHeight="1">
      <c r="A146" s="469"/>
      <c r="B146" s="76"/>
      <c r="C146" s="76"/>
      <c r="D146" s="76"/>
      <c r="E146" s="470"/>
      <c r="F146" s="76"/>
      <c r="G146" s="76"/>
      <c r="H146" s="76"/>
      <c r="I146" s="76"/>
      <c r="J146" s="76"/>
      <c r="K146" s="76"/>
      <c r="L146" s="76"/>
      <c r="M146" s="76"/>
      <c r="N146" s="76"/>
      <c r="O146" s="76"/>
      <c r="P146" s="1" t="s">
        <v>932</v>
      </c>
      <c r="Q146" s="1">
        <v>30.0</v>
      </c>
      <c r="R146" s="1" t="s">
        <v>213</v>
      </c>
      <c r="S146" s="1">
        <v>2.0</v>
      </c>
      <c r="T146" s="1">
        <v>0.0</v>
      </c>
      <c r="U146" s="9">
        <v>0.0</v>
      </c>
      <c r="V146" s="1">
        <v>1.0</v>
      </c>
      <c r="W146" s="1">
        <v>1.5</v>
      </c>
      <c r="X146" s="1">
        <v>0.6</v>
      </c>
      <c r="Y146" s="1">
        <v>2.4</v>
      </c>
      <c r="Z146" t="s">
        <v>928</v>
      </c>
      <c r="AA146" t="s">
        <v>574</v>
      </c>
      <c r="AB146">
        <v>0.0</v>
      </c>
    </row>
    <row r="147" ht="15.75" customHeight="1">
      <c r="A147" s="469"/>
      <c r="B147" s="76"/>
      <c r="C147" s="76"/>
      <c r="D147" s="76"/>
      <c r="E147" s="470"/>
      <c r="F147" s="76"/>
      <c r="G147" s="76"/>
      <c r="H147" s="76"/>
      <c r="I147" s="76"/>
      <c r="J147" s="76"/>
      <c r="K147" s="76"/>
      <c r="L147" s="76"/>
      <c r="M147" s="76"/>
      <c r="N147" s="76"/>
      <c r="O147" s="76"/>
      <c r="P147" s="1" t="s">
        <v>933</v>
      </c>
      <c r="Q147" s="1">
        <v>30.0</v>
      </c>
      <c r="R147" s="1" t="s">
        <v>295</v>
      </c>
      <c r="S147" s="1">
        <v>2.0</v>
      </c>
      <c r="T147" s="1">
        <v>0.0</v>
      </c>
      <c r="U147" s="9">
        <v>0.0</v>
      </c>
      <c r="V147" s="1">
        <v>1.0</v>
      </c>
      <c r="W147" s="1">
        <v>1.5</v>
      </c>
      <c r="X147" s="1">
        <v>0.6</v>
      </c>
      <c r="Y147" s="1">
        <v>2.4</v>
      </c>
      <c r="Z147" t="s">
        <v>928</v>
      </c>
      <c r="AA147" t="s">
        <v>578</v>
      </c>
      <c r="AB147">
        <v>0.0</v>
      </c>
    </row>
    <row r="148" ht="15.75" customHeight="1">
      <c r="A148" s="469"/>
      <c r="B148" s="76"/>
      <c r="C148" s="76"/>
      <c r="D148" s="76"/>
      <c r="E148" s="470"/>
      <c r="F148" s="76"/>
      <c r="G148" s="76"/>
      <c r="H148" s="76"/>
      <c r="I148" s="76"/>
      <c r="J148" s="76"/>
      <c r="K148" s="76"/>
      <c r="L148" s="76"/>
      <c r="M148" s="76"/>
      <c r="N148" s="76"/>
      <c r="O148" s="76"/>
      <c r="P148" s="1" t="s">
        <v>934</v>
      </c>
      <c r="Q148" s="1">
        <v>20.0</v>
      </c>
      <c r="R148" s="1" t="s">
        <v>935</v>
      </c>
      <c r="S148" s="1">
        <v>1.0</v>
      </c>
      <c r="T148" s="1">
        <v>0.0</v>
      </c>
      <c r="U148" s="9">
        <v>0.0</v>
      </c>
      <c r="V148" s="1">
        <v>1.0</v>
      </c>
      <c r="W148" s="1">
        <v>0.9</v>
      </c>
      <c r="X148" s="1">
        <v>0.6</v>
      </c>
      <c r="Y148" s="1">
        <v>3.0</v>
      </c>
      <c r="Z148" t="s">
        <v>928</v>
      </c>
      <c r="AA148" t="s">
        <v>581</v>
      </c>
      <c r="AB148">
        <v>0.0</v>
      </c>
    </row>
    <row r="149" ht="15.75" customHeight="1">
      <c r="A149" s="469"/>
      <c r="B149" s="76"/>
      <c r="C149" s="76"/>
      <c r="D149" s="76"/>
      <c r="E149" s="470"/>
      <c r="F149" s="76"/>
      <c r="G149" s="76"/>
      <c r="H149" s="76"/>
      <c r="I149" s="76"/>
      <c r="J149" s="76"/>
      <c r="K149" s="76"/>
      <c r="L149" s="76"/>
      <c r="M149" s="76"/>
      <c r="N149" s="76"/>
      <c r="O149" s="76"/>
      <c r="P149" s="1" t="s">
        <v>936</v>
      </c>
      <c r="Q149" s="1">
        <v>30.0</v>
      </c>
      <c r="R149" s="1" t="s">
        <v>937</v>
      </c>
      <c r="S149" s="1">
        <v>1.0</v>
      </c>
      <c r="T149" s="1">
        <v>0.0</v>
      </c>
      <c r="U149" s="9">
        <v>0.0</v>
      </c>
      <c r="V149" s="1">
        <v>1.0</v>
      </c>
      <c r="W149" s="1">
        <v>0.8</v>
      </c>
      <c r="X149" s="1">
        <v>0.6</v>
      </c>
      <c r="Y149" s="1">
        <v>3.0</v>
      </c>
      <c r="Z149" t="s">
        <v>928</v>
      </c>
      <c r="AA149" t="s">
        <v>586</v>
      </c>
      <c r="AB149">
        <v>0.0</v>
      </c>
    </row>
    <row r="150" ht="15.75" customHeight="1">
      <c r="A150" s="469"/>
      <c r="B150" s="76"/>
      <c r="C150" s="76"/>
      <c r="D150" s="76"/>
      <c r="E150" s="470"/>
      <c r="F150" s="76"/>
      <c r="G150" s="76"/>
      <c r="H150" s="76"/>
      <c r="I150" s="76"/>
      <c r="J150" s="76"/>
      <c r="K150" s="76"/>
      <c r="L150" s="76"/>
      <c r="M150" s="76"/>
      <c r="N150" s="76"/>
      <c r="O150" s="76"/>
      <c r="P150" s="1" t="s">
        <v>938</v>
      </c>
      <c r="Q150" s="1">
        <v>40.0</v>
      </c>
      <c r="R150" s="1" t="s">
        <v>939</v>
      </c>
      <c r="S150" s="1">
        <v>1.0</v>
      </c>
      <c r="T150" s="1">
        <v>0.0</v>
      </c>
      <c r="U150" s="9">
        <v>0.0</v>
      </c>
      <c r="V150" s="1">
        <v>1.0</v>
      </c>
      <c r="W150" s="1">
        <v>0.8</v>
      </c>
      <c r="X150" s="1">
        <v>0.6</v>
      </c>
      <c r="Y150" s="1">
        <v>3.0</v>
      </c>
      <c r="Z150" t="s">
        <v>940</v>
      </c>
      <c r="AA150" t="s">
        <v>591</v>
      </c>
      <c r="AB150">
        <v>0.0</v>
      </c>
    </row>
    <row r="151" ht="15.75" customHeight="1">
      <c r="A151" s="469"/>
      <c r="B151" s="76"/>
      <c r="C151" s="76"/>
      <c r="D151" s="76"/>
      <c r="E151" s="470"/>
      <c r="F151" s="76"/>
      <c r="G151" s="76"/>
      <c r="H151" s="76"/>
      <c r="I151" s="76"/>
      <c r="J151" s="76"/>
      <c r="K151" s="76"/>
      <c r="L151" s="76"/>
      <c r="M151" s="76"/>
      <c r="N151" s="76"/>
      <c r="O151" s="76"/>
      <c r="P151" s="1" t="s">
        <v>941</v>
      </c>
      <c r="Q151" s="1">
        <v>30.0</v>
      </c>
      <c r="R151" s="1" t="s">
        <v>942</v>
      </c>
      <c r="S151" s="1">
        <v>1.0</v>
      </c>
      <c r="T151" s="1">
        <v>0.0</v>
      </c>
      <c r="U151" s="9">
        <v>0.0</v>
      </c>
      <c r="V151" s="1">
        <v>1.0</v>
      </c>
      <c r="W151" s="1">
        <v>0.8</v>
      </c>
      <c r="X151" s="1">
        <v>0.6</v>
      </c>
      <c r="Y151" s="1">
        <v>3.0</v>
      </c>
      <c r="Z151" t="s">
        <v>943</v>
      </c>
      <c r="AA151" t="s">
        <v>595</v>
      </c>
      <c r="AB151">
        <v>0.0</v>
      </c>
    </row>
    <row r="152" ht="15.75" customHeight="1">
      <c r="A152" s="469"/>
      <c r="B152" s="76"/>
      <c r="C152" s="76"/>
      <c r="D152" s="76"/>
      <c r="E152" s="470"/>
      <c r="F152" s="76"/>
      <c r="G152" s="76"/>
      <c r="H152" s="76"/>
      <c r="I152" s="76"/>
      <c r="J152" s="76"/>
      <c r="K152" s="76"/>
      <c r="L152" s="76"/>
      <c r="M152" s="76"/>
      <c r="N152" s="76"/>
      <c r="O152" s="76"/>
      <c r="P152" s="1" t="s">
        <v>944</v>
      </c>
      <c r="Q152" s="1">
        <v>40.0</v>
      </c>
      <c r="R152" s="1" t="s">
        <v>945</v>
      </c>
      <c r="S152" s="1">
        <v>1.0</v>
      </c>
      <c r="T152" s="1">
        <v>0.0</v>
      </c>
      <c r="U152" s="9">
        <v>0.0</v>
      </c>
      <c r="V152" s="1">
        <v>1.0</v>
      </c>
      <c r="W152" s="1">
        <v>0.8</v>
      </c>
      <c r="X152" s="1">
        <v>0.6</v>
      </c>
      <c r="Y152" s="1">
        <v>3.0</v>
      </c>
      <c r="Z152" t="s">
        <v>946</v>
      </c>
      <c r="AA152" t="s">
        <v>123</v>
      </c>
      <c r="AB152">
        <v>0.0</v>
      </c>
    </row>
    <row r="153" ht="15.75" customHeight="1">
      <c r="A153" s="469"/>
      <c r="B153" s="76"/>
      <c r="C153" s="76"/>
      <c r="D153" s="76"/>
      <c r="E153" s="470"/>
      <c r="F153" s="76"/>
      <c r="G153" s="76"/>
      <c r="H153" s="76"/>
      <c r="I153" s="76"/>
      <c r="J153" s="76"/>
      <c r="K153" s="76"/>
      <c r="L153" s="76"/>
      <c r="M153" s="76"/>
      <c r="N153" s="76"/>
      <c r="O153" s="76"/>
      <c r="P153" s="1" t="s">
        <v>947</v>
      </c>
      <c r="Q153" s="1">
        <v>40.0</v>
      </c>
      <c r="R153" s="1" t="s">
        <v>948</v>
      </c>
      <c r="S153" s="1">
        <v>1.0</v>
      </c>
      <c r="T153" s="1">
        <v>0.0</v>
      </c>
      <c r="U153" s="9">
        <v>0.0</v>
      </c>
      <c r="V153" s="1">
        <v>1.0</v>
      </c>
      <c r="W153" s="1">
        <v>0.8</v>
      </c>
      <c r="X153" s="1">
        <v>0.6</v>
      </c>
      <c r="Y153" s="1">
        <v>3.0</v>
      </c>
      <c r="Z153" t="s">
        <v>949</v>
      </c>
      <c r="AA153" t="s">
        <v>605</v>
      </c>
      <c r="AB153">
        <v>0.0</v>
      </c>
    </row>
    <row r="154" ht="15.75" customHeight="1">
      <c r="A154" s="469"/>
      <c r="B154" s="76"/>
      <c r="C154" s="76"/>
      <c r="D154" s="76"/>
      <c r="E154" s="470"/>
      <c r="F154" s="76"/>
      <c r="G154" s="76"/>
      <c r="H154" s="76"/>
      <c r="I154" s="76"/>
      <c r="J154" s="76"/>
      <c r="K154" s="76"/>
      <c r="L154" s="76"/>
      <c r="M154" s="76"/>
      <c r="N154" s="76"/>
      <c r="O154" s="76"/>
      <c r="P154" s="1" t="s">
        <v>950</v>
      </c>
      <c r="Q154" s="1">
        <v>40.0</v>
      </c>
      <c r="R154" s="1" t="s">
        <v>236</v>
      </c>
      <c r="S154" s="1">
        <v>2.0</v>
      </c>
      <c r="T154" s="1">
        <v>0.0</v>
      </c>
      <c r="U154" s="9">
        <v>0.0</v>
      </c>
      <c r="V154" s="1">
        <v>1.0</v>
      </c>
      <c r="W154" s="1">
        <v>0.8</v>
      </c>
      <c r="X154" s="1">
        <v>0.6</v>
      </c>
      <c r="Y154" s="1">
        <v>3.0</v>
      </c>
      <c r="Z154" t="s">
        <v>951</v>
      </c>
      <c r="AA154" t="s">
        <v>611</v>
      </c>
      <c r="AB154">
        <v>0.0</v>
      </c>
    </row>
    <row r="155" ht="15.75" customHeight="1">
      <c r="A155" s="469"/>
      <c r="B155" s="76"/>
      <c r="C155" s="76"/>
      <c r="D155" s="76"/>
      <c r="E155" s="470"/>
      <c r="F155" s="76"/>
      <c r="G155" s="76"/>
      <c r="H155" s="76"/>
      <c r="I155" s="76"/>
      <c r="J155" s="76"/>
      <c r="K155" s="76"/>
      <c r="L155" s="76"/>
      <c r="M155" s="76"/>
      <c r="N155" s="76"/>
      <c r="O155" s="76"/>
      <c r="P155" s="1" t="s">
        <v>952</v>
      </c>
      <c r="Q155" s="1">
        <v>40.0</v>
      </c>
      <c r="R155" s="1" t="s">
        <v>237</v>
      </c>
      <c r="S155" s="1">
        <v>0.075</v>
      </c>
      <c r="T155" s="1">
        <v>0.0</v>
      </c>
      <c r="U155" s="9">
        <v>0.0</v>
      </c>
      <c r="V155" s="1">
        <v>1.0</v>
      </c>
      <c r="W155" s="1">
        <v>2.0</v>
      </c>
      <c r="X155" s="1">
        <v>0.5</v>
      </c>
      <c r="Y155" s="1">
        <v>2.6</v>
      </c>
      <c r="Z155" t="s">
        <v>953</v>
      </c>
      <c r="AA155" t="s">
        <v>618</v>
      </c>
      <c r="AB155">
        <v>0.0</v>
      </c>
    </row>
    <row r="156" ht="15.75" customHeight="1">
      <c r="A156" s="469"/>
      <c r="B156" s="76"/>
      <c r="C156" s="76"/>
      <c r="D156" s="76"/>
      <c r="E156" s="470"/>
      <c r="F156" s="76"/>
      <c r="G156" s="76"/>
      <c r="H156" s="76"/>
      <c r="I156" s="76"/>
      <c r="J156" s="76"/>
      <c r="K156" s="76"/>
      <c r="L156" s="76"/>
      <c r="M156" s="76"/>
      <c r="N156" s="76"/>
      <c r="O156" s="76"/>
      <c r="P156" s="1" t="s">
        <v>954</v>
      </c>
      <c r="Q156" s="1">
        <v>40.0</v>
      </c>
      <c r="R156" s="1" t="s">
        <v>955</v>
      </c>
      <c r="S156" s="1">
        <v>0.0025</v>
      </c>
      <c r="T156" s="1">
        <v>0.0</v>
      </c>
      <c r="U156" s="9">
        <v>0.0</v>
      </c>
      <c r="V156" s="1">
        <v>1.0</v>
      </c>
      <c r="W156" s="1">
        <v>2.0</v>
      </c>
      <c r="X156" s="1">
        <v>0.5</v>
      </c>
      <c r="Y156" s="1">
        <v>2.6</v>
      </c>
      <c r="Z156" t="s">
        <v>956</v>
      </c>
      <c r="AA156" t="s">
        <v>622</v>
      </c>
      <c r="AB156">
        <v>0.0</v>
      </c>
    </row>
    <row r="157" ht="15.75" customHeight="1">
      <c r="A157" s="469"/>
      <c r="B157" s="76"/>
      <c r="C157" s="76"/>
      <c r="D157" s="76"/>
      <c r="E157" s="470"/>
      <c r="F157" s="76"/>
      <c r="G157" s="76"/>
      <c r="H157" s="76"/>
      <c r="I157" s="76"/>
      <c r="J157" s="76"/>
      <c r="K157" s="76"/>
      <c r="L157" s="76"/>
      <c r="M157" s="76"/>
      <c r="N157" s="76"/>
      <c r="O157" s="76"/>
      <c r="P157" s="1" t="s">
        <v>957</v>
      </c>
      <c r="Q157" s="1">
        <v>40.0</v>
      </c>
      <c r="R157" s="1" t="s">
        <v>188</v>
      </c>
      <c r="S157" s="1">
        <v>0.005</v>
      </c>
      <c r="T157" s="1">
        <v>0.0</v>
      </c>
      <c r="U157" s="9">
        <v>0.0</v>
      </c>
      <c r="V157" s="1">
        <v>1.0</v>
      </c>
      <c r="W157" s="1">
        <v>2.0</v>
      </c>
      <c r="X157" s="1">
        <v>1.4</v>
      </c>
      <c r="Y157" s="1">
        <v>3.0</v>
      </c>
      <c r="Z157" t="s">
        <v>958</v>
      </c>
      <c r="AA157" t="s">
        <v>626</v>
      </c>
      <c r="AB157">
        <v>0.0</v>
      </c>
    </row>
    <row r="158" ht="15.75" customHeight="1">
      <c r="A158" s="469"/>
      <c r="B158" s="76"/>
      <c r="C158" s="76"/>
      <c r="D158" s="76"/>
      <c r="E158" s="470"/>
      <c r="F158" s="76"/>
      <c r="G158" s="76"/>
      <c r="H158" s="76"/>
      <c r="I158" s="76"/>
      <c r="J158" s="76"/>
      <c r="K158" s="76"/>
      <c r="L158" s="76"/>
      <c r="M158" s="76"/>
      <c r="N158" s="76"/>
      <c r="O158" s="76"/>
      <c r="P158" s="1" t="s">
        <v>959</v>
      </c>
      <c r="Q158" s="1">
        <v>50.0</v>
      </c>
      <c r="R158" s="1" t="s">
        <v>960</v>
      </c>
      <c r="S158" s="1">
        <v>0.01</v>
      </c>
      <c r="T158" s="1">
        <v>0.0</v>
      </c>
      <c r="U158" s="9">
        <v>0.0</v>
      </c>
      <c r="V158" s="1">
        <v>1.0</v>
      </c>
      <c r="W158" s="1">
        <v>1.0</v>
      </c>
      <c r="X158" s="1">
        <v>0.8</v>
      </c>
      <c r="Y158" s="1">
        <v>2.6</v>
      </c>
      <c r="Z158" t="s">
        <v>961</v>
      </c>
      <c r="AA158" t="s">
        <v>123</v>
      </c>
      <c r="AB158">
        <v>0.0</v>
      </c>
    </row>
    <row r="159" ht="15.75" customHeight="1">
      <c r="A159" s="469"/>
      <c r="B159" s="76"/>
      <c r="C159" s="76"/>
      <c r="D159" s="76"/>
      <c r="E159" s="470"/>
      <c r="F159" s="76"/>
      <c r="G159" s="76"/>
      <c r="H159" s="76"/>
      <c r="I159" s="76"/>
      <c r="J159" s="76"/>
      <c r="K159" s="76"/>
      <c r="L159" s="76"/>
      <c r="M159" s="76"/>
      <c r="N159" s="76"/>
      <c r="O159" s="76"/>
      <c r="P159" s="1" t="s">
        <v>962</v>
      </c>
      <c r="Q159" s="1">
        <v>50.0</v>
      </c>
      <c r="R159" s="1" t="s">
        <v>282</v>
      </c>
      <c r="S159" s="1">
        <v>0.005</v>
      </c>
      <c r="T159" s="1">
        <v>0.0</v>
      </c>
      <c r="U159" s="9">
        <v>0.0</v>
      </c>
      <c r="V159" s="1">
        <v>1.0</v>
      </c>
      <c r="W159" s="1">
        <v>1.6</v>
      </c>
      <c r="X159" s="1">
        <v>0.5</v>
      </c>
      <c r="Y159" s="1">
        <v>2.1</v>
      </c>
      <c r="Z159" t="s">
        <v>963</v>
      </c>
      <c r="AA159" t="s">
        <v>123</v>
      </c>
      <c r="AB159">
        <v>0.0</v>
      </c>
    </row>
    <row r="160" ht="15.75" customHeight="1">
      <c r="A160" s="469"/>
      <c r="B160" s="76"/>
      <c r="C160" s="76"/>
      <c r="D160" s="76"/>
      <c r="E160" s="470"/>
      <c r="F160" s="76"/>
      <c r="G160" s="76"/>
      <c r="H160" s="76"/>
      <c r="I160" s="76"/>
      <c r="J160" s="76"/>
      <c r="K160" s="76"/>
      <c r="L160" s="76"/>
      <c r="M160" s="76"/>
      <c r="N160" s="76"/>
      <c r="O160" s="76"/>
      <c r="P160" s="1" t="s">
        <v>964</v>
      </c>
      <c r="Q160" s="1">
        <v>40.0</v>
      </c>
      <c r="R160" s="1" t="s">
        <v>149</v>
      </c>
      <c r="S160" s="1">
        <v>0.005</v>
      </c>
      <c r="T160" s="1">
        <v>0.0</v>
      </c>
      <c r="U160" s="9">
        <v>0.0</v>
      </c>
      <c r="V160" s="1">
        <v>1.0</v>
      </c>
      <c r="W160" s="1">
        <v>3.0</v>
      </c>
      <c r="X160" s="1">
        <v>0.8</v>
      </c>
      <c r="Y160" s="1">
        <v>2.5</v>
      </c>
      <c r="Z160" t="s">
        <v>965</v>
      </c>
      <c r="AA160" t="s">
        <v>123</v>
      </c>
      <c r="AB160">
        <v>0.0</v>
      </c>
    </row>
    <row r="161" ht="15.75" customHeight="1">
      <c r="A161" s="469"/>
      <c r="B161" s="76"/>
      <c r="C161" s="76"/>
      <c r="D161" s="76"/>
      <c r="E161" s="470"/>
      <c r="F161" s="76"/>
      <c r="G161" s="76"/>
      <c r="H161" s="76"/>
      <c r="I161" s="76"/>
      <c r="J161" s="76"/>
      <c r="K161" s="76"/>
      <c r="L161" s="76"/>
      <c r="M161" s="76"/>
      <c r="N161" s="76"/>
      <c r="O161" s="76"/>
      <c r="P161" s="1" t="s">
        <v>966</v>
      </c>
      <c r="Q161" s="1">
        <v>40.0</v>
      </c>
      <c r="R161" s="1" t="s">
        <v>342</v>
      </c>
      <c r="S161" s="1">
        <v>0.005</v>
      </c>
      <c r="T161" s="1">
        <v>0.0</v>
      </c>
      <c r="U161" s="9">
        <v>0.0</v>
      </c>
      <c r="V161" s="1">
        <v>1.0</v>
      </c>
      <c r="W161" s="1">
        <v>3.0</v>
      </c>
      <c r="X161" s="1">
        <v>0.8</v>
      </c>
      <c r="Y161" s="1">
        <v>2.5</v>
      </c>
      <c r="Z161" t="s">
        <v>967</v>
      </c>
      <c r="AA161" t="s">
        <v>123</v>
      </c>
      <c r="AB161">
        <v>0.0</v>
      </c>
    </row>
    <row r="162" ht="15.75" customHeight="1">
      <c r="A162" s="469"/>
      <c r="B162" s="76"/>
      <c r="C162" s="76"/>
      <c r="D162" s="76"/>
      <c r="E162" s="470"/>
      <c r="F162" s="76"/>
      <c r="G162" s="76"/>
      <c r="H162" s="76"/>
      <c r="I162" s="76"/>
      <c r="J162" s="76"/>
      <c r="K162" s="76"/>
      <c r="L162" s="76"/>
      <c r="M162" s="76"/>
      <c r="N162" s="76"/>
      <c r="O162" s="76"/>
      <c r="P162" s="1" t="s">
        <v>968</v>
      </c>
      <c r="Q162" s="1">
        <v>40.0</v>
      </c>
      <c r="R162" s="1" t="s">
        <v>969</v>
      </c>
      <c r="S162" s="1">
        <v>0.001</v>
      </c>
      <c r="T162" s="1">
        <v>0.0</v>
      </c>
      <c r="U162" s="9">
        <v>0.0</v>
      </c>
      <c r="V162" s="1">
        <v>1.0</v>
      </c>
      <c r="W162" s="1">
        <v>3.0</v>
      </c>
      <c r="X162" s="1">
        <v>0.8</v>
      </c>
      <c r="Y162" s="1">
        <v>2.5</v>
      </c>
      <c r="Z162" t="s">
        <v>970</v>
      </c>
      <c r="AA162" t="s">
        <v>658</v>
      </c>
      <c r="AB162">
        <v>0.0</v>
      </c>
    </row>
    <row r="163" ht="15.75" customHeight="1">
      <c r="A163" s="469"/>
      <c r="B163" s="76"/>
      <c r="C163" s="76"/>
      <c r="D163" s="76"/>
      <c r="E163" s="470"/>
      <c r="F163" s="76"/>
      <c r="G163" s="76"/>
      <c r="H163" s="76"/>
      <c r="I163" s="76"/>
      <c r="J163" s="76"/>
      <c r="K163" s="76"/>
      <c r="L163" s="76"/>
      <c r="M163" s="76"/>
      <c r="N163" s="76"/>
      <c r="O163" s="76"/>
      <c r="P163" s="1" t="s">
        <v>971</v>
      </c>
      <c r="Q163" s="1">
        <v>40.0</v>
      </c>
      <c r="R163" s="1" t="s">
        <v>972</v>
      </c>
      <c r="S163" s="1">
        <v>0.001</v>
      </c>
      <c r="T163" s="1">
        <v>0.0</v>
      </c>
      <c r="U163" s="9">
        <v>0.0</v>
      </c>
      <c r="V163" s="1">
        <v>1.0</v>
      </c>
      <c r="W163" s="1">
        <v>3.0</v>
      </c>
      <c r="X163" s="1">
        <v>0.8</v>
      </c>
      <c r="Y163" s="1">
        <v>2.5</v>
      </c>
      <c r="Z163" t="s">
        <v>973</v>
      </c>
      <c r="AA163" t="s">
        <v>665</v>
      </c>
      <c r="AB163">
        <v>0.0</v>
      </c>
    </row>
    <row r="164" ht="15.75" customHeight="1">
      <c r="A164" s="469"/>
      <c r="B164" s="76"/>
      <c r="C164" s="76"/>
      <c r="D164" s="76"/>
      <c r="E164" s="470"/>
      <c r="F164" s="76"/>
      <c r="G164" s="76"/>
      <c r="H164" s="76"/>
      <c r="I164" s="76"/>
      <c r="J164" s="76"/>
      <c r="K164" s="76"/>
      <c r="L164" s="76"/>
      <c r="M164" s="76"/>
      <c r="N164" s="76"/>
      <c r="O164" s="76"/>
      <c r="P164" s="1" t="s">
        <v>974</v>
      </c>
      <c r="Q164" s="1">
        <v>40.0</v>
      </c>
      <c r="R164" s="1" t="s">
        <v>304</v>
      </c>
      <c r="S164" s="1">
        <v>0.002</v>
      </c>
      <c r="T164" s="1">
        <v>0.0</v>
      </c>
      <c r="U164" s="9">
        <v>0.0</v>
      </c>
      <c r="V164" s="1">
        <v>1.0</v>
      </c>
      <c r="W164" s="1">
        <v>3.0</v>
      </c>
      <c r="X164" s="1">
        <v>0.8</v>
      </c>
      <c r="Y164" s="1">
        <v>2.5</v>
      </c>
      <c r="Z164" t="s">
        <v>975</v>
      </c>
      <c r="AA164" t="s">
        <v>123</v>
      </c>
      <c r="AB164">
        <v>0.0</v>
      </c>
    </row>
    <row r="165" ht="15.75" customHeight="1">
      <c r="A165" s="469"/>
      <c r="B165" s="76"/>
      <c r="C165" s="76"/>
      <c r="D165" s="76"/>
      <c r="E165" s="470"/>
      <c r="F165" s="76"/>
      <c r="G165" s="76"/>
      <c r="H165" s="76"/>
      <c r="I165" s="76"/>
      <c r="J165" s="76"/>
      <c r="K165" s="76"/>
      <c r="L165" s="76"/>
      <c r="M165" s="76"/>
      <c r="N165" s="76"/>
      <c r="O165" s="76"/>
      <c r="P165" s="1" t="s">
        <v>976</v>
      </c>
      <c r="Q165" s="1">
        <v>40.0</v>
      </c>
      <c r="R165" s="1" t="s">
        <v>977</v>
      </c>
      <c r="S165" s="1">
        <v>0.0025</v>
      </c>
      <c r="T165" s="1">
        <v>0.0</v>
      </c>
      <c r="U165" s="9">
        <v>0.0</v>
      </c>
      <c r="V165" s="1">
        <v>1.0</v>
      </c>
      <c r="W165" s="1">
        <v>2.0</v>
      </c>
      <c r="X165" s="1">
        <v>0.5</v>
      </c>
      <c r="Y165" s="1">
        <v>2.6</v>
      </c>
      <c r="Z165" t="s">
        <v>978</v>
      </c>
      <c r="AA165" t="s">
        <v>673</v>
      </c>
      <c r="AB165">
        <v>0.0</v>
      </c>
    </row>
    <row r="166" ht="15.75" customHeight="1">
      <c r="A166" s="469"/>
      <c r="B166" s="76"/>
      <c r="C166" s="76"/>
      <c r="D166" s="76"/>
      <c r="E166" s="470"/>
      <c r="F166" s="76"/>
      <c r="G166" s="76"/>
      <c r="H166" s="76"/>
      <c r="I166" s="76"/>
      <c r="J166" s="76"/>
      <c r="K166" s="76"/>
      <c r="L166" s="76"/>
      <c r="M166" s="76"/>
      <c r="N166" s="76"/>
      <c r="O166" s="76"/>
      <c r="P166" s="1" t="s">
        <v>979</v>
      </c>
      <c r="Q166" s="1">
        <v>40.0</v>
      </c>
      <c r="R166" s="1" t="s">
        <v>980</v>
      </c>
      <c r="S166" s="1">
        <v>0.02</v>
      </c>
      <c r="T166" s="1">
        <v>0.0</v>
      </c>
      <c r="U166" s="9">
        <v>0.0</v>
      </c>
      <c r="V166" s="1">
        <v>1.0</v>
      </c>
      <c r="W166" s="1">
        <v>0.8</v>
      </c>
      <c r="X166" s="1">
        <v>0.5</v>
      </c>
      <c r="Y166" s="1">
        <v>3.0</v>
      </c>
      <c r="Z166" t="s">
        <v>981</v>
      </c>
      <c r="AA166" t="s">
        <v>691</v>
      </c>
      <c r="AB166">
        <v>0.0</v>
      </c>
    </row>
    <row r="167" ht="15.75" customHeight="1">
      <c r="A167" s="469"/>
      <c r="B167" s="76"/>
      <c r="C167" s="76"/>
      <c r="D167" s="76"/>
      <c r="E167" s="470"/>
      <c r="F167" s="76"/>
      <c r="G167" s="76"/>
      <c r="H167" s="76"/>
      <c r="I167" s="76"/>
      <c r="J167" s="76"/>
      <c r="K167" s="76"/>
      <c r="L167" s="76"/>
      <c r="M167" s="76"/>
      <c r="N167" s="76"/>
      <c r="O167" s="76"/>
      <c r="P167" s="1" t="s">
        <v>982</v>
      </c>
      <c r="Q167" s="1">
        <v>40.0</v>
      </c>
      <c r="R167" s="1" t="s">
        <v>983</v>
      </c>
      <c r="S167" s="1">
        <v>0.02</v>
      </c>
      <c r="T167" s="1">
        <v>0.0</v>
      </c>
      <c r="U167" s="9">
        <v>0.0</v>
      </c>
      <c r="V167" s="1">
        <v>1.0</v>
      </c>
      <c r="W167" s="1">
        <v>0.8</v>
      </c>
      <c r="X167" s="1">
        <v>0.5</v>
      </c>
      <c r="Y167" s="1">
        <v>2.6</v>
      </c>
      <c r="Z167" t="s">
        <v>984</v>
      </c>
      <c r="AA167" t="s">
        <v>695</v>
      </c>
      <c r="AB167">
        <v>0.0</v>
      </c>
    </row>
    <row r="168" ht="15.75" customHeight="1">
      <c r="A168" s="469"/>
      <c r="B168" s="76"/>
      <c r="C168" s="76"/>
      <c r="D168" s="76"/>
      <c r="E168" s="470"/>
      <c r="F168" s="76"/>
      <c r="G168" s="76"/>
      <c r="H168" s="76"/>
      <c r="I168" s="76"/>
      <c r="J168" s="76"/>
      <c r="K168" s="76"/>
      <c r="L168" s="76"/>
      <c r="M168" s="76"/>
      <c r="N168" s="76"/>
      <c r="O168" s="76"/>
      <c r="P168" s="1" t="s">
        <v>985</v>
      </c>
      <c r="Q168" s="1">
        <v>50.0</v>
      </c>
      <c r="R168" s="1" t="s">
        <v>986</v>
      </c>
      <c r="S168" s="1">
        <v>0.01</v>
      </c>
      <c r="T168" s="1">
        <v>0.0</v>
      </c>
      <c r="U168" s="9">
        <v>0.0</v>
      </c>
      <c r="V168" s="1">
        <v>1.0</v>
      </c>
      <c r="W168" s="1">
        <v>0.8</v>
      </c>
      <c r="X168" s="1">
        <v>0.5</v>
      </c>
      <c r="Y168" s="1">
        <v>3.0</v>
      </c>
      <c r="AB168">
        <v>0.0</v>
      </c>
    </row>
    <row r="169" ht="15.75" customHeight="1">
      <c r="A169" s="469"/>
      <c r="B169" s="76"/>
      <c r="C169" s="76"/>
      <c r="D169" s="76"/>
      <c r="E169" s="470"/>
      <c r="F169" s="76"/>
      <c r="G169" s="76"/>
      <c r="H169" s="76"/>
      <c r="I169" s="76"/>
      <c r="J169" s="76"/>
      <c r="K169" s="76"/>
      <c r="L169" s="76"/>
      <c r="M169" s="76"/>
      <c r="N169" s="76"/>
      <c r="O169" s="76"/>
      <c r="P169" s="1" t="s">
        <v>987</v>
      </c>
      <c r="Q169" s="1">
        <v>40.0</v>
      </c>
      <c r="R169" s="1" t="s">
        <v>130</v>
      </c>
      <c r="S169" s="1">
        <v>1.0E-4</v>
      </c>
      <c r="T169" s="1">
        <v>0.0</v>
      </c>
      <c r="U169" s="9">
        <v>0.0</v>
      </c>
      <c r="V169" s="1">
        <v>1.0</v>
      </c>
      <c r="W169" s="1">
        <v>2.0</v>
      </c>
      <c r="X169" s="1">
        <v>0.5</v>
      </c>
      <c r="Y169" s="1">
        <v>2.6</v>
      </c>
    </row>
    <row r="170" ht="15.75" customHeight="1">
      <c r="A170" s="469"/>
      <c r="B170" s="76"/>
      <c r="C170" s="76"/>
      <c r="D170" s="76"/>
      <c r="E170" s="470"/>
      <c r="F170" s="76"/>
      <c r="G170" s="76"/>
      <c r="H170" s="76"/>
      <c r="I170" s="76"/>
      <c r="J170" s="76"/>
      <c r="K170" s="76"/>
      <c r="L170" s="76"/>
      <c r="M170" s="76"/>
      <c r="N170" s="76"/>
      <c r="O170" s="76"/>
      <c r="P170" s="1" t="s">
        <v>988</v>
      </c>
      <c r="Q170" s="1">
        <v>40.0</v>
      </c>
      <c r="R170" s="1" t="s">
        <v>989</v>
      </c>
      <c r="S170" s="1">
        <v>0.225</v>
      </c>
      <c r="T170" s="1">
        <v>0.0</v>
      </c>
      <c r="U170" s="9">
        <v>0.0</v>
      </c>
      <c r="V170" s="1">
        <v>1.0</v>
      </c>
      <c r="W170" s="1">
        <v>3.0</v>
      </c>
      <c r="X170" s="1">
        <v>2.0</v>
      </c>
      <c r="Y170" s="1">
        <v>3.0</v>
      </c>
    </row>
    <row r="171" ht="15.75" customHeight="1">
      <c r="A171" s="469"/>
      <c r="B171" s="76"/>
      <c r="C171" s="76"/>
      <c r="D171" s="76"/>
      <c r="E171" s="470"/>
      <c r="F171" s="76"/>
      <c r="G171" s="76"/>
      <c r="H171" s="76"/>
      <c r="I171" s="76"/>
      <c r="J171" s="76"/>
      <c r="K171" s="76"/>
      <c r="L171" s="76"/>
      <c r="M171" s="76"/>
      <c r="N171" s="76"/>
      <c r="O171" s="76"/>
      <c r="P171" s="1" t="s">
        <v>990</v>
      </c>
      <c r="Q171" s="1">
        <v>40.0</v>
      </c>
      <c r="R171" s="1" t="s">
        <v>991</v>
      </c>
      <c r="S171" s="1">
        <v>0.225</v>
      </c>
      <c r="T171" s="1">
        <v>0.0</v>
      </c>
      <c r="U171" s="9">
        <v>0.0</v>
      </c>
      <c r="V171" s="1">
        <v>1.0</v>
      </c>
      <c r="W171" s="1">
        <v>3.0</v>
      </c>
      <c r="X171" s="1">
        <v>2.0</v>
      </c>
      <c r="Y171" s="1">
        <v>3.0</v>
      </c>
    </row>
    <row r="172" ht="15.75" customHeight="1">
      <c r="A172" s="469"/>
      <c r="B172" s="76"/>
      <c r="C172" s="76"/>
      <c r="D172" s="76"/>
      <c r="E172" s="470"/>
      <c r="F172" s="76"/>
      <c r="G172" s="76"/>
      <c r="H172" s="76"/>
      <c r="I172" s="76"/>
      <c r="J172" s="76"/>
      <c r="K172" s="76"/>
      <c r="L172" s="76"/>
      <c r="M172" s="76"/>
      <c r="N172" s="76"/>
      <c r="O172" s="76"/>
      <c r="P172" s="1" t="s">
        <v>992</v>
      </c>
      <c r="Q172" s="1">
        <v>50.0</v>
      </c>
      <c r="R172" s="1" t="s">
        <v>993</v>
      </c>
      <c r="S172" s="1">
        <v>0.005</v>
      </c>
      <c r="T172" s="1">
        <v>0.0</v>
      </c>
      <c r="U172" s="9">
        <v>0.0</v>
      </c>
      <c r="V172" s="1">
        <v>1.0</v>
      </c>
      <c r="W172" s="1">
        <v>3.0</v>
      </c>
      <c r="X172" s="1">
        <v>2.0</v>
      </c>
      <c r="Y172" s="1">
        <v>3.0</v>
      </c>
    </row>
    <row r="173" ht="15.75" customHeight="1">
      <c r="A173" s="469"/>
      <c r="B173" s="76"/>
      <c r="C173" s="76"/>
      <c r="D173" s="76"/>
      <c r="E173" s="470"/>
      <c r="F173" s="76"/>
      <c r="G173" s="76"/>
      <c r="H173" s="76"/>
      <c r="I173" s="76"/>
      <c r="J173" s="76"/>
      <c r="K173" s="76"/>
      <c r="L173" s="76"/>
      <c r="M173" s="76"/>
      <c r="N173" s="76"/>
      <c r="O173" s="76"/>
      <c r="P173" s="1" t="s">
        <v>994</v>
      </c>
      <c r="Q173" s="1">
        <v>40.0</v>
      </c>
      <c r="R173" s="1" t="s">
        <v>995</v>
      </c>
      <c r="S173" s="1">
        <v>0.02</v>
      </c>
      <c r="T173" s="1">
        <v>0.0</v>
      </c>
      <c r="U173" s="9">
        <v>0.0</v>
      </c>
      <c r="V173" s="1">
        <v>1.0</v>
      </c>
      <c r="W173" s="1">
        <v>2.0</v>
      </c>
      <c r="X173" s="1">
        <v>0.5</v>
      </c>
      <c r="Y173" s="1">
        <v>2.6</v>
      </c>
    </row>
    <row r="174" ht="15.75" customHeight="1">
      <c r="A174" s="469"/>
      <c r="B174" s="76"/>
      <c r="C174" s="76"/>
      <c r="D174" s="76"/>
      <c r="E174" s="470"/>
      <c r="F174" s="76"/>
      <c r="G174" s="76"/>
      <c r="H174" s="76"/>
      <c r="I174" s="76"/>
      <c r="J174" s="76"/>
      <c r="K174" s="76"/>
      <c r="L174" s="76"/>
      <c r="M174" s="76"/>
      <c r="N174" s="76"/>
      <c r="O174" s="76"/>
      <c r="P174" s="1" t="s">
        <v>996</v>
      </c>
      <c r="Q174" s="1">
        <v>60.0</v>
      </c>
      <c r="R174" s="1" t="s">
        <v>997</v>
      </c>
      <c r="S174" s="1">
        <v>1.0</v>
      </c>
      <c r="T174" s="1">
        <v>0.0</v>
      </c>
      <c r="U174" s="9">
        <v>0.0</v>
      </c>
      <c r="V174" s="1">
        <v>1.0</v>
      </c>
      <c r="W174" s="1">
        <v>2.0</v>
      </c>
      <c r="X174" s="1">
        <v>0.5</v>
      </c>
      <c r="Y174" s="1">
        <v>2.6</v>
      </c>
    </row>
    <row r="175" ht="15.75" customHeight="1">
      <c r="A175" s="469"/>
      <c r="B175" s="76"/>
      <c r="C175" s="76"/>
      <c r="D175" s="76"/>
      <c r="E175" s="470"/>
      <c r="F175" s="76"/>
      <c r="G175" s="76"/>
      <c r="H175" s="76"/>
      <c r="I175" s="76"/>
      <c r="J175" s="76"/>
      <c r="K175" s="76"/>
      <c r="L175" s="76"/>
      <c r="M175" s="76"/>
      <c r="N175" s="76"/>
      <c r="O175" s="76"/>
    </row>
    <row r="176" ht="15.75" customHeight="1">
      <c r="A176" s="469"/>
      <c r="B176" s="76"/>
      <c r="C176" s="76"/>
      <c r="D176" s="76"/>
      <c r="E176" s="470"/>
      <c r="F176" s="76"/>
      <c r="G176" s="76"/>
      <c r="H176" s="76"/>
      <c r="I176" s="76"/>
      <c r="J176" s="76"/>
      <c r="K176" s="76"/>
      <c r="L176" s="76"/>
      <c r="M176" s="76"/>
      <c r="N176" s="76"/>
      <c r="O176" s="76"/>
    </row>
    <row r="177" ht="15.75" customHeight="1">
      <c r="A177" s="469"/>
      <c r="B177" s="76"/>
      <c r="C177" s="76"/>
      <c r="D177" s="76"/>
      <c r="E177" s="470"/>
      <c r="F177" s="76"/>
      <c r="G177" s="76"/>
      <c r="H177" s="76"/>
      <c r="I177" s="76"/>
      <c r="J177" s="76"/>
      <c r="K177" s="76"/>
      <c r="L177" s="76"/>
      <c r="M177" s="76"/>
      <c r="N177" s="76"/>
      <c r="O177" s="76"/>
    </row>
    <row r="178" ht="15.75" customHeight="1">
      <c r="A178" s="469"/>
      <c r="B178" s="76"/>
      <c r="C178" s="76"/>
      <c r="D178" s="76"/>
      <c r="E178" s="470"/>
      <c r="F178" s="76"/>
      <c r="G178" s="76"/>
      <c r="H178" s="76"/>
      <c r="I178" s="76"/>
      <c r="J178" s="76"/>
      <c r="K178" s="76"/>
      <c r="L178" s="76"/>
      <c r="M178" s="76"/>
      <c r="N178" s="76"/>
      <c r="O178" s="76"/>
    </row>
    <row r="179" ht="15.75" customHeight="1">
      <c r="A179" s="469"/>
      <c r="B179" s="76"/>
      <c r="C179" s="76"/>
      <c r="D179" s="76"/>
      <c r="E179" s="470"/>
      <c r="F179" s="76"/>
      <c r="G179" s="76"/>
      <c r="H179" s="76"/>
      <c r="I179" s="76"/>
      <c r="J179" s="76"/>
      <c r="K179" s="76"/>
      <c r="L179" s="76"/>
      <c r="M179" s="76"/>
      <c r="N179" s="76"/>
      <c r="O179" s="76"/>
    </row>
    <row r="180" ht="15.75" customHeight="1">
      <c r="A180" s="469"/>
      <c r="B180" s="76"/>
      <c r="C180" s="76"/>
      <c r="D180" s="76"/>
      <c r="E180" s="470"/>
      <c r="F180" s="76"/>
      <c r="G180" s="76"/>
      <c r="H180" s="76"/>
      <c r="I180" s="76"/>
      <c r="J180" s="76"/>
      <c r="K180" s="76"/>
      <c r="L180" s="76"/>
      <c r="M180" s="76"/>
      <c r="N180" s="76"/>
      <c r="O180" s="76"/>
    </row>
    <row r="181" ht="15.75" customHeight="1">
      <c r="A181" s="469"/>
      <c r="B181" s="76"/>
      <c r="C181" s="76"/>
      <c r="D181" s="76"/>
      <c r="E181" s="470"/>
      <c r="F181" s="76"/>
      <c r="G181" s="76"/>
      <c r="H181" s="76"/>
      <c r="I181" s="76"/>
      <c r="J181" s="76"/>
      <c r="K181" s="76"/>
      <c r="L181" s="76"/>
      <c r="M181" s="76"/>
      <c r="N181" s="76"/>
      <c r="O181" s="76"/>
    </row>
    <row r="182" ht="15.75" customHeight="1">
      <c r="A182" s="469"/>
      <c r="B182" s="76"/>
      <c r="C182" s="76"/>
      <c r="D182" s="76"/>
      <c r="E182" s="470"/>
      <c r="F182" s="76"/>
      <c r="G182" s="76"/>
      <c r="H182" s="76"/>
      <c r="I182" s="76"/>
      <c r="J182" s="76"/>
      <c r="K182" s="76"/>
      <c r="L182" s="76"/>
      <c r="M182" s="76"/>
      <c r="N182" s="76"/>
      <c r="O182" s="76"/>
    </row>
    <row r="183" ht="15.75" customHeight="1">
      <c r="A183" s="469"/>
      <c r="B183" s="76"/>
      <c r="C183" s="76"/>
      <c r="D183" s="76"/>
      <c r="E183" s="470"/>
      <c r="F183" s="76"/>
      <c r="G183" s="76"/>
      <c r="H183" s="76"/>
      <c r="I183" s="76"/>
      <c r="J183" s="76"/>
      <c r="K183" s="76"/>
      <c r="L183" s="76"/>
      <c r="M183" s="76"/>
      <c r="N183" s="76"/>
      <c r="O183" s="76"/>
    </row>
    <row r="184" ht="15.75" customHeight="1">
      <c r="A184" s="469"/>
      <c r="B184" s="76"/>
      <c r="C184" s="76"/>
      <c r="D184" s="76"/>
      <c r="E184" s="470"/>
      <c r="F184" s="76"/>
      <c r="G184" s="76"/>
      <c r="H184" s="76"/>
      <c r="I184" s="76"/>
      <c r="J184" s="76"/>
      <c r="K184" s="76"/>
      <c r="L184" s="76"/>
      <c r="M184" s="76"/>
      <c r="N184" s="76"/>
      <c r="O184" s="76"/>
    </row>
    <row r="185" ht="15.75" customHeight="1">
      <c r="A185" s="469"/>
      <c r="B185" s="76"/>
      <c r="C185" s="76"/>
      <c r="D185" s="76"/>
      <c r="E185" s="470"/>
      <c r="F185" s="76"/>
      <c r="G185" s="76"/>
      <c r="H185" s="76"/>
      <c r="I185" s="76"/>
      <c r="J185" s="76"/>
      <c r="K185" s="76"/>
      <c r="L185" s="76"/>
      <c r="M185" s="76"/>
      <c r="N185" s="76"/>
      <c r="O185" s="76"/>
    </row>
    <row r="186" ht="15.75" customHeight="1">
      <c r="A186" s="469"/>
      <c r="B186" s="76"/>
      <c r="C186" s="76"/>
      <c r="D186" s="76"/>
      <c r="E186" s="470"/>
      <c r="F186" s="76"/>
      <c r="G186" s="76"/>
      <c r="H186" s="76"/>
      <c r="I186" s="76"/>
      <c r="J186" s="76"/>
      <c r="K186" s="76"/>
      <c r="L186" s="76"/>
      <c r="M186" s="76"/>
      <c r="N186" s="76"/>
      <c r="O186" s="76"/>
    </row>
    <row r="187" ht="15.75" customHeight="1">
      <c r="A187" s="469"/>
      <c r="B187" s="76"/>
      <c r="C187" s="76"/>
      <c r="D187" s="76"/>
      <c r="E187" s="470"/>
      <c r="F187" s="76"/>
      <c r="G187" s="76"/>
      <c r="H187" s="76"/>
      <c r="I187" s="76"/>
      <c r="J187" s="76"/>
      <c r="K187" s="76"/>
      <c r="L187" s="76"/>
      <c r="M187" s="76"/>
      <c r="N187" s="76"/>
      <c r="O187" s="76"/>
    </row>
    <row r="188" ht="15.75" customHeight="1">
      <c r="A188" s="469"/>
      <c r="B188" s="76"/>
      <c r="C188" s="76"/>
      <c r="D188" s="76"/>
      <c r="E188" s="470"/>
      <c r="F188" s="76"/>
      <c r="G188" s="76"/>
      <c r="H188" s="76"/>
      <c r="I188" s="76"/>
      <c r="J188" s="76"/>
      <c r="K188" s="76"/>
      <c r="L188" s="76"/>
      <c r="M188" s="76"/>
      <c r="N188" s="76"/>
      <c r="O188" s="76"/>
    </row>
    <row r="189" ht="15.75" customHeight="1">
      <c r="A189" s="469"/>
      <c r="B189" s="76"/>
      <c r="C189" s="76"/>
      <c r="D189" s="76"/>
      <c r="E189" s="470"/>
      <c r="F189" s="76"/>
      <c r="G189" s="76"/>
      <c r="H189" s="76"/>
      <c r="I189" s="76"/>
      <c r="J189" s="76"/>
      <c r="K189" s="76"/>
      <c r="L189" s="76"/>
      <c r="M189" s="76"/>
      <c r="N189" s="76"/>
      <c r="O189" s="76"/>
    </row>
  </sheetData>
  <mergeCells count="33">
    <mergeCell ref="L4:M6"/>
    <mergeCell ref="L3:M3"/>
    <mergeCell ref="A3:C3"/>
    <mergeCell ref="A2:M2"/>
    <mergeCell ref="N2:O3"/>
    <mergeCell ref="G5:I5"/>
    <mergeCell ref="G6:I6"/>
    <mergeCell ref="L11:M11"/>
    <mergeCell ref="K12:L14"/>
    <mergeCell ref="H19:L19"/>
    <mergeCell ref="H18:L18"/>
    <mergeCell ref="J12:J15"/>
    <mergeCell ref="H20:I20"/>
    <mergeCell ref="J9:K9"/>
    <mergeCell ref="J8:K8"/>
    <mergeCell ref="K60:L60"/>
    <mergeCell ref="H60:J60"/>
    <mergeCell ref="C58:D58"/>
    <mergeCell ref="E58:F58"/>
    <mergeCell ref="A56:M56"/>
    <mergeCell ref="B59:F60"/>
    <mergeCell ref="H58:J58"/>
    <mergeCell ref="K58:L58"/>
    <mergeCell ref="J62:L62"/>
    <mergeCell ref="G7:I7"/>
    <mergeCell ref="J7:K7"/>
    <mergeCell ref="J5:K5"/>
    <mergeCell ref="J6:K6"/>
    <mergeCell ref="G8:I8"/>
    <mergeCell ref="G9:I9"/>
    <mergeCell ref="L10:M10"/>
    <mergeCell ref="J10:K10"/>
    <mergeCell ref="G10:I10"/>
  </mergeCells>
  <conditionalFormatting sqref="B22:D54">
    <cfRule type="expression" dxfId="18" priority="1">
      <formula>IF($A22="#1",true,false)</formula>
    </cfRule>
  </conditionalFormatting>
  <conditionalFormatting sqref="B22:D54">
    <cfRule type="expression" dxfId="19" priority="2">
      <formula>IF($A22="#2",true,false)</formula>
    </cfRule>
  </conditionalFormatting>
  <conditionalFormatting sqref="B22:D54">
    <cfRule type="expression" dxfId="19" priority="3">
      <formula>IF($A22="#3",true,false)</formula>
    </cfRule>
  </conditionalFormatting>
  <conditionalFormatting sqref="B22:D54">
    <cfRule type="expression" dxfId="20" priority="4">
      <formula>IF($A22="#4",true,false)</formula>
    </cfRule>
  </conditionalFormatting>
  <conditionalFormatting sqref="B22:D54">
    <cfRule type="expression" dxfId="21" priority="5">
      <formula>IF($A22="#5",true,false)</formula>
    </cfRule>
  </conditionalFormatting>
  <conditionalFormatting sqref="B22:D54">
    <cfRule type="expression" dxfId="21" priority="6">
      <formula>IF($A22="#6",true,false)</formula>
    </cfRule>
  </conditionalFormatting>
  <conditionalFormatting sqref="J5">
    <cfRule type="cellIs" dxfId="0" priority="7" operator="equal">
      <formula>"HS"</formula>
    </cfRule>
  </conditionalFormatting>
  <conditionalFormatting sqref="J5">
    <cfRule type="cellIs" dxfId="6" priority="8" operator="equal">
      <formula>"SC"</formula>
    </cfRule>
  </conditionalFormatting>
  <conditionalFormatting sqref="J5">
    <cfRule type="cellIs" dxfId="22" priority="9" operator="equal">
      <formula>"PET"</formula>
    </cfRule>
  </conditionalFormatting>
  <conditionalFormatting sqref="J5">
    <cfRule type="cellIs" dxfId="5" priority="10" operator="equal">
      <formula>"SHIP"</formula>
    </cfRule>
  </conditionalFormatting>
  <conditionalFormatting sqref="J5">
    <cfRule type="cellIs" dxfId="23" priority="11" operator="equal">
      <formula>"TAP"</formula>
    </cfRule>
  </conditionalFormatting>
  <conditionalFormatting sqref="AV5:AX44">
    <cfRule type="cellIs" dxfId="15" priority="12" operator="equal">
      <formula>"False"</formula>
    </cfRule>
  </conditionalFormatting>
  <conditionalFormatting sqref="AT4:AT7">
    <cfRule type="containsText" dxfId="15" priority="13" operator="containsText" text="1">
      <formula>NOT(ISERROR(SEARCH(("1"),(AT4))))</formula>
    </cfRule>
  </conditionalFormatting>
  <conditionalFormatting sqref="U1:U88">
    <cfRule type="containsText" dxfId="15" priority="14" operator="containsText" text="FALSE">
      <formula>NOT(ISERROR(SEARCH(("FALSE"),(U1))))</formula>
    </cfRule>
  </conditionalFormatting>
  <conditionalFormatting sqref="A4:A54 B4:B21 C4:C24 D4:D21">
    <cfRule type="expression" dxfId="18" priority="15">
      <formula>IF($A4="#1",true,false)</formula>
    </cfRule>
  </conditionalFormatting>
  <conditionalFormatting sqref="A4:A54 B4:B21 C4:C24 D4:D21">
    <cfRule type="expression" dxfId="19" priority="16">
      <formula>IF($A4="#2",true,false)</formula>
    </cfRule>
  </conditionalFormatting>
  <conditionalFormatting sqref="A4:A54 B4:B21 C4:C24 D4:D21">
    <cfRule type="expression" dxfId="19" priority="17">
      <formula>IF($A4="#3",true,false)</formula>
    </cfRule>
  </conditionalFormatting>
  <conditionalFormatting sqref="A4:A54 B4:B21 C4:C24 D4:D21">
    <cfRule type="expression" dxfId="20" priority="18">
      <formula>IF($A4="#4",true,false)</formula>
    </cfRule>
  </conditionalFormatting>
  <conditionalFormatting sqref="A4:A54 B4:B21 C4:C24 D4:D21">
    <cfRule type="expression" dxfId="21" priority="19">
      <formula>IF($A4="#5",true,false)</formula>
    </cfRule>
  </conditionalFormatting>
  <conditionalFormatting sqref="A4:A54 B4:B21 C4:C24 D4:D21">
    <cfRule type="expression" dxfId="21" priority="20">
      <formula>IF($A4="#6",true,false)</formula>
    </cfRule>
  </conditionalFormatting>
  <conditionalFormatting sqref="E3:E54 K20:K54">
    <cfRule type="expression" dxfId="24" priority="21">
      <formula>$K$60="On"</formula>
    </cfRule>
  </conditionalFormatting>
  <conditionalFormatting sqref="E4:E54 K21:K54">
    <cfRule type="cellIs" dxfId="25" priority="22" operator="equal">
      <formula>"S"</formula>
    </cfRule>
  </conditionalFormatting>
  <conditionalFormatting sqref="E4:E54 K21:K54">
    <cfRule type="cellIs" dxfId="26" priority="23" operator="equal">
      <formula>"A"</formula>
    </cfRule>
  </conditionalFormatting>
  <conditionalFormatting sqref="E4:E54 K21:K54">
    <cfRule type="cellIs" dxfId="27" priority="24" operator="equal">
      <formula>"B"</formula>
    </cfRule>
  </conditionalFormatting>
  <conditionalFormatting sqref="E4:E54 K21:K54">
    <cfRule type="cellIs" dxfId="28" priority="25" operator="equal">
      <formula>"C"</formula>
    </cfRule>
  </conditionalFormatting>
  <conditionalFormatting sqref="E4:E54 K21:K54">
    <cfRule type="cellIs" dxfId="29" priority="26" operator="equal">
      <formula>"F"</formula>
    </cfRule>
  </conditionalFormatting>
  <conditionalFormatting sqref="B4:D54 F4:F54">
    <cfRule type="expression" dxfId="30" priority="27">
      <formula>IF($F4&lt;&gt;"☑",true,false)</formula>
    </cfRule>
  </conditionalFormatting>
  <conditionalFormatting sqref="H21:J54 L21:L54">
    <cfRule type="expression" dxfId="30" priority="28">
      <formula>IF($L21&lt;&gt;"☑",true,false)</formula>
    </cfRule>
  </conditionalFormatting>
  <conditionalFormatting sqref="L3:M3">
    <cfRule type="expression" dxfId="31" priority="29">
      <formula>$L$3="TIPS ON"</formula>
    </cfRule>
  </conditionalFormatting>
  <conditionalFormatting sqref="N2 G3:G4 L10 H17 B59 L59 L61 L63">
    <cfRule type="expression" dxfId="31" priority="30">
      <formula>$L$3="TIPS ON"</formula>
    </cfRule>
  </conditionalFormatting>
  <conditionalFormatting sqref="A4:A54">
    <cfRule type="expression" dxfId="32" priority="31">
      <formula>$K$58="On"</formula>
    </cfRule>
  </conditionalFormatting>
  <conditionalFormatting sqref="AD4:AE88">
    <cfRule type="colorScale" priority="32">
      <colorScale>
        <cfvo type="min"/>
        <cfvo type="max"/>
        <color rgb="FFFFFFFF"/>
        <color rgb="FF57BB8A"/>
      </colorScale>
    </cfRule>
  </conditionalFormatting>
  <conditionalFormatting sqref="AK5:AO20 AK22:AO40">
    <cfRule type="colorScale" priority="33">
      <colorScale>
        <cfvo type="min"/>
        <cfvo type="formula" val="1"/>
        <cfvo type="max"/>
        <color rgb="FFFFFFFF"/>
        <color rgb="FFFFFFFF"/>
        <color rgb="FF57BB8A"/>
      </colorScale>
    </cfRule>
  </conditionalFormatting>
  <dataValidations>
    <dataValidation type="list" allowBlank="1" showErrorMessage="1" sqref="L3">
      <formula1>"TIPS ON,TIPS OFF"</formula1>
    </dataValidation>
    <dataValidation type="list" allowBlank="1" showErrorMessage="1" sqref="J6">
      <formula1>"BossGold,PHoM,FairyGold,ChestersonGold"</formula1>
    </dataValidation>
    <dataValidation type="list" allowBlank="1" showInputMessage="1" showErrorMessage="1" prompt="Select the Checkmark to NOT ignore the artifact" sqref="F4:F54 L21:L54">
      <formula1>"☑,✖"</formula1>
    </dataValidation>
    <dataValidation type="list" allowBlank="1" showErrorMessage="1" sqref="J7">
      <formula1>"Online,Offline"</formula1>
    </dataValidation>
    <dataValidation type="list" allowBlank="1" showErrorMessage="1" sqref="H19">
      <formula1>"Auto level artis to MAX(set unowned=0),Standard Input"</formula1>
    </dataValidation>
    <dataValidation type="list" allowBlank="1" showErrorMessage="1" sqref="J8">
      <formula1>"Spell,Melee,Ranged"</formula1>
    </dataValidation>
    <dataValidation type="list" allowBlank="1" showErrorMessage="1" sqref="K58 K60">
      <formula1>"On,Off"</formula1>
    </dataValidation>
    <dataValidation type="list" allowBlank="1" showErrorMessage="1" sqref="A3">
      <formula1>'EDITING Artifact Optimizer'!$AS$4:$AS$9</formula1>
    </dataValidation>
    <dataValidation type="list" allowBlank="1" showErrorMessage="1" sqref="J62">
      <formula1>"BoS only,&gt;10%lifetime,All Non Max"</formula1>
    </dataValidation>
    <dataValidation type="list" allowBlank="1" showErrorMessage="1" sqref="J5">
      <formula1>'EDITING Artifact Optimizer'!$AK$4:$AO$4</formula1>
    </dataValidation>
    <dataValidation type="list" allowBlank="1" showErrorMessage="1" sqref="J9">
      <formula1>"Ground,Flying"</formula1>
    </dataValidation>
  </dataValidations>
  <hyperlinks>
    <hyperlink r:id="rId1" ref="J10"/>
  </hyperlinks>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93C47D"/>
    <outlinePr summaryBelow="0" summaryRight="0"/>
  </sheetPr>
  <sheetViews>
    <sheetView workbookViewId="0"/>
  </sheetViews>
  <sheetFormatPr customHeight="1" defaultColWidth="14.43" defaultRowHeight="15.0"/>
  <cols>
    <col customWidth="1" min="1" max="1" width="19.14"/>
    <col customWidth="1" min="2" max="36" width="3.71"/>
    <col customWidth="1" min="37" max="37" width="6.29"/>
    <col customWidth="1" min="38" max="38" width="12.29"/>
    <col customWidth="1" min="39" max="40" width="11.71"/>
  </cols>
  <sheetData>
    <row r="1" ht="12.75" customHeight="1">
      <c r="A1" s="273" t="s">
        <v>504</v>
      </c>
      <c r="B1" s="279" t="str">
        <f t="array" ref="B1:AJ1">TRANSPOSE('2.10.3 SP Bonus Optimizer'!H70:H104)</f>
        <v>KV</v>
      </c>
      <c r="C1" s="280" t="s">
        <v>517</v>
      </c>
      <c r="D1" s="280" t="s">
        <v>518</v>
      </c>
      <c r="E1" s="280" t="s">
        <v>519</v>
      </c>
      <c r="F1" s="280" t="s">
        <v>520</v>
      </c>
      <c r="G1" s="280" t="s">
        <v>521</v>
      </c>
      <c r="H1" s="280" t="s">
        <v>522</v>
      </c>
      <c r="I1" s="280" t="s">
        <v>523</v>
      </c>
      <c r="J1" s="280" t="s">
        <v>524</v>
      </c>
      <c r="K1" s="280" t="s">
        <v>525</v>
      </c>
      <c r="L1" s="280" t="s">
        <v>526</v>
      </c>
      <c r="M1" s="280" t="s">
        <v>527</v>
      </c>
      <c r="N1" s="280" t="s">
        <v>528</v>
      </c>
      <c r="O1" s="280" t="s">
        <v>529</v>
      </c>
      <c r="P1" s="280" t="s">
        <v>530</v>
      </c>
      <c r="Q1" s="280" t="s">
        <v>531</v>
      </c>
      <c r="R1" s="280" t="s">
        <v>532</v>
      </c>
      <c r="S1" s="280" t="s">
        <v>533</v>
      </c>
      <c r="T1" s="280" t="s">
        <v>522</v>
      </c>
      <c r="U1" s="280" t="s">
        <v>534</v>
      </c>
      <c r="V1" s="280" t="s">
        <v>535</v>
      </c>
      <c r="W1" s="280" t="s">
        <v>536</v>
      </c>
      <c r="X1" s="280" t="s">
        <v>537</v>
      </c>
      <c r="Y1" s="280" t="s">
        <v>538</v>
      </c>
      <c r="Z1" s="280" t="s">
        <v>539</v>
      </c>
      <c r="AA1" s="280" t="s">
        <v>540</v>
      </c>
      <c r="AB1" s="280" t="s">
        <v>541</v>
      </c>
      <c r="AC1" s="280" t="s">
        <v>542</v>
      </c>
      <c r="AD1" s="280" t="s">
        <v>543</v>
      </c>
      <c r="AE1" s="280" t="s">
        <v>533</v>
      </c>
      <c r="AF1" s="280" t="s">
        <v>544</v>
      </c>
      <c r="AG1" s="280" t="s">
        <v>545</v>
      </c>
      <c r="AH1" s="280" t="s">
        <v>546</v>
      </c>
      <c r="AI1" s="280" t="s">
        <v>547</v>
      </c>
      <c r="AJ1" s="282" t="s">
        <v>548</v>
      </c>
      <c r="AK1" s="283" t="s">
        <v>549</v>
      </c>
      <c r="AL1" s="283" t="s">
        <v>550</v>
      </c>
      <c r="AM1" s="13" t="s">
        <v>551</v>
      </c>
      <c r="AN1" s="13" t="s">
        <v>552</v>
      </c>
    </row>
    <row r="2" ht="20.25" customHeight="1">
      <c r="A2" s="284" t="s">
        <v>553</v>
      </c>
      <c r="B2" s="285" t="str">
        <f t="array" ref="B2:AJ2">TRANSPOSE('2.10.3 SP Bonus Optimizer'!F70:F104)</f>
        <v/>
      </c>
      <c r="C2" s="286"/>
      <c r="D2" s="286"/>
      <c r="E2" s="286"/>
      <c r="F2" s="286"/>
      <c r="G2" s="286"/>
      <c r="H2" s="286"/>
      <c r="I2" s="286"/>
      <c r="J2" s="286"/>
      <c r="K2" s="286"/>
      <c r="L2" s="286"/>
      <c r="M2" s="286"/>
      <c r="N2" s="286"/>
      <c r="O2" s="286"/>
      <c r="P2" s="286"/>
      <c r="Q2" s="286"/>
      <c r="R2" s="286"/>
      <c r="S2" s="286"/>
      <c r="T2" s="286"/>
      <c r="U2" s="286"/>
      <c r="V2" s="286"/>
      <c r="W2" s="286"/>
      <c r="X2" s="286"/>
      <c r="Y2" s="286"/>
      <c r="Z2" s="286"/>
      <c r="AA2" s="286"/>
      <c r="AB2" s="286"/>
      <c r="AC2" s="286"/>
      <c r="AD2" s="286"/>
      <c r="AE2" s="286"/>
      <c r="AF2" s="286"/>
      <c r="AG2" s="286"/>
      <c r="AH2" s="286"/>
      <c r="AI2" s="286"/>
      <c r="AJ2" s="287"/>
      <c r="AK2" s="81"/>
      <c r="AL2" s="81"/>
      <c r="AM2" s="98"/>
      <c r="AN2" s="98"/>
    </row>
    <row r="3">
      <c r="A3" s="1" t="s">
        <v>557</v>
      </c>
      <c r="B3" s="288">
        <v>2.0</v>
      </c>
      <c r="C3" s="289">
        <v>1.0</v>
      </c>
      <c r="D3" s="289">
        <v>0.0</v>
      </c>
      <c r="E3" s="289">
        <v>11.0</v>
      </c>
      <c r="F3" s="289">
        <v>11.0</v>
      </c>
      <c r="G3" s="289">
        <v>0.0</v>
      </c>
      <c r="H3" s="289">
        <v>0.0</v>
      </c>
      <c r="I3" s="289">
        <v>0.0</v>
      </c>
      <c r="J3" s="289">
        <v>0.0</v>
      </c>
      <c r="K3" s="289">
        <v>11.0</v>
      </c>
      <c r="L3" s="289">
        <v>1.0</v>
      </c>
      <c r="M3" s="289">
        <v>11.0</v>
      </c>
      <c r="N3" s="289">
        <v>10.0</v>
      </c>
      <c r="O3" s="289">
        <v>11.0</v>
      </c>
      <c r="P3" s="289">
        <v>1.0</v>
      </c>
      <c r="Q3" s="289">
        <v>11.0</v>
      </c>
      <c r="R3" s="289">
        <v>9.0</v>
      </c>
      <c r="S3" s="289">
        <v>0.0</v>
      </c>
      <c r="T3" s="289">
        <v>2.0</v>
      </c>
      <c r="U3" s="289">
        <v>3.0</v>
      </c>
      <c r="V3" s="289">
        <v>0.0</v>
      </c>
      <c r="W3" s="289">
        <v>0.0</v>
      </c>
      <c r="X3" s="289">
        <v>0.0</v>
      </c>
      <c r="Y3" s="289">
        <v>0.0</v>
      </c>
      <c r="Z3" s="289">
        <v>0.0</v>
      </c>
      <c r="AA3" s="289">
        <v>0.0</v>
      </c>
      <c r="AB3" s="289">
        <v>0.0</v>
      </c>
      <c r="AC3" s="289">
        <v>0.0</v>
      </c>
      <c r="AD3" s="289">
        <v>8.0</v>
      </c>
      <c r="AE3" s="289">
        <v>1.0</v>
      </c>
      <c r="AF3" s="289">
        <v>1.0</v>
      </c>
      <c r="AG3" s="289">
        <v>1.0</v>
      </c>
      <c r="AH3" s="289">
        <v>0.0</v>
      </c>
      <c r="AI3" s="289">
        <v>3.0</v>
      </c>
      <c r="AJ3" s="290">
        <v>0.0</v>
      </c>
      <c r="AK3" s="289">
        <v>453.0</v>
      </c>
      <c r="AL3" s="1" t="s">
        <v>508</v>
      </c>
      <c r="AM3" s="1" t="s">
        <v>558</v>
      </c>
      <c r="AN3" s="1" t="s">
        <v>559</v>
      </c>
    </row>
    <row r="4">
      <c r="A4" s="1" t="s">
        <v>560</v>
      </c>
      <c r="B4" s="288">
        <v>7.0</v>
      </c>
      <c r="C4" s="289">
        <v>1.0</v>
      </c>
      <c r="D4" s="289">
        <v>1.0</v>
      </c>
      <c r="E4" s="289">
        <v>0.0</v>
      </c>
      <c r="F4" s="289">
        <v>9.0</v>
      </c>
      <c r="G4" s="289">
        <v>1.0</v>
      </c>
      <c r="H4" s="289">
        <v>0.0</v>
      </c>
      <c r="I4" s="289">
        <v>1.0</v>
      </c>
      <c r="J4" s="289">
        <v>0.0</v>
      </c>
      <c r="K4" s="289">
        <v>2.0</v>
      </c>
      <c r="L4" s="289">
        <v>7.0</v>
      </c>
      <c r="M4" s="289">
        <v>2.0</v>
      </c>
      <c r="N4" s="289">
        <v>1.0</v>
      </c>
      <c r="O4" s="289">
        <v>8.0</v>
      </c>
      <c r="P4" s="289">
        <v>1.0</v>
      </c>
      <c r="Q4" s="289">
        <v>1.0</v>
      </c>
      <c r="R4" s="289">
        <v>1.0</v>
      </c>
      <c r="S4" s="289">
        <v>1.0</v>
      </c>
      <c r="T4" s="289">
        <v>2.0</v>
      </c>
      <c r="U4" s="289">
        <v>7.0</v>
      </c>
      <c r="V4" s="289">
        <v>1.0</v>
      </c>
      <c r="W4" s="289">
        <v>7.0</v>
      </c>
      <c r="X4" s="289">
        <v>3.0</v>
      </c>
      <c r="Y4" s="289">
        <v>1.0</v>
      </c>
      <c r="Z4" s="289">
        <v>1.0</v>
      </c>
      <c r="AA4" s="289">
        <v>0.0</v>
      </c>
      <c r="AB4" s="289">
        <v>1.0</v>
      </c>
      <c r="AC4" s="289">
        <v>1.0</v>
      </c>
      <c r="AD4" s="289">
        <v>7.0</v>
      </c>
      <c r="AE4" s="289">
        <v>1.0</v>
      </c>
      <c r="AF4" s="289">
        <v>0.0</v>
      </c>
      <c r="AG4" s="289">
        <v>1.0</v>
      </c>
      <c r="AH4" s="289">
        <v>0.0</v>
      </c>
      <c r="AI4" s="289">
        <v>0.0</v>
      </c>
      <c r="AJ4" s="290">
        <v>1.0</v>
      </c>
      <c r="AK4" s="289">
        <v>199.0</v>
      </c>
      <c r="AL4" s="1" t="s">
        <v>160</v>
      </c>
      <c r="AM4" s="1" t="s">
        <v>278</v>
      </c>
      <c r="AN4" s="1" t="s">
        <v>559</v>
      </c>
    </row>
    <row r="5">
      <c r="A5" s="1" t="s">
        <v>561</v>
      </c>
      <c r="B5" s="288">
        <v>2.0</v>
      </c>
      <c r="C5" s="289">
        <v>1.0</v>
      </c>
      <c r="D5" s="289">
        <v>1.0</v>
      </c>
      <c r="E5" s="289">
        <v>9.0</v>
      </c>
      <c r="F5" s="289">
        <v>6.0</v>
      </c>
      <c r="G5" s="289">
        <v>1.0</v>
      </c>
      <c r="H5" s="289">
        <v>0.0</v>
      </c>
      <c r="I5" s="289">
        <v>1.0</v>
      </c>
      <c r="J5" s="289">
        <v>0.0</v>
      </c>
      <c r="K5" s="289">
        <v>3.0</v>
      </c>
      <c r="L5" s="289">
        <v>1.0</v>
      </c>
      <c r="M5" s="289">
        <v>5.0</v>
      </c>
      <c r="N5" s="289">
        <v>1.0</v>
      </c>
      <c r="O5" s="289">
        <v>9.0</v>
      </c>
      <c r="P5" s="289">
        <v>1.0</v>
      </c>
      <c r="Q5" s="289">
        <v>1.0</v>
      </c>
      <c r="R5" s="289">
        <v>1.0</v>
      </c>
      <c r="S5" s="289">
        <v>1.0</v>
      </c>
      <c r="T5" s="289">
        <v>2.0</v>
      </c>
      <c r="U5" s="289">
        <v>3.0</v>
      </c>
      <c r="V5" s="289">
        <v>1.0</v>
      </c>
      <c r="W5" s="289">
        <v>10.0</v>
      </c>
      <c r="X5" s="289">
        <v>0.0</v>
      </c>
      <c r="Y5" s="289">
        <v>1.0</v>
      </c>
      <c r="Z5" s="289">
        <v>1.0</v>
      </c>
      <c r="AA5" s="289">
        <v>0.0</v>
      </c>
      <c r="AB5" s="289">
        <v>1.0</v>
      </c>
      <c r="AC5" s="289">
        <v>1.0</v>
      </c>
      <c r="AD5" s="289">
        <v>7.0</v>
      </c>
      <c r="AE5" s="289">
        <v>1.0</v>
      </c>
      <c r="AF5" s="289">
        <v>0.0</v>
      </c>
      <c r="AG5" s="289">
        <v>1.0</v>
      </c>
      <c r="AH5" s="289">
        <v>0.0</v>
      </c>
      <c r="AI5" s="289">
        <v>0.0</v>
      </c>
      <c r="AJ5" s="290">
        <v>1.0</v>
      </c>
      <c r="AK5" s="289">
        <v>191.0</v>
      </c>
      <c r="AL5" s="1" t="s">
        <v>160</v>
      </c>
      <c r="AM5" s="1" t="s">
        <v>558</v>
      </c>
      <c r="AN5" s="1" t="s">
        <v>559</v>
      </c>
    </row>
    <row r="6">
      <c r="A6" s="1" t="s">
        <v>563</v>
      </c>
      <c r="B6" s="288">
        <v>2.0</v>
      </c>
      <c r="C6" s="289">
        <v>1.0</v>
      </c>
      <c r="D6" s="289">
        <v>0.0</v>
      </c>
      <c r="E6" s="289">
        <v>7.0</v>
      </c>
      <c r="F6" s="289">
        <v>1.0</v>
      </c>
      <c r="G6" s="289">
        <v>0.0</v>
      </c>
      <c r="H6" s="289">
        <v>0.0</v>
      </c>
      <c r="I6" s="289">
        <v>0.0</v>
      </c>
      <c r="J6" s="289">
        <v>0.0</v>
      </c>
      <c r="K6" s="289">
        <v>3.0</v>
      </c>
      <c r="L6" s="289">
        <v>1.0</v>
      </c>
      <c r="M6" s="289">
        <v>6.0</v>
      </c>
      <c r="N6" s="289">
        <v>3.0</v>
      </c>
      <c r="O6" s="289">
        <v>4.0</v>
      </c>
      <c r="P6" s="289">
        <v>1.0</v>
      </c>
      <c r="Q6" s="289">
        <v>5.0</v>
      </c>
      <c r="R6" s="289">
        <v>1.0</v>
      </c>
      <c r="S6" s="289">
        <v>0.0</v>
      </c>
      <c r="T6" s="289">
        <v>2.0</v>
      </c>
      <c r="U6" s="289">
        <v>1.0</v>
      </c>
      <c r="V6" s="289">
        <v>0.0</v>
      </c>
      <c r="W6" s="289">
        <v>0.0</v>
      </c>
      <c r="X6" s="289">
        <v>0.0</v>
      </c>
      <c r="Y6" s="289">
        <v>0.0</v>
      </c>
      <c r="Z6" s="289">
        <v>0.0</v>
      </c>
      <c r="AA6" s="289">
        <v>0.0</v>
      </c>
      <c r="AB6" s="289">
        <v>0.0</v>
      </c>
      <c r="AC6" s="289">
        <v>0.0</v>
      </c>
      <c r="AD6" s="289">
        <v>7.0</v>
      </c>
      <c r="AE6" s="289">
        <v>1.0</v>
      </c>
      <c r="AF6" s="289">
        <v>1.0</v>
      </c>
      <c r="AG6" s="289">
        <v>1.0</v>
      </c>
      <c r="AH6" s="289">
        <v>0.0</v>
      </c>
      <c r="AI6" s="289">
        <v>1.0</v>
      </c>
      <c r="AJ6" s="290">
        <v>0.0</v>
      </c>
      <c r="AK6" s="289">
        <v>104.0</v>
      </c>
      <c r="AL6" s="1" t="s">
        <v>508</v>
      </c>
      <c r="AM6" s="1" t="s">
        <v>558</v>
      </c>
      <c r="AN6" s="1" t="s">
        <v>559</v>
      </c>
    </row>
    <row r="7">
      <c r="A7" s="1" t="s">
        <v>565</v>
      </c>
      <c r="B7" s="288">
        <v>0.0</v>
      </c>
      <c r="C7" s="289">
        <v>0.0</v>
      </c>
      <c r="D7" s="289">
        <v>0.0</v>
      </c>
      <c r="E7" s="289">
        <v>0.0</v>
      </c>
      <c r="F7" s="289">
        <v>0.0</v>
      </c>
      <c r="G7" s="289">
        <v>0.0</v>
      </c>
      <c r="H7" s="289">
        <v>0.0</v>
      </c>
      <c r="I7" s="289">
        <v>0.0</v>
      </c>
      <c r="J7" s="289">
        <v>0.0</v>
      </c>
      <c r="K7" s="289">
        <v>3.0</v>
      </c>
      <c r="L7" s="289">
        <v>6.0</v>
      </c>
      <c r="M7" s="289">
        <v>3.0</v>
      </c>
      <c r="N7" s="289">
        <v>3.0</v>
      </c>
      <c r="O7" s="289">
        <v>6.0</v>
      </c>
      <c r="P7" s="289">
        <v>1.0</v>
      </c>
      <c r="Q7" s="289">
        <v>1.0</v>
      </c>
      <c r="R7" s="289">
        <v>1.0</v>
      </c>
      <c r="S7" s="289">
        <v>0.0</v>
      </c>
      <c r="T7" s="289">
        <v>2.0</v>
      </c>
      <c r="U7" s="289">
        <v>11.0</v>
      </c>
      <c r="V7" s="289">
        <v>1.0</v>
      </c>
      <c r="W7" s="289">
        <v>1.0</v>
      </c>
      <c r="X7" s="289">
        <v>0.0</v>
      </c>
      <c r="Y7" s="289">
        <v>1.0</v>
      </c>
      <c r="Z7" s="289">
        <v>1.0</v>
      </c>
      <c r="AA7" s="289">
        <v>0.0</v>
      </c>
      <c r="AB7" s="289">
        <v>1.0</v>
      </c>
      <c r="AC7" s="289">
        <v>1.0</v>
      </c>
      <c r="AD7" s="289">
        <v>7.0</v>
      </c>
      <c r="AE7" s="289">
        <v>1.0</v>
      </c>
      <c r="AF7" s="289">
        <v>1.0</v>
      </c>
      <c r="AG7" s="289">
        <v>1.0</v>
      </c>
      <c r="AH7" s="289">
        <v>0.0</v>
      </c>
      <c r="AI7" s="289">
        <v>1.0</v>
      </c>
      <c r="AJ7" s="290">
        <v>0.0</v>
      </c>
      <c r="AK7" s="289">
        <v>132.0</v>
      </c>
      <c r="AL7" s="1" t="s">
        <v>508</v>
      </c>
      <c r="AM7" s="1" t="s">
        <v>278</v>
      </c>
      <c r="AN7" s="1" t="s">
        <v>559</v>
      </c>
    </row>
    <row r="8">
      <c r="A8" s="1" t="s">
        <v>566</v>
      </c>
      <c r="B8" s="288">
        <v>3.0</v>
      </c>
      <c r="C8" s="289">
        <v>1.0</v>
      </c>
      <c r="D8" s="289">
        <v>1.0</v>
      </c>
      <c r="E8" s="289">
        <v>15.0</v>
      </c>
      <c r="F8" s="289">
        <v>12.0</v>
      </c>
      <c r="G8" s="289">
        <v>2.0</v>
      </c>
      <c r="H8" s="289">
        <v>0.0</v>
      </c>
      <c r="I8" s="289">
        <v>5.0</v>
      </c>
      <c r="J8" s="289">
        <v>0.0</v>
      </c>
      <c r="K8" s="289">
        <v>3.0</v>
      </c>
      <c r="L8" s="289">
        <v>1.0</v>
      </c>
      <c r="M8" s="289">
        <v>6.0</v>
      </c>
      <c r="N8" s="289">
        <v>1.0</v>
      </c>
      <c r="O8" s="289">
        <v>19.0</v>
      </c>
      <c r="P8" s="289">
        <v>1.0</v>
      </c>
      <c r="Q8" s="289">
        <v>2.0</v>
      </c>
      <c r="R8" s="289">
        <v>5.0</v>
      </c>
      <c r="S8" s="289">
        <v>0.0</v>
      </c>
      <c r="T8" s="289">
        <v>2.0</v>
      </c>
      <c r="U8" s="289">
        <v>3.0</v>
      </c>
      <c r="V8" s="289">
        <v>1.0</v>
      </c>
      <c r="W8" s="289">
        <v>18.0</v>
      </c>
      <c r="X8" s="289">
        <v>0.0</v>
      </c>
      <c r="Y8" s="289">
        <v>1.0</v>
      </c>
      <c r="Z8" s="289">
        <v>13.0</v>
      </c>
      <c r="AA8" s="289">
        <v>0.0</v>
      </c>
      <c r="AB8" s="289">
        <v>3.0</v>
      </c>
      <c r="AC8" s="289">
        <v>11.0</v>
      </c>
      <c r="AD8" s="289">
        <v>12.0</v>
      </c>
      <c r="AE8" s="289">
        <v>7.0</v>
      </c>
      <c r="AF8" s="289">
        <v>0.0</v>
      </c>
      <c r="AG8" s="289">
        <v>2.0</v>
      </c>
      <c r="AH8" s="289">
        <v>0.0</v>
      </c>
      <c r="AI8" s="289">
        <v>0.0</v>
      </c>
      <c r="AJ8" s="290">
        <v>6.0</v>
      </c>
      <c r="AK8" s="289">
        <v>901.0</v>
      </c>
      <c r="AL8" s="1" t="s">
        <v>160</v>
      </c>
      <c r="AM8" s="1" t="s">
        <v>558</v>
      </c>
      <c r="AN8" s="1" t="s">
        <v>559</v>
      </c>
    </row>
    <row r="9">
      <c r="A9" s="1" t="s">
        <v>568</v>
      </c>
      <c r="B9" s="288">
        <v>7.0</v>
      </c>
      <c r="C9" s="289">
        <v>1.0</v>
      </c>
      <c r="D9" s="289">
        <v>1.0</v>
      </c>
      <c r="E9" s="289">
        <v>0.0</v>
      </c>
      <c r="F9" s="289">
        <v>10.0</v>
      </c>
      <c r="G9" s="289">
        <v>2.0</v>
      </c>
      <c r="H9" s="289">
        <v>0.0</v>
      </c>
      <c r="I9" s="289">
        <v>5.0</v>
      </c>
      <c r="J9" s="289">
        <v>0.0</v>
      </c>
      <c r="K9" s="289">
        <v>3.0</v>
      </c>
      <c r="L9" s="289">
        <v>13.0</v>
      </c>
      <c r="M9" s="289">
        <v>3.0</v>
      </c>
      <c r="N9" s="289">
        <v>0.0</v>
      </c>
      <c r="O9" s="289">
        <v>19.0</v>
      </c>
      <c r="P9" s="289">
        <v>1.0</v>
      </c>
      <c r="Q9" s="289">
        <v>0.0</v>
      </c>
      <c r="R9" s="289">
        <v>5.0</v>
      </c>
      <c r="S9" s="289">
        <v>0.0</v>
      </c>
      <c r="T9" s="289">
        <v>2.0</v>
      </c>
      <c r="U9" s="289">
        <v>13.0</v>
      </c>
      <c r="V9" s="289">
        <v>1.0</v>
      </c>
      <c r="W9" s="289">
        <v>16.0</v>
      </c>
      <c r="X9" s="289">
        <v>3.0</v>
      </c>
      <c r="Y9" s="289">
        <v>1.0</v>
      </c>
      <c r="Z9" s="289">
        <v>17.0</v>
      </c>
      <c r="AA9" s="289">
        <v>0.0</v>
      </c>
      <c r="AB9" s="289">
        <v>3.0</v>
      </c>
      <c r="AC9" s="289">
        <v>11.0</v>
      </c>
      <c r="AD9" s="289">
        <v>10.0</v>
      </c>
      <c r="AE9" s="289">
        <v>6.0</v>
      </c>
      <c r="AF9" s="289">
        <v>0.0</v>
      </c>
      <c r="AG9" s="289">
        <v>1.0</v>
      </c>
      <c r="AH9" s="289">
        <v>0.0</v>
      </c>
      <c r="AI9" s="289">
        <v>0.0</v>
      </c>
      <c r="AJ9" s="290">
        <v>5.0</v>
      </c>
      <c r="AK9" s="289">
        <v>920.0</v>
      </c>
      <c r="AL9" s="1" t="s">
        <v>160</v>
      </c>
      <c r="AM9" s="1" t="s">
        <v>278</v>
      </c>
      <c r="AN9" s="1" t="s">
        <v>559</v>
      </c>
    </row>
    <row r="10">
      <c r="A10" s="1" t="s">
        <v>569</v>
      </c>
      <c r="B10" s="288">
        <v>7.0</v>
      </c>
      <c r="C10" s="289">
        <v>1.0</v>
      </c>
      <c r="D10" s="289">
        <v>1.0</v>
      </c>
      <c r="E10" s="289">
        <v>0.0</v>
      </c>
      <c r="F10" s="289">
        <v>12.0</v>
      </c>
      <c r="G10" s="289">
        <v>2.0</v>
      </c>
      <c r="H10" s="289">
        <v>0.0</v>
      </c>
      <c r="I10" s="289">
        <v>4.0</v>
      </c>
      <c r="J10" s="289">
        <v>0.0</v>
      </c>
      <c r="K10" s="289">
        <v>2.0</v>
      </c>
      <c r="L10" s="289">
        <v>13.0</v>
      </c>
      <c r="M10" s="289">
        <v>2.0</v>
      </c>
      <c r="N10" s="289">
        <v>1.0</v>
      </c>
      <c r="O10" s="289">
        <v>16.0</v>
      </c>
      <c r="P10" s="289">
        <v>1.0</v>
      </c>
      <c r="Q10" s="289">
        <v>1.0</v>
      </c>
      <c r="R10" s="289">
        <v>4.0</v>
      </c>
      <c r="S10" s="289">
        <v>11.0</v>
      </c>
      <c r="T10" s="289">
        <v>2.0</v>
      </c>
      <c r="U10" s="289">
        <v>12.0</v>
      </c>
      <c r="V10" s="289">
        <v>1.0</v>
      </c>
      <c r="W10" s="289">
        <v>14.0</v>
      </c>
      <c r="X10" s="289">
        <v>6.0</v>
      </c>
      <c r="Y10" s="289">
        <v>1.0</v>
      </c>
      <c r="Z10" s="289">
        <v>17.0</v>
      </c>
      <c r="AA10" s="289">
        <v>0.0</v>
      </c>
      <c r="AB10" s="289">
        <v>3.0</v>
      </c>
      <c r="AC10" s="289">
        <v>9.0</v>
      </c>
      <c r="AD10" s="289">
        <v>9.0</v>
      </c>
      <c r="AE10" s="289">
        <v>6.0</v>
      </c>
      <c r="AF10" s="289">
        <v>0.0</v>
      </c>
      <c r="AG10" s="289">
        <v>1.0</v>
      </c>
      <c r="AH10" s="289">
        <v>0.0</v>
      </c>
      <c r="AI10" s="289">
        <v>0.0</v>
      </c>
      <c r="AJ10" s="290">
        <v>5.0</v>
      </c>
      <c r="AK10" s="289">
        <v>925.0</v>
      </c>
      <c r="AL10" s="1" t="s">
        <v>160</v>
      </c>
      <c r="AM10" s="1" t="s">
        <v>278</v>
      </c>
      <c r="AN10" s="1" t="s">
        <v>559</v>
      </c>
    </row>
    <row r="11">
      <c r="A11" s="1" t="s">
        <v>443</v>
      </c>
      <c r="B11" s="288">
        <v>10.0</v>
      </c>
      <c r="C11" s="289">
        <v>1.0</v>
      </c>
      <c r="D11" s="289">
        <v>11.0</v>
      </c>
      <c r="E11" s="289">
        <v>1.0</v>
      </c>
      <c r="F11" s="289">
        <v>11.0</v>
      </c>
      <c r="G11" s="289">
        <v>11.0</v>
      </c>
      <c r="H11" s="289">
        <v>10.0</v>
      </c>
      <c r="I11" s="289">
        <v>9.0</v>
      </c>
      <c r="J11" s="289">
        <v>10.0</v>
      </c>
      <c r="K11" s="289">
        <v>2.0</v>
      </c>
      <c r="L11" s="289">
        <v>11.0</v>
      </c>
      <c r="M11" s="289">
        <v>2.0</v>
      </c>
      <c r="N11" s="289">
        <v>1.0</v>
      </c>
      <c r="O11" s="289">
        <v>14.0</v>
      </c>
      <c r="P11" s="289">
        <v>1.0</v>
      </c>
      <c r="Q11" s="289">
        <v>1.0</v>
      </c>
      <c r="R11" s="289">
        <v>0.0</v>
      </c>
      <c r="S11" s="289">
        <v>11.0</v>
      </c>
      <c r="T11" s="289">
        <v>2.0</v>
      </c>
      <c r="U11" s="289">
        <v>10.0</v>
      </c>
      <c r="V11" s="289">
        <v>1.0</v>
      </c>
      <c r="W11" s="289">
        <v>1.0</v>
      </c>
      <c r="X11" s="289">
        <v>6.0</v>
      </c>
      <c r="Y11" s="289">
        <v>1.0</v>
      </c>
      <c r="Z11" s="289">
        <v>1.0</v>
      </c>
      <c r="AA11" s="289">
        <v>0.0</v>
      </c>
      <c r="AB11" s="289">
        <v>5.0</v>
      </c>
      <c r="AC11" s="289">
        <v>6.0</v>
      </c>
      <c r="AD11" s="289">
        <v>8.0</v>
      </c>
      <c r="AE11" s="289">
        <v>6.0</v>
      </c>
      <c r="AF11" s="289">
        <v>0.0</v>
      </c>
      <c r="AG11" s="289">
        <v>0.0</v>
      </c>
      <c r="AH11" s="289">
        <v>3.0</v>
      </c>
      <c r="AI11" s="289">
        <v>0.0</v>
      </c>
      <c r="AJ11" s="290">
        <v>0.0</v>
      </c>
      <c r="AK11" s="289">
        <v>945.0</v>
      </c>
      <c r="AL11" s="1" t="s">
        <v>506</v>
      </c>
      <c r="AM11" s="1" t="s">
        <v>278</v>
      </c>
      <c r="AN11" s="1" t="s">
        <v>384</v>
      </c>
    </row>
    <row r="12">
      <c r="B12" s="291"/>
      <c r="AJ12" s="292"/>
    </row>
    <row r="13">
      <c r="B13" s="291"/>
      <c r="AJ13" s="292"/>
    </row>
    <row r="14">
      <c r="B14" s="291"/>
      <c r="AJ14" s="292"/>
    </row>
    <row r="15">
      <c r="B15" s="291"/>
      <c r="AJ15" s="292"/>
    </row>
    <row r="16">
      <c r="B16" s="291"/>
      <c r="AJ16" s="292"/>
    </row>
    <row r="17">
      <c r="B17" s="291"/>
      <c r="AJ17" s="292"/>
    </row>
    <row r="18">
      <c r="B18" s="291"/>
      <c r="AJ18" s="292"/>
    </row>
    <row r="19">
      <c r="B19" s="291"/>
      <c r="AJ19" s="292"/>
    </row>
    <row r="20">
      <c r="B20" s="291"/>
      <c r="AJ20" s="292"/>
    </row>
    <row r="21">
      <c r="B21" s="291"/>
      <c r="AJ21" s="292"/>
    </row>
    <row r="22">
      <c r="B22" s="291"/>
      <c r="AJ22" s="292"/>
    </row>
    <row r="23">
      <c r="B23" s="291"/>
      <c r="AJ23" s="292"/>
    </row>
    <row r="24">
      <c r="B24" s="291"/>
      <c r="AJ24" s="292"/>
    </row>
    <row r="25">
      <c r="B25" s="291"/>
      <c r="AJ25" s="292"/>
    </row>
    <row r="26">
      <c r="B26" s="291"/>
      <c r="AJ26" s="292"/>
    </row>
    <row r="27">
      <c r="B27" s="291"/>
      <c r="AJ27" s="292"/>
    </row>
    <row r="28">
      <c r="B28" s="291"/>
      <c r="AJ28" s="292"/>
    </row>
    <row r="29">
      <c r="B29" s="291"/>
      <c r="AJ29" s="292"/>
    </row>
    <row r="30">
      <c r="B30" s="291"/>
      <c r="AJ30" s="292"/>
    </row>
    <row r="31">
      <c r="B31" s="291"/>
      <c r="AJ31" s="292"/>
    </row>
    <row r="32">
      <c r="B32" s="291"/>
      <c r="AJ32" s="292"/>
    </row>
    <row r="33">
      <c r="B33" s="291"/>
      <c r="AJ33" s="292"/>
    </row>
    <row r="34">
      <c r="B34" s="291"/>
      <c r="AJ34" s="292"/>
    </row>
    <row r="35">
      <c r="B35" s="291"/>
      <c r="AJ35" s="292"/>
    </row>
    <row r="36">
      <c r="B36" s="291"/>
      <c r="AJ36" s="292"/>
    </row>
    <row r="37">
      <c r="B37" s="291"/>
      <c r="AJ37" s="292"/>
    </row>
    <row r="38">
      <c r="B38" s="291"/>
      <c r="AJ38" s="292"/>
    </row>
    <row r="39">
      <c r="B39" s="291"/>
      <c r="AJ39" s="292"/>
    </row>
    <row r="40">
      <c r="B40" s="291"/>
      <c r="AJ40" s="292"/>
    </row>
    <row r="41">
      <c r="B41" s="291"/>
      <c r="AJ41" s="292"/>
    </row>
    <row r="42">
      <c r="B42" s="291"/>
      <c r="AJ42" s="292"/>
    </row>
    <row r="43">
      <c r="B43" s="291"/>
      <c r="AJ43" s="292"/>
    </row>
    <row r="44">
      <c r="B44" s="291"/>
      <c r="AJ44" s="292"/>
    </row>
    <row r="45">
      <c r="B45" s="291"/>
      <c r="AJ45" s="292"/>
    </row>
    <row r="46">
      <c r="B46" s="291"/>
      <c r="AJ46" s="292"/>
    </row>
    <row r="47">
      <c r="B47" s="291"/>
      <c r="AJ47" s="292"/>
    </row>
    <row r="48">
      <c r="B48" s="291"/>
      <c r="AJ48" s="292"/>
    </row>
    <row r="49">
      <c r="B49" s="291"/>
      <c r="AJ49" s="292"/>
    </row>
    <row r="50">
      <c r="B50" s="291"/>
      <c r="AJ50" s="292"/>
    </row>
    <row r="51">
      <c r="B51" s="291"/>
      <c r="AJ51" s="292"/>
    </row>
    <row r="52">
      <c r="B52" s="291"/>
      <c r="AJ52" s="292"/>
    </row>
    <row r="53">
      <c r="B53" s="291"/>
      <c r="AJ53" s="292"/>
    </row>
    <row r="54">
      <c r="B54" s="291"/>
      <c r="AJ54" s="292"/>
    </row>
    <row r="55">
      <c r="B55" s="291"/>
      <c r="AJ55" s="292"/>
    </row>
    <row r="56">
      <c r="B56" s="291"/>
      <c r="AJ56" s="292"/>
    </row>
    <row r="57">
      <c r="B57" s="291"/>
      <c r="AJ57" s="292"/>
    </row>
    <row r="58">
      <c r="B58" s="291"/>
      <c r="AJ58" s="292"/>
    </row>
    <row r="59">
      <c r="B59" s="291"/>
      <c r="AJ59" s="292"/>
    </row>
    <row r="60">
      <c r="B60" s="291"/>
      <c r="AJ60" s="292"/>
    </row>
    <row r="61">
      <c r="B61" s="291"/>
      <c r="AJ61" s="292"/>
    </row>
    <row r="62">
      <c r="B62" s="291"/>
      <c r="AJ62" s="292"/>
    </row>
    <row r="63">
      <c r="B63" s="291"/>
      <c r="AJ63" s="292"/>
    </row>
    <row r="64">
      <c r="B64" s="291"/>
      <c r="AJ64" s="292"/>
    </row>
    <row r="65">
      <c r="B65" s="291"/>
      <c r="AJ65" s="292"/>
    </row>
    <row r="66">
      <c r="B66" s="291"/>
      <c r="AJ66" s="292"/>
    </row>
    <row r="67">
      <c r="B67" s="291"/>
      <c r="AJ67" s="292"/>
    </row>
    <row r="68">
      <c r="B68" s="291"/>
      <c r="AJ68" s="292"/>
    </row>
    <row r="69">
      <c r="B69" s="291"/>
      <c r="AJ69" s="292"/>
    </row>
    <row r="70">
      <c r="B70" s="291"/>
      <c r="AJ70" s="292"/>
    </row>
    <row r="71">
      <c r="B71" s="291"/>
      <c r="AJ71" s="292"/>
    </row>
    <row r="72">
      <c r="B72" s="291"/>
      <c r="AJ72" s="292"/>
    </row>
    <row r="73">
      <c r="B73" s="291"/>
      <c r="AJ73" s="292"/>
    </row>
    <row r="74">
      <c r="B74" s="291"/>
      <c r="AJ74" s="292"/>
    </row>
    <row r="75">
      <c r="B75" s="291"/>
      <c r="AJ75" s="292"/>
    </row>
    <row r="76">
      <c r="B76" s="291"/>
      <c r="AJ76" s="292"/>
    </row>
    <row r="77">
      <c r="B77" s="291"/>
      <c r="AJ77" s="292"/>
    </row>
    <row r="78">
      <c r="B78" s="291"/>
      <c r="AJ78" s="292"/>
    </row>
    <row r="79">
      <c r="B79" s="291"/>
      <c r="AJ79" s="292"/>
    </row>
    <row r="80">
      <c r="B80" s="291"/>
      <c r="AJ80" s="292"/>
    </row>
    <row r="81">
      <c r="B81" s="291"/>
      <c r="AJ81" s="292"/>
    </row>
    <row r="82">
      <c r="B82" s="291"/>
      <c r="AJ82" s="292"/>
    </row>
    <row r="83">
      <c r="B83" s="291"/>
      <c r="AJ83" s="292"/>
    </row>
    <row r="84">
      <c r="B84" s="291"/>
      <c r="AJ84" s="292"/>
    </row>
    <row r="85">
      <c r="B85" s="291"/>
      <c r="AJ85" s="292"/>
    </row>
    <row r="86">
      <c r="B86" s="291"/>
      <c r="AJ86" s="292"/>
    </row>
    <row r="87">
      <c r="B87" s="291"/>
      <c r="AJ87" s="292"/>
    </row>
    <row r="88">
      <c r="B88" s="291"/>
      <c r="AJ88" s="292"/>
    </row>
    <row r="89">
      <c r="B89" s="291"/>
      <c r="AJ89" s="292"/>
    </row>
    <row r="90">
      <c r="B90" s="291"/>
      <c r="AJ90" s="292"/>
    </row>
    <row r="91">
      <c r="B91" s="291"/>
      <c r="AJ91" s="292"/>
    </row>
    <row r="92">
      <c r="B92" s="291"/>
      <c r="AJ92" s="292"/>
    </row>
    <row r="93">
      <c r="B93" s="291"/>
      <c r="AJ93" s="292"/>
    </row>
    <row r="94">
      <c r="B94" s="291"/>
      <c r="AJ94" s="292"/>
    </row>
    <row r="95">
      <c r="B95" s="291"/>
      <c r="AJ95" s="292"/>
    </row>
    <row r="96">
      <c r="B96" s="291"/>
      <c r="AJ96" s="292"/>
    </row>
    <row r="97">
      <c r="B97" s="291"/>
      <c r="AJ97" s="292"/>
    </row>
    <row r="98">
      <c r="B98" s="291"/>
      <c r="AJ98" s="292"/>
    </row>
    <row r="99">
      <c r="B99" s="291"/>
      <c r="AJ99" s="292"/>
    </row>
    <row r="100">
      <c r="B100" s="291"/>
      <c r="AJ100" s="292"/>
    </row>
    <row r="101">
      <c r="B101" s="291"/>
      <c r="AJ101" s="292"/>
    </row>
    <row r="102">
      <c r="B102" s="291"/>
      <c r="AJ102" s="292"/>
    </row>
    <row r="103">
      <c r="B103" s="291"/>
      <c r="AJ103" s="292"/>
    </row>
    <row r="104">
      <c r="B104" s="291"/>
      <c r="AJ104" s="292"/>
    </row>
    <row r="105">
      <c r="B105" s="291"/>
      <c r="AJ105" s="292"/>
    </row>
    <row r="106">
      <c r="B106" s="291"/>
      <c r="AJ106" s="292"/>
    </row>
    <row r="107">
      <c r="B107" s="291"/>
      <c r="AJ107" s="292"/>
    </row>
    <row r="108">
      <c r="B108" s="291"/>
      <c r="AJ108" s="292"/>
    </row>
    <row r="109">
      <c r="B109" s="291"/>
      <c r="AJ109" s="292"/>
    </row>
    <row r="110">
      <c r="B110" s="291"/>
      <c r="AJ110" s="292"/>
    </row>
    <row r="111">
      <c r="B111" s="291"/>
      <c r="AJ111" s="292"/>
    </row>
    <row r="112">
      <c r="B112" s="291"/>
      <c r="AJ112" s="292"/>
    </row>
    <row r="113">
      <c r="B113" s="291"/>
      <c r="AJ113" s="292"/>
    </row>
    <row r="114">
      <c r="B114" s="291"/>
      <c r="AJ114" s="292"/>
    </row>
    <row r="115">
      <c r="B115" s="291"/>
      <c r="AJ115" s="292"/>
    </row>
    <row r="116">
      <c r="B116" s="291"/>
      <c r="AJ116" s="292"/>
    </row>
    <row r="117">
      <c r="B117" s="291"/>
      <c r="AJ117" s="292"/>
    </row>
    <row r="118">
      <c r="B118" s="291"/>
      <c r="AJ118" s="292"/>
    </row>
    <row r="119">
      <c r="B119" s="291"/>
      <c r="AJ119" s="292"/>
    </row>
    <row r="120">
      <c r="B120" s="291"/>
      <c r="AJ120" s="292"/>
    </row>
    <row r="121">
      <c r="B121" s="291"/>
      <c r="AJ121" s="292"/>
    </row>
    <row r="122">
      <c r="B122" s="291"/>
      <c r="AJ122" s="292"/>
    </row>
    <row r="123">
      <c r="B123" s="291"/>
      <c r="AJ123" s="292"/>
    </row>
    <row r="124">
      <c r="B124" s="291"/>
      <c r="AJ124" s="292"/>
    </row>
    <row r="125">
      <c r="B125" s="291"/>
      <c r="AJ125" s="292"/>
    </row>
    <row r="126">
      <c r="B126" s="291"/>
      <c r="AJ126" s="292"/>
    </row>
    <row r="127">
      <c r="B127" s="291"/>
      <c r="AJ127" s="292"/>
    </row>
    <row r="128">
      <c r="B128" s="291"/>
      <c r="AJ128" s="292"/>
    </row>
    <row r="129">
      <c r="B129" s="291"/>
      <c r="AJ129" s="292"/>
    </row>
    <row r="130">
      <c r="B130" s="291"/>
      <c r="AJ130" s="292"/>
    </row>
    <row r="131">
      <c r="B131" s="291"/>
      <c r="AJ131" s="292"/>
    </row>
    <row r="132">
      <c r="B132" s="291"/>
      <c r="AJ132" s="292"/>
    </row>
    <row r="133">
      <c r="B133" s="291"/>
      <c r="AJ133" s="292"/>
    </row>
    <row r="134">
      <c r="B134" s="291"/>
      <c r="AJ134" s="292"/>
    </row>
    <row r="135">
      <c r="B135" s="291"/>
      <c r="AJ135" s="292"/>
    </row>
    <row r="136">
      <c r="B136" s="291"/>
      <c r="AJ136" s="292"/>
    </row>
    <row r="137">
      <c r="B137" s="291"/>
      <c r="AJ137" s="292"/>
    </row>
    <row r="138">
      <c r="B138" s="291"/>
      <c r="AJ138" s="292"/>
    </row>
    <row r="139">
      <c r="B139" s="291"/>
      <c r="AJ139" s="292"/>
    </row>
    <row r="140">
      <c r="B140" s="291"/>
      <c r="AJ140" s="292"/>
    </row>
    <row r="141">
      <c r="B141" s="291"/>
      <c r="AJ141" s="292"/>
    </row>
    <row r="142">
      <c r="B142" s="291"/>
      <c r="AJ142" s="292"/>
    </row>
    <row r="143">
      <c r="B143" s="291"/>
      <c r="AJ143" s="292"/>
    </row>
    <row r="144">
      <c r="B144" s="291"/>
      <c r="AJ144" s="292"/>
    </row>
    <row r="145">
      <c r="B145" s="291"/>
      <c r="AJ145" s="292"/>
    </row>
    <row r="146">
      <c r="B146" s="291"/>
      <c r="AJ146" s="292"/>
    </row>
    <row r="147">
      <c r="B147" s="291"/>
      <c r="AJ147" s="292"/>
    </row>
    <row r="148">
      <c r="B148" s="291"/>
      <c r="AJ148" s="292"/>
    </row>
    <row r="149">
      <c r="B149" s="291"/>
      <c r="AJ149" s="292"/>
    </row>
    <row r="150">
      <c r="B150" s="291"/>
      <c r="AJ150" s="292"/>
    </row>
    <row r="151">
      <c r="B151" s="291"/>
      <c r="AJ151" s="292"/>
    </row>
    <row r="152">
      <c r="B152" s="291"/>
      <c r="AJ152" s="292"/>
    </row>
    <row r="153">
      <c r="B153" s="291"/>
      <c r="AJ153" s="292"/>
    </row>
    <row r="154">
      <c r="B154" s="291"/>
      <c r="AJ154" s="292"/>
    </row>
    <row r="155">
      <c r="B155" s="291"/>
      <c r="AJ155" s="292"/>
    </row>
    <row r="156">
      <c r="B156" s="291"/>
      <c r="AJ156" s="292"/>
    </row>
    <row r="157">
      <c r="B157" s="291"/>
      <c r="AJ157" s="292"/>
    </row>
    <row r="158">
      <c r="B158" s="291"/>
      <c r="AJ158" s="292"/>
    </row>
    <row r="159">
      <c r="B159" s="291"/>
      <c r="AJ159" s="292"/>
    </row>
    <row r="160">
      <c r="B160" s="291"/>
      <c r="AJ160" s="292"/>
    </row>
    <row r="161">
      <c r="B161" s="291"/>
      <c r="AJ161" s="292"/>
    </row>
    <row r="162">
      <c r="B162" s="291"/>
      <c r="AJ162" s="292"/>
    </row>
    <row r="163">
      <c r="B163" s="291"/>
      <c r="AJ163" s="292"/>
    </row>
    <row r="164">
      <c r="B164" s="291"/>
      <c r="AJ164" s="292"/>
    </row>
    <row r="165">
      <c r="B165" s="291"/>
      <c r="AJ165" s="292"/>
    </row>
    <row r="166">
      <c r="B166" s="291"/>
      <c r="AJ166" s="292"/>
    </row>
    <row r="167">
      <c r="B167" s="291"/>
      <c r="AJ167" s="292"/>
    </row>
    <row r="168">
      <c r="B168" s="291"/>
      <c r="AJ168" s="292"/>
    </row>
    <row r="169">
      <c r="B169" s="291"/>
      <c r="AJ169" s="292"/>
    </row>
    <row r="170">
      <c r="B170" s="291"/>
      <c r="AJ170" s="292"/>
    </row>
    <row r="171">
      <c r="B171" s="291"/>
      <c r="AJ171" s="292"/>
    </row>
    <row r="172">
      <c r="B172" s="291"/>
      <c r="AJ172" s="292"/>
    </row>
    <row r="173">
      <c r="B173" s="291"/>
      <c r="AJ173" s="292"/>
    </row>
    <row r="174">
      <c r="B174" s="291"/>
      <c r="AJ174" s="292"/>
    </row>
    <row r="175">
      <c r="B175" s="291"/>
      <c r="AJ175" s="292"/>
    </row>
    <row r="176">
      <c r="B176" s="291"/>
      <c r="AJ176" s="292"/>
    </row>
    <row r="177">
      <c r="B177" s="291"/>
      <c r="AJ177" s="292"/>
    </row>
    <row r="178">
      <c r="B178" s="291"/>
      <c r="AJ178" s="292"/>
    </row>
    <row r="179">
      <c r="B179" s="291"/>
      <c r="AJ179" s="292"/>
    </row>
    <row r="180">
      <c r="B180" s="291"/>
      <c r="AJ180" s="292"/>
    </row>
    <row r="181">
      <c r="B181" s="291"/>
      <c r="AJ181" s="292"/>
    </row>
    <row r="182">
      <c r="B182" s="291"/>
      <c r="AJ182" s="292"/>
    </row>
    <row r="183">
      <c r="B183" s="291"/>
      <c r="AJ183" s="292"/>
    </row>
    <row r="184">
      <c r="B184" s="291"/>
      <c r="AJ184" s="292"/>
    </row>
    <row r="185">
      <c r="B185" s="291"/>
      <c r="AJ185" s="292"/>
    </row>
    <row r="186">
      <c r="B186" s="291"/>
      <c r="AJ186" s="292"/>
    </row>
    <row r="187">
      <c r="B187" s="291"/>
      <c r="AJ187" s="292"/>
    </row>
    <row r="188">
      <c r="B188" s="291"/>
      <c r="AJ188" s="292"/>
    </row>
    <row r="189">
      <c r="B189" s="291"/>
      <c r="AJ189" s="292"/>
    </row>
    <row r="190">
      <c r="B190" s="291"/>
      <c r="AJ190" s="292"/>
    </row>
    <row r="191">
      <c r="B191" s="291"/>
      <c r="AJ191" s="292"/>
    </row>
    <row r="192">
      <c r="B192" s="291"/>
      <c r="AJ192" s="292"/>
    </row>
    <row r="193">
      <c r="B193" s="291"/>
      <c r="AJ193" s="292"/>
    </row>
    <row r="194">
      <c r="B194" s="291"/>
      <c r="AJ194" s="292"/>
    </row>
    <row r="195">
      <c r="B195" s="291"/>
      <c r="AJ195" s="292"/>
    </row>
    <row r="196">
      <c r="B196" s="291"/>
      <c r="AJ196" s="292"/>
    </row>
    <row r="197">
      <c r="B197" s="291"/>
      <c r="AJ197" s="292"/>
    </row>
    <row r="198">
      <c r="B198" s="291"/>
      <c r="AJ198" s="292"/>
    </row>
    <row r="199">
      <c r="B199" s="291"/>
      <c r="AJ199" s="292"/>
    </row>
    <row r="200">
      <c r="B200" s="291"/>
      <c r="AJ200" s="292"/>
    </row>
    <row r="201">
      <c r="B201" s="291"/>
      <c r="AJ201" s="292"/>
    </row>
    <row r="202">
      <c r="B202" s="291"/>
      <c r="AJ202" s="292"/>
    </row>
    <row r="203">
      <c r="B203" s="291"/>
      <c r="AJ203" s="292"/>
    </row>
    <row r="204">
      <c r="B204" s="291"/>
      <c r="AJ204" s="292"/>
    </row>
    <row r="205">
      <c r="B205" s="291"/>
      <c r="AJ205" s="292"/>
    </row>
    <row r="206">
      <c r="B206" s="291"/>
      <c r="AJ206" s="292"/>
    </row>
    <row r="207">
      <c r="B207" s="291"/>
      <c r="AJ207" s="292"/>
    </row>
    <row r="208">
      <c r="B208" s="291"/>
      <c r="AJ208" s="292"/>
    </row>
    <row r="209">
      <c r="B209" s="291"/>
      <c r="AJ209" s="292"/>
    </row>
    <row r="210">
      <c r="B210" s="291"/>
      <c r="AJ210" s="292"/>
    </row>
    <row r="211">
      <c r="B211" s="291"/>
      <c r="AJ211" s="292"/>
    </row>
    <row r="212">
      <c r="B212" s="291"/>
      <c r="AJ212" s="292"/>
    </row>
    <row r="213">
      <c r="B213" s="291"/>
      <c r="AJ213" s="292"/>
    </row>
    <row r="214">
      <c r="B214" s="291"/>
      <c r="AJ214" s="292"/>
    </row>
    <row r="215">
      <c r="B215" s="291"/>
      <c r="AJ215" s="292"/>
    </row>
    <row r="216">
      <c r="B216" s="291"/>
      <c r="AJ216" s="292"/>
    </row>
    <row r="217">
      <c r="B217" s="291"/>
      <c r="AJ217" s="292"/>
    </row>
    <row r="218">
      <c r="B218" s="291"/>
      <c r="AJ218" s="292"/>
    </row>
    <row r="219">
      <c r="B219" s="291"/>
      <c r="AJ219" s="292"/>
    </row>
    <row r="220">
      <c r="B220" s="291"/>
      <c r="AJ220" s="292"/>
    </row>
    <row r="221">
      <c r="B221" s="291"/>
      <c r="AJ221" s="292"/>
    </row>
    <row r="222">
      <c r="B222" s="291"/>
      <c r="AJ222" s="292"/>
    </row>
    <row r="223">
      <c r="B223" s="291"/>
      <c r="AJ223" s="292"/>
    </row>
    <row r="224">
      <c r="B224" s="291"/>
      <c r="AJ224" s="292"/>
    </row>
    <row r="225">
      <c r="B225" s="291"/>
      <c r="AJ225" s="292"/>
    </row>
    <row r="226">
      <c r="B226" s="291"/>
      <c r="AJ226" s="292"/>
    </row>
    <row r="227">
      <c r="B227" s="291"/>
      <c r="AJ227" s="292"/>
    </row>
    <row r="228">
      <c r="B228" s="291"/>
      <c r="AJ228" s="292"/>
    </row>
    <row r="229">
      <c r="B229" s="291"/>
      <c r="AJ229" s="292"/>
    </row>
    <row r="230">
      <c r="B230" s="291"/>
      <c r="AJ230" s="292"/>
    </row>
    <row r="231">
      <c r="B231" s="291"/>
      <c r="AJ231" s="292"/>
    </row>
    <row r="232">
      <c r="B232" s="291"/>
      <c r="AJ232" s="292"/>
    </row>
    <row r="233">
      <c r="B233" s="291"/>
      <c r="AJ233" s="292"/>
    </row>
    <row r="234">
      <c r="B234" s="291"/>
      <c r="AJ234" s="292"/>
    </row>
    <row r="235">
      <c r="B235" s="291"/>
      <c r="AJ235" s="292"/>
    </row>
    <row r="236">
      <c r="B236" s="291"/>
      <c r="AJ236" s="292"/>
    </row>
    <row r="237">
      <c r="B237" s="291"/>
      <c r="AJ237" s="292"/>
    </row>
    <row r="238">
      <c r="B238" s="291"/>
      <c r="AJ238" s="292"/>
    </row>
    <row r="239">
      <c r="B239" s="291"/>
      <c r="AJ239" s="292"/>
    </row>
    <row r="240">
      <c r="B240" s="291"/>
      <c r="AJ240" s="292"/>
    </row>
    <row r="241">
      <c r="B241" s="291"/>
      <c r="AJ241" s="292"/>
    </row>
    <row r="242">
      <c r="B242" s="291"/>
      <c r="AJ242" s="292"/>
    </row>
    <row r="243">
      <c r="B243" s="291"/>
      <c r="AJ243" s="292"/>
    </row>
    <row r="244">
      <c r="B244" s="291"/>
      <c r="AJ244" s="292"/>
    </row>
    <row r="245">
      <c r="B245" s="291"/>
      <c r="AJ245" s="292"/>
    </row>
    <row r="246">
      <c r="B246" s="291"/>
      <c r="AJ246" s="292"/>
    </row>
    <row r="247">
      <c r="B247" s="291"/>
      <c r="AJ247" s="292"/>
    </row>
    <row r="248">
      <c r="B248" s="291"/>
      <c r="AJ248" s="292"/>
    </row>
    <row r="249">
      <c r="B249" s="291"/>
      <c r="AJ249" s="292"/>
    </row>
    <row r="250">
      <c r="B250" s="291"/>
      <c r="AJ250" s="292"/>
    </row>
    <row r="251">
      <c r="B251" s="291"/>
      <c r="AJ251" s="292"/>
    </row>
    <row r="252">
      <c r="B252" s="291"/>
      <c r="AJ252" s="292"/>
    </row>
    <row r="253">
      <c r="B253" s="291"/>
      <c r="AJ253" s="292"/>
    </row>
    <row r="254">
      <c r="B254" s="291"/>
      <c r="AJ254" s="292"/>
    </row>
    <row r="255">
      <c r="B255" s="291"/>
      <c r="AJ255" s="292"/>
    </row>
    <row r="256">
      <c r="B256" s="291"/>
      <c r="AJ256" s="292"/>
    </row>
    <row r="257">
      <c r="B257" s="291"/>
      <c r="AJ257" s="292"/>
    </row>
    <row r="258">
      <c r="B258" s="291"/>
      <c r="AJ258" s="292"/>
    </row>
    <row r="259">
      <c r="B259" s="291"/>
      <c r="AJ259" s="292"/>
    </row>
    <row r="260">
      <c r="B260" s="291"/>
      <c r="AJ260" s="292"/>
    </row>
    <row r="261">
      <c r="B261" s="291"/>
      <c r="AJ261" s="292"/>
    </row>
    <row r="262">
      <c r="B262" s="291"/>
      <c r="AJ262" s="292"/>
    </row>
    <row r="263">
      <c r="B263" s="291"/>
      <c r="AJ263" s="292"/>
    </row>
    <row r="264">
      <c r="B264" s="291"/>
      <c r="AJ264" s="292"/>
    </row>
    <row r="265">
      <c r="B265" s="291"/>
      <c r="AJ265" s="292"/>
    </row>
    <row r="266">
      <c r="B266" s="291"/>
      <c r="AJ266" s="292"/>
    </row>
    <row r="267">
      <c r="B267" s="291"/>
      <c r="AJ267" s="292"/>
    </row>
    <row r="268">
      <c r="B268" s="291"/>
      <c r="AJ268" s="292"/>
    </row>
    <row r="269">
      <c r="B269" s="291"/>
      <c r="AJ269" s="292"/>
    </row>
    <row r="270">
      <c r="B270" s="291"/>
      <c r="AJ270" s="292"/>
    </row>
    <row r="271">
      <c r="B271" s="291"/>
      <c r="AJ271" s="292"/>
    </row>
    <row r="272">
      <c r="B272" s="291"/>
      <c r="AJ272" s="292"/>
    </row>
    <row r="273">
      <c r="B273" s="291"/>
      <c r="AJ273" s="292"/>
    </row>
    <row r="274">
      <c r="B274" s="291"/>
      <c r="AJ274" s="292"/>
    </row>
    <row r="275">
      <c r="B275" s="291"/>
      <c r="AJ275" s="292"/>
    </row>
    <row r="276">
      <c r="B276" s="291"/>
      <c r="AJ276" s="292"/>
    </row>
    <row r="277">
      <c r="B277" s="291"/>
      <c r="AJ277" s="292"/>
    </row>
    <row r="278">
      <c r="B278" s="291"/>
      <c r="AJ278" s="292"/>
    </row>
    <row r="279">
      <c r="B279" s="291"/>
      <c r="AJ279" s="292"/>
    </row>
    <row r="280">
      <c r="B280" s="291"/>
      <c r="AJ280" s="292"/>
    </row>
    <row r="281">
      <c r="B281" s="291"/>
      <c r="AJ281" s="292"/>
    </row>
    <row r="282">
      <c r="B282" s="291"/>
      <c r="AJ282" s="292"/>
    </row>
    <row r="283">
      <c r="B283" s="291"/>
      <c r="AJ283" s="292"/>
    </row>
    <row r="284">
      <c r="B284" s="291"/>
      <c r="AJ284" s="292"/>
    </row>
    <row r="285">
      <c r="B285" s="291"/>
      <c r="AJ285" s="292"/>
    </row>
    <row r="286">
      <c r="B286" s="291"/>
      <c r="AJ286" s="292"/>
    </row>
    <row r="287">
      <c r="B287" s="291"/>
      <c r="AJ287" s="292"/>
    </row>
    <row r="288">
      <c r="B288" s="291"/>
      <c r="AJ288" s="292"/>
    </row>
    <row r="289">
      <c r="B289" s="291"/>
      <c r="AJ289" s="292"/>
    </row>
    <row r="290">
      <c r="B290" s="291"/>
      <c r="AJ290" s="292"/>
    </row>
    <row r="291">
      <c r="B291" s="291"/>
      <c r="AJ291" s="292"/>
    </row>
    <row r="292">
      <c r="B292" s="291"/>
      <c r="AJ292" s="292"/>
    </row>
    <row r="293">
      <c r="B293" s="291"/>
      <c r="AJ293" s="292"/>
    </row>
    <row r="294">
      <c r="B294" s="291"/>
      <c r="AJ294" s="292"/>
    </row>
    <row r="295">
      <c r="B295" s="291"/>
      <c r="AJ295" s="292"/>
    </row>
    <row r="296">
      <c r="B296" s="291"/>
      <c r="AJ296" s="292"/>
    </row>
    <row r="297">
      <c r="B297" s="291"/>
      <c r="AJ297" s="292"/>
    </row>
    <row r="298">
      <c r="B298" s="291"/>
      <c r="AJ298" s="292"/>
    </row>
    <row r="299">
      <c r="B299" s="291"/>
      <c r="AJ299" s="292"/>
    </row>
    <row r="300">
      <c r="B300" s="291"/>
      <c r="AJ300" s="292"/>
    </row>
    <row r="301">
      <c r="B301" s="291"/>
      <c r="AJ301" s="292"/>
    </row>
    <row r="302">
      <c r="B302" s="291"/>
      <c r="AJ302" s="292"/>
    </row>
    <row r="303">
      <c r="B303" s="291"/>
      <c r="AJ303" s="292"/>
    </row>
    <row r="304">
      <c r="B304" s="291"/>
      <c r="AJ304" s="292"/>
    </row>
    <row r="305">
      <c r="B305" s="291"/>
      <c r="AJ305" s="292"/>
    </row>
    <row r="306">
      <c r="B306" s="291"/>
      <c r="AJ306" s="292"/>
    </row>
    <row r="307">
      <c r="B307" s="291"/>
      <c r="AJ307" s="292"/>
    </row>
    <row r="308">
      <c r="B308" s="291"/>
      <c r="AJ308" s="292"/>
    </row>
    <row r="309">
      <c r="B309" s="291"/>
      <c r="AJ309" s="292"/>
    </row>
    <row r="310">
      <c r="B310" s="291"/>
      <c r="AJ310" s="292"/>
    </row>
    <row r="311">
      <c r="B311" s="291"/>
      <c r="AJ311" s="292"/>
    </row>
    <row r="312">
      <c r="B312" s="291"/>
      <c r="AJ312" s="292"/>
    </row>
    <row r="313">
      <c r="B313" s="291"/>
      <c r="AJ313" s="292"/>
    </row>
    <row r="314">
      <c r="B314" s="291"/>
      <c r="AJ314" s="292"/>
    </row>
    <row r="315">
      <c r="B315" s="291"/>
      <c r="AJ315" s="292"/>
    </row>
    <row r="316">
      <c r="B316" s="291"/>
      <c r="AJ316" s="292"/>
    </row>
    <row r="317">
      <c r="B317" s="291"/>
      <c r="AJ317" s="292"/>
    </row>
    <row r="318">
      <c r="B318" s="291"/>
      <c r="AJ318" s="292"/>
    </row>
    <row r="319">
      <c r="B319" s="291"/>
      <c r="AJ319" s="292"/>
    </row>
    <row r="320">
      <c r="B320" s="291"/>
      <c r="AJ320" s="292"/>
    </row>
    <row r="321">
      <c r="B321" s="291"/>
      <c r="AJ321" s="292"/>
    </row>
    <row r="322">
      <c r="B322" s="291"/>
      <c r="AJ322" s="292"/>
    </row>
    <row r="323">
      <c r="B323" s="291"/>
      <c r="AJ323" s="292"/>
    </row>
    <row r="324">
      <c r="B324" s="291"/>
      <c r="AJ324" s="292"/>
    </row>
    <row r="325">
      <c r="B325" s="291"/>
      <c r="AJ325" s="292"/>
    </row>
    <row r="326">
      <c r="B326" s="291"/>
      <c r="AJ326" s="292"/>
    </row>
    <row r="327">
      <c r="B327" s="291"/>
      <c r="AJ327" s="292"/>
    </row>
    <row r="328">
      <c r="B328" s="291"/>
      <c r="AJ328" s="292"/>
    </row>
    <row r="329">
      <c r="B329" s="291"/>
      <c r="AJ329" s="292"/>
    </row>
    <row r="330">
      <c r="B330" s="291"/>
      <c r="AJ330" s="292"/>
    </row>
    <row r="331">
      <c r="B331" s="291"/>
      <c r="AJ331" s="292"/>
    </row>
    <row r="332">
      <c r="B332" s="291"/>
      <c r="AJ332" s="292"/>
    </row>
    <row r="333">
      <c r="B333" s="291"/>
      <c r="AJ333" s="292"/>
    </row>
    <row r="334">
      <c r="B334" s="291"/>
      <c r="AJ334" s="292"/>
    </row>
    <row r="335">
      <c r="B335" s="291"/>
      <c r="AJ335" s="292"/>
    </row>
    <row r="336">
      <c r="B336" s="291"/>
      <c r="AJ336" s="292"/>
    </row>
    <row r="337">
      <c r="B337" s="291"/>
      <c r="AJ337" s="292"/>
    </row>
    <row r="338">
      <c r="B338" s="291"/>
      <c r="AJ338" s="292"/>
    </row>
    <row r="339">
      <c r="B339" s="291"/>
      <c r="AJ339" s="292"/>
    </row>
    <row r="340">
      <c r="B340" s="291"/>
      <c r="AJ340" s="292"/>
    </row>
    <row r="341">
      <c r="B341" s="291"/>
      <c r="AJ341" s="292"/>
    </row>
    <row r="342">
      <c r="B342" s="291"/>
      <c r="AJ342" s="292"/>
    </row>
    <row r="343">
      <c r="B343" s="291"/>
      <c r="AJ343" s="292"/>
    </row>
    <row r="344">
      <c r="B344" s="291"/>
      <c r="AJ344" s="292"/>
    </row>
    <row r="345">
      <c r="B345" s="291"/>
      <c r="AJ345" s="292"/>
    </row>
    <row r="346">
      <c r="B346" s="291"/>
      <c r="AJ346" s="292"/>
    </row>
    <row r="347">
      <c r="B347" s="291"/>
      <c r="AJ347" s="292"/>
    </row>
    <row r="348">
      <c r="B348" s="291"/>
      <c r="AJ348" s="292"/>
    </row>
    <row r="349">
      <c r="B349" s="291"/>
      <c r="AJ349" s="292"/>
    </row>
    <row r="350">
      <c r="B350" s="291"/>
      <c r="AJ350" s="292"/>
    </row>
    <row r="351">
      <c r="B351" s="291"/>
      <c r="AJ351" s="292"/>
    </row>
    <row r="352">
      <c r="B352" s="291"/>
      <c r="AJ352" s="292"/>
    </row>
    <row r="353">
      <c r="B353" s="291"/>
      <c r="AJ353" s="292"/>
    </row>
    <row r="354">
      <c r="B354" s="291"/>
      <c r="AJ354" s="292"/>
    </row>
    <row r="355">
      <c r="B355" s="291"/>
      <c r="AJ355" s="292"/>
    </row>
    <row r="356">
      <c r="B356" s="291"/>
      <c r="AJ356" s="292"/>
    </row>
    <row r="357">
      <c r="B357" s="291"/>
      <c r="AJ357" s="292"/>
    </row>
    <row r="358">
      <c r="B358" s="291"/>
      <c r="AJ358" s="292"/>
    </row>
    <row r="359">
      <c r="B359" s="291"/>
      <c r="AJ359" s="292"/>
    </row>
    <row r="360">
      <c r="B360" s="291"/>
      <c r="AJ360" s="292"/>
    </row>
    <row r="361">
      <c r="B361" s="291"/>
      <c r="AJ361" s="292"/>
    </row>
    <row r="362">
      <c r="B362" s="291"/>
      <c r="AJ362" s="292"/>
    </row>
    <row r="363">
      <c r="B363" s="291"/>
      <c r="AJ363" s="292"/>
    </row>
    <row r="364">
      <c r="B364" s="291"/>
      <c r="AJ364" s="292"/>
    </row>
    <row r="365">
      <c r="B365" s="291"/>
      <c r="AJ365" s="292"/>
    </row>
    <row r="366">
      <c r="B366" s="291"/>
      <c r="AJ366" s="292"/>
    </row>
    <row r="367">
      <c r="B367" s="291"/>
      <c r="AJ367" s="292"/>
    </row>
    <row r="368">
      <c r="B368" s="291"/>
      <c r="AJ368" s="292"/>
    </row>
    <row r="369">
      <c r="B369" s="291"/>
      <c r="AJ369" s="292"/>
    </row>
    <row r="370">
      <c r="B370" s="291"/>
      <c r="AJ370" s="292"/>
    </row>
    <row r="371">
      <c r="B371" s="291"/>
      <c r="AJ371" s="292"/>
    </row>
    <row r="372">
      <c r="B372" s="291"/>
      <c r="AJ372" s="292"/>
    </row>
    <row r="373">
      <c r="B373" s="291"/>
      <c r="AJ373" s="292"/>
    </row>
    <row r="374">
      <c r="B374" s="291"/>
      <c r="AJ374" s="292"/>
    </row>
    <row r="375">
      <c r="B375" s="291"/>
      <c r="AJ375" s="292"/>
    </row>
    <row r="376">
      <c r="B376" s="291"/>
      <c r="AJ376" s="292"/>
    </row>
    <row r="377">
      <c r="B377" s="291"/>
      <c r="AJ377" s="292"/>
    </row>
    <row r="378">
      <c r="B378" s="291"/>
      <c r="AJ378" s="292"/>
    </row>
    <row r="379">
      <c r="B379" s="291"/>
      <c r="AJ379" s="292"/>
    </row>
    <row r="380">
      <c r="B380" s="291"/>
      <c r="AJ380" s="292"/>
    </row>
    <row r="381">
      <c r="B381" s="291"/>
      <c r="AJ381" s="292"/>
    </row>
    <row r="382">
      <c r="B382" s="291"/>
      <c r="AJ382" s="292"/>
    </row>
    <row r="383">
      <c r="B383" s="291"/>
      <c r="AJ383" s="292"/>
    </row>
    <row r="384">
      <c r="B384" s="291"/>
      <c r="AJ384" s="292"/>
    </row>
    <row r="385">
      <c r="B385" s="291"/>
      <c r="AJ385" s="292"/>
    </row>
    <row r="386">
      <c r="B386" s="291"/>
      <c r="AJ386" s="292"/>
    </row>
    <row r="387">
      <c r="B387" s="291"/>
      <c r="AJ387" s="292"/>
    </row>
    <row r="388">
      <c r="B388" s="291"/>
      <c r="AJ388" s="292"/>
    </row>
    <row r="389">
      <c r="B389" s="291"/>
      <c r="AJ389" s="292"/>
    </row>
    <row r="390">
      <c r="B390" s="291"/>
      <c r="AJ390" s="292"/>
    </row>
    <row r="391">
      <c r="B391" s="291"/>
      <c r="AJ391" s="292"/>
    </row>
    <row r="392">
      <c r="B392" s="291"/>
      <c r="AJ392" s="292"/>
    </row>
    <row r="393">
      <c r="B393" s="291"/>
      <c r="AJ393" s="292"/>
    </row>
    <row r="394">
      <c r="B394" s="291"/>
      <c r="AJ394" s="292"/>
    </row>
    <row r="395">
      <c r="B395" s="291"/>
      <c r="AJ395" s="292"/>
    </row>
    <row r="396">
      <c r="B396" s="291"/>
      <c r="AJ396" s="292"/>
    </row>
    <row r="397">
      <c r="B397" s="291"/>
      <c r="AJ397" s="292"/>
    </row>
    <row r="398">
      <c r="B398" s="291"/>
      <c r="AJ398" s="292"/>
    </row>
    <row r="399">
      <c r="B399" s="291"/>
      <c r="AJ399" s="292"/>
    </row>
    <row r="400">
      <c r="B400" s="291"/>
      <c r="AJ400" s="292"/>
    </row>
    <row r="401">
      <c r="B401" s="291"/>
      <c r="AJ401" s="292"/>
    </row>
    <row r="402">
      <c r="B402" s="291"/>
      <c r="AJ402" s="292"/>
    </row>
    <row r="403">
      <c r="B403" s="291"/>
      <c r="AJ403" s="292"/>
    </row>
    <row r="404">
      <c r="B404" s="291"/>
      <c r="AJ404" s="292"/>
    </row>
    <row r="405">
      <c r="B405" s="291"/>
      <c r="AJ405" s="292"/>
    </row>
    <row r="406">
      <c r="B406" s="291"/>
      <c r="AJ406" s="292"/>
    </row>
    <row r="407">
      <c r="B407" s="291"/>
      <c r="AJ407" s="292"/>
    </row>
    <row r="408">
      <c r="B408" s="291"/>
      <c r="AJ408" s="292"/>
    </row>
    <row r="409">
      <c r="B409" s="291"/>
      <c r="AJ409" s="292"/>
    </row>
    <row r="410">
      <c r="B410" s="291"/>
      <c r="AJ410" s="292"/>
    </row>
    <row r="411">
      <c r="B411" s="291"/>
      <c r="AJ411" s="292"/>
    </row>
    <row r="412">
      <c r="B412" s="291"/>
      <c r="AJ412" s="292"/>
    </row>
    <row r="413">
      <c r="B413" s="291"/>
      <c r="AJ413" s="292"/>
    </row>
    <row r="414">
      <c r="B414" s="291"/>
      <c r="AJ414" s="292"/>
    </row>
    <row r="415">
      <c r="B415" s="291"/>
      <c r="AJ415" s="292"/>
    </row>
    <row r="416">
      <c r="B416" s="291"/>
      <c r="AJ416" s="292"/>
    </row>
    <row r="417">
      <c r="B417" s="291"/>
      <c r="AJ417" s="292"/>
    </row>
    <row r="418">
      <c r="B418" s="291"/>
      <c r="AJ418" s="292"/>
    </row>
    <row r="419">
      <c r="B419" s="291"/>
      <c r="AJ419" s="292"/>
    </row>
    <row r="420">
      <c r="B420" s="291"/>
      <c r="AJ420" s="292"/>
    </row>
    <row r="421">
      <c r="B421" s="291"/>
      <c r="AJ421" s="292"/>
    </row>
    <row r="422">
      <c r="B422" s="291"/>
      <c r="AJ422" s="292"/>
    </row>
    <row r="423">
      <c r="B423" s="291"/>
      <c r="AJ423" s="292"/>
    </row>
    <row r="424">
      <c r="B424" s="291"/>
      <c r="AJ424" s="292"/>
    </row>
    <row r="425">
      <c r="B425" s="291"/>
      <c r="AJ425" s="292"/>
    </row>
    <row r="426">
      <c r="B426" s="291"/>
      <c r="AJ426" s="292"/>
    </row>
    <row r="427">
      <c r="B427" s="291"/>
      <c r="AJ427" s="292"/>
    </row>
    <row r="428">
      <c r="B428" s="291"/>
      <c r="AJ428" s="292"/>
    </row>
    <row r="429">
      <c r="B429" s="291"/>
      <c r="AJ429" s="292"/>
    </row>
    <row r="430">
      <c r="B430" s="291"/>
      <c r="AJ430" s="292"/>
    </row>
    <row r="431">
      <c r="B431" s="291"/>
      <c r="AJ431" s="292"/>
    </row>
    <row r="432">
      <c r="B432" s="291"/>
      <c r="AJ432" s="292"/>
    </row>
    <row r="433">
      <c r="B433" s="291"/>
      <c r="AJ433" s="292"/>
    </row>
    <row r="434">
      <c r="B434" s="291"/>
      <c r="AJ434" s="292"/>
    </row>
    <row r="435">
      <c r="B435" s="291"/>
      <c r="AJ435" s="292"/>
    </row>
    <row r="436">
      <c r="B436" s="291"/>
      <c r="AJ436" s="292"/>
    </row>
    <row r="437">
      <c r="B437" s="291"/>
      <c r="AJ437" s="292"/>
    </row>
    <row r="438">
      <c r="B438" s="291"/>
      <c r="AJ438" s="292"/>
    </row>
    <row r="439">
      <c r="B439" s="291"/>
      <c r="AJ439" s="292"/>
    </row>
    <row r="440">
      <c r="B440" s="291"/>
      <c r="AJ440" s="292"/>
    </row>
    <row r="441">
      <c r="B441" s="291"/>
      <c r="AJ441" s="292"/>
    </row>
    <row r="442">
      <c r="B442" s="291"/>
      <c r="AJ442" s="292"/>
    </row>
    <row r="443">
      <c r="B443" s="291"/>
      <c r="AJ443" s="292"/>
    </row>
    <row r="444">
      <c r="B444" s="291"/>
      <c r="AJ444" s="292"/>
    </row>
    <row r="445">
      <c r="B445" s="291"/>
      <c r="AJ445" s="292"/>
    </row>
    <row r="446">
      <c r="B446" s="291"/>
      <c r="AJ446" s="292"/>
    </row>
    <row r="447">
      <c r="B447" s="291"/>
      <c r="AJ447" s="292"/>
    </row>
    <row r="448">
      <c r="B448" s="291"/>
      <c r="AJ448" s="292"/>
    </row>
    <row r="449">
      <c r="B449" s="291"/>
      <c r="AJ449" s="292"/>
    </row>
    <row r="450">
      <c r="B450" s="291"/>
      <c r="AJ450" s="292"/>
    </row>
    <row r="451">
      <c r="B451" s="291"/>
      <c r="AJ451" s="292"/>
    </row>
    <row r="452">
      <c r="B452" s="291"/>
      <c r="AJ452" s="292"/>
    </row>
    <row r="453">
      <c r="B453" s="291"/>
      <c r="AJ453" s="292"/>
    </row>
    <row r="454">
      <c r="B454" s="291"/>
      <c r="AJ454" s="292"/>
    </row>
    <row r="455">
      <c r="B455" s="291"/>
      <c r="AJ455" s="292"/>
    </row>
    <row r="456">
      <c r="B456" s="291"/>
      <c r="AJ456" s="292"/>
    </row>
    <row r="457">
      <c r="B457" s="291"/>
      <c r="AJ457" s="292"/>
    </row>
    <row r="458">
      <c r="B458" s="291"/>
      <c r="AJ458" s="292"/>
    </row>
    <row r="459">
      <c r="B459" s="291"/>
      <c r="AJ459" s="292"/>
    </row>
    <row r="460">
      <c r="B460" s="291"/>
      <c r="AJ460" s="292"/>
    </row>
    <row r="461">
      <c r="B461" s="291"/>
      <c r="AJ461" s="292"/>
    </row>
    <row r="462">
      <c r="B462" s="291"/>
      <c r="AJ462" s="292"/>
    </row>
    <row r="463">
      <c r="B463" s="291"/>
      <c r="AJ463" s="292"/>
    </row>
    <row r="464">
      <c r="B464" s="291"/>
      <c r="AJ464" s="292"/>
    </row>
    <row r="465">
      <c r="B465" s="291"/>
      <c r="AJ465" s="292"/>
    </row>
    <row r="466">
      <c r="B466" s="291"/>
      <c r="AJ466" s="292"/>
    </row>
    <row r="467">
      <c r="B467" s="291"/>
      <c r="AJ467" s="292"/>
    </row>
    <row r="468">
      <c r="B468" s="291"/>
      <c r="AJ468" s="292"/>
    </row>
    <row r="469">
      <c r="B469" s="291"/>
      <c r="AJ469" s="292"/>
    </row>
    <row r="470">
      <c r="B470" s="291"/>
      <c r="AJ470" s="292"/>
    </row>
    <row r="471">
      <c r="B471" s="291"/>
      <c r="AJ471" s="292"/>
    </row>
    <row r="472">
      <c r="B472" s="291"/>
      <c r="AJ472" s="292"/>
    </row>
    <row r="473">
      <c r="B473" s="291"/>
      <c r="AJ473" s="292"/>
    </row>
    <row r="474">
      <c r="B474" s="291"/>
      <c r="AJ474" s="292"/>
    </row>
    <row r="475">
      <c r="B475" s="291"/>
      <c r="AJ475" s="292"/>
    </row>
    <row r="476">
      <c r="B476" s="291"/>
      <c r="AJ476" s="292"/>
    </row>
    <row r="477">
      <c r="B477" s="291"/>
      <c r="AJ477" s="292"/>
    </row>
    <row r="478">
      <c r="B478" s="291"/>
      <c r="AJ478" s="292"/>
    </row>
    <row r="479">
      <c r="B479" s="291"/>
      <c r="AJ479" s="292"/>
    </row>
    <row r="480">
      <c r="B480" s="291"/>
      <c r="AJ480" s="292"/>
    </row>
    <row r="481">
      <c r="B481" s="291"/>
      <c r="AJ481" s="292"/>
    </row>
    <row r="482">
      <c r="B482" s="291"/>
      <c r="AJ482" s="292"/>
    </row>
    <row r="483">
      <c r="B483" s="291"/>
      <c r="AJ483" s="292"/>
    </row>
    <row r="484">
      <c r="B484" s="291"/>
      <c r="AJ484" s="292"/>
    </row>
    <row r="485">
      <c r="B485" s="291"/>
      <c r="AJ485" s="292"/>
    </row>
    <row r="486">
      <c r="B486" s="291"/>
      <c r="AJ486" s="292"/>
    </row>
    <row r="487">
      <c r="B487" s="291"/>
      <c r="AJ487" s="292"/>
    </row>
    <row r="488">
      <c r="B488" s="291"/>
      <c r="AJ488" s="292"/>
    </row>
    <row r="489">
      <c r="B489" s="291"/>
      <c r="AJ489" s="292"/>
    </row>
    <row r="490">
      <c r="B490" s="291"/>
      <c r="AJ490" s="292"/>
    </row>
    <row r="491">
      <c r="B491" s="291"/>
      <c r="AJ491" s="292"/>
    </row>
    <row r="492">
      <c r="B492" s="291"/>
      <c r="AJ492" s="292"/>
    </row>
    <row r="493">
      <c r="B493" s="291"/>
      <c r="AJ493" s="292"/>
    </row>
    <row r="494">
      <c r="B494" s="291"/>
      <c r="AJ494" s="292"/>
    </row>
    <row r="495">
      <c r="B495" s="291"/>
      <c r="AJ495" s="292"/>
    </row>
    <row r="496">
      <c r="B496" s="291"/>
      <c r="AJ496" s="292"/>
    </row>
    <row r="497">
      <c r="B497" s="291"/>
      <c r="AJ497" s="292"/>
    </row>
    <row r="498">
      <c r="B498" s="291"/>
      <c r="AJ498" s="292"/>
    </row>
    <row r="499">
      <c r="B499" s="291"/>
      <c r="AJ499" s="292"/>
    </row>
    <row r="500">
      <c r="B500" s="291"/>
      <c r="AJ500" s="292"/>
    </row>
    <row r="501">
      <c r="B501" s="291"/>
      <c r="AJ501" s="292"/>
    </row>
    <row r="502">
      <c r="B502" s="291"/>
      <c r="AJ502" s="292"/>
    </row>
    <row r="503">
      <c r="B503" s="291"/>
      <c r="AJ503" s="292"/>
    </row>
    <row r="504">
      <c r="B504" s="291"/>
      <c r="AJ504" s="292"/>
    </row>
    <row r="505">
      <c r="B505" s="291"/>
      <c r="AJ505" s="292"/>
    </row>
    <row r="506">
      <c r="B506" s="291"/>
      <c r="AJ506" s="292"/>
    </row>
    <row r="507">
      <c r="B507" s="291"/>
      <c r="AJ507" s="292"/>
    </row>
    <row r="508">
      <c r="B508" s="291"/>
      <c r="AJ508" s="292"/>
    </row>
    <row r="509">
      <c r="B509" s="291"/>
      <c r="AJ509" s="292"/>
    </row>
    <row r="510">
      <c r="B510" s="291"/>
      <c r="AJ510" s="292"/>
    </row>
    <row r="511">
      <c r="B511" s="291"/>
      <c r="AJ511" s="292"/>
    </row>
    <row r="512">
      <c r="B512" s="291"/>
      <c r="AJ512" s="292"/>
    </row>
    <row r="513">
      <c r="B513" s="291"/>
      <c r="AJ513" s="292"/>
    </row>
    <row r="514">
      <c r="B514" s="291"/>
      <c r="AJ514" s="292"/>
    </row>
    <row r="515">
      <c r="B515" s="291"/>
      <c r="AJ515" s="292"/>
    </row>
    <row r="516">
      <c r="B516" s="291"/>
      <c r="AJ516" s="292"/>
    </row>
    <row r="517">
      <c r="B517" s="291"/>
      <c r="AJ517" s="292"/>
    </row>
    <row r="518">
      <c r="B518" s="291"/>
      <c r="AJ518" s="292"/>
    </row>
    <row r="519">
      <c r="B519" s="291"/>
      <c r="AJ519" s="292"/>
    </row>
    <row r="520">
      <c r="B520" s="291"/>
      <c r="AJ520" s="292"/>
    </row>
    <row r="521">
      <c r="B521" s="291"/>
      <c r="AJ521" s="292"/>
    </row>
    <row r="522">
      <c r="B522" s="291"/>
      <c r="AJ522" s="292"/>
    </row>
    <row r="523">
      <c r="B523" s="291"/>
      <c r="AJ523" s="292"/>
    </row>
    <row r="524">
      <c r="B524" s="291"/>
      <c r="AJ524" s="292"/>
    </row>
    <row r="525">
      <c r="B525" s="291"/>
      <c r="AJ525" s="292"/>
    </row>
    <row r="526">
      <c r="B526" s="291"/>
      <c r="AJ526" s="292"/>
    </row>
    <row r="527">
      <c r="B527" s="291"/>
      <c r="AJ527" s="292"/>
    </row>
    <row r="528">
      <c r="B528" s="291"/>
      <c r="AJ528" s="292"/>
    </row>
    <row r="529">
      <c r="B529" s="291"/>
      <c r="AJ529" s="292"/>
    </row>
    <row r="530">
      <c r="B530" s="291"/>
      <c r="AJ530" s="292"/>
    </row>
    <row r="531">
      <c r="B531" s="291"/>
      <c r="AJ531" s="292"/>
    </row>
    <row r="532">
      <c r="B532" s="291"/>
      <c r="AJ532" s="292"/>
    </row>
    <row r="533">
      <c r="B533" s="291"/>
      <c r="AJ533" s="292"/>
    </row>
    <row r="534">
      <c r="B534" s="291"/>
      <c r="AJ534" s="292"/>
    </row>
    <row r="535">
      <c r="B535" s="291"/>
      <c r="AJ535" s="292"/>
    </row>
    <row r="536">
      <c r="B536" s="291"/>
      <c r="AJ536" s="292"/>
    </row>
    <row r="537">
      <c r="B537" s="291"/>
      <c r="AJ537" s="292"/>
    </row>
    <row r="538">
      <c r="B538" s="291"/>
      <c r="AJ538" s="292"/>
    </row>
    <row r="539">
      <c r="B539" s="291"/>
      <c r="AJ539" s="292"/>
    </row>
    <row r="540">
      <c r="B540" s="291"/>
      <c r="AJ540" s="292"/>
    </row>
    <row r="541">
      <c r="B541" s="291"/>
      <c r="AJ541" s="292"/>
    </row>
    <row r="542">
      <c r="B542" s="291"/>
      <c r="AJ542" s="292"/>
    </row>
    <row r="543">
      <c r="B543" s="291"/>
      <c r="AJ543" s="292"/>
    </row>
    <row r="544">
      <c r="B544" s="291"/>
      <c r="AJ544" s="292"/>
    </row>
    <row r="545">
      <c r="B545" s="291"/>
      <c r="AJ545" s="292"/>
    </row>
    <row r="546">
      <c r="B546" s="291"/>
      <c r="AJ546" s="292"/>
    </row>
    <row r="547">
      <c r="B547" s="291"/>
      <c r="AJ547" s="292"/>
    </row>
    <row r="548">
      <c r="B548" s="291"/>
      <c r="AJ548" s="292"/>
    </row>
    <row r="549">
      <c r="B549" s="291"/>
      <c r="AJ549" s="292"/>
    </row>
    <row r="550">
      <c r="B550" s="291"/>
      <c r="AJ550" s="292"/>
    </row>
    <row r="551">
      <c r="B551" s="291"/>
      <c r="AJ551" s="292"/>
    </row>
    <row r="552">
      <c r="B552" s="291"/>
      <c r="AJ552" s="292"/>
    </row>
    <row r="553">
      <c r="B553" s="291"/>
      <c r="AJ553" s="292"/>
    </row>
    <row r="554">
      <c r="B554" s="291"/>
      <c r="AJ554" s="292"/>
    </row>
    <row r="555">
      <c r="B555" s="291"/>
      <c r="AJ555" s="292"/>
    </row>
    <row r="556">
      <c r="B556" s="291"/>
      <c r="AJ556" s="292"/>
    </row>
    <row r="557">
      <c r="B557" s="291"/>
      <c r="AJ557" s="292"/>
    </row>
    <row r="558">
      <c r="B558" s="291"/>
      <c r="AJ558" s="292"/>
    </row>
    <row r="559">
      <c r="B559" s="291"/>
      <c r="AJ559" s="292"/>
    </row>
    <row r="560">
      <c r="B560" s="291"/>
      <c r="AJ560" s="292"/>
    </row>
    <row r="561">
      <c r="B561" s="291"/>
      <c r="AJ561" s="292"/>
    </row>
    <row r="562">
      <c r="B562" s="291"/>
      <c r="AJ562" s="292"/>
    </row>
    <row r="563">
      <c r="B563" s="291"/>
      <c r="AJ563" s="292"/>
    </row>
    <row r="564">
      <c r="B564" s="291"/>
      <c r="AJ564" s="292"/>
    </row>
    <row r="565">
      <c r="B565" s="291"/>
      <c r="AJ565" s="292"/>
    </row>
    <row r="566">
      <c r="B566" s="291"/>
      <c r="AJ566" s="292"/>
    </row>
    <row r="567">
      <c r="B567" s="291"/>
      <c r="AJ567" s="292"/>
    </row>
    <row r="568">
      <c r="B568" s="291"/>
      <c r="AJ568" s="292"/>
    </row>
    <row r="569">
      <c r="B569" s="291"/>
      <c r="AJ569" s="292"/>
    </row>
    <row r="570">
      <c r="B570" s="291"/>
      <c r="AJ570" s="292"/>
    </row>
    <row r="571">
      <c r="B571" s="291"/>
      <c r="AJ571" s="292"/>
    </row>
    <row r="572">
      <c r="B572" s="291"/>
      <c r="AJ572" s="292"/>
    </row>
    <row r="573">
      <c r="B573" s="291"/>
      <c r="AJ573" s="292"/>
    </row>
    <row r="574">
      <c r="B574" s="291"/>
      <c r="AJ574" s="292"/>
    </row>
    <row r="575">
      <c r="B575" s="291"/>
      <c r="AJ575" s="292"/>
    </row>
    <row r="576">
      <c r="B576" s="291"/>
      <c r="AJ576" s="292"/>
    </row>
    <row r="577">
      <c r="B577" s="291"/>
      <c r="AJ577" s="292"/>
    </row>
    <row r="578">
      <c r="B578" s="291"/>
      <c r="AJ578" s="292"/>
    </row>
    <row r="579">
      <c r="B579" s="291"/>
      <c r="AJ579" s="292"/>
    </row>
    <row r="580">
      <c r="B580" s="291"/>
      <c r="AJ580" s="292"/>
    </row>
    <row r="581">
      <c r="B581" s="291"/>
      <c r="AJ581" s="292"/>
    </row>
    <row r="582">
      <c r="B582" s="291"/>
      <c r="AJ582" s="292"/>
    </row>
    <row r="583">
      <c r="B583" s="291"/>
      <c r="AJ583" s="292"/>
    </row>
    <row r="584">
      <c r="B584" s="291"/>
      <c r="AJ584" s="292"/>
    </row>
    <row r="585">
      <c r="B585" s="291"/>
      <c r="AJ585" s="292"/>
    </row>
    <row r="586">
      <c r="B586" s="291"/>
      <c r="AJ586" s="292"/>
    </row>
    <row r="587">
      <c r="B587" s="291"/>
      <c r="AJ587" s="292"/>
    </row>
    <row r="588">
      <c r="B588" s="291"/>
      <c r="AJ588" s="292"/>
    </row>
    <row r="589">
      <c r="B589" s="291"/>
      <c r="AJ589" s="292"/>
    </row>
    <row r="590">
      <c r="B590" s="291"/>
      <c r="AJ590" s="292"/>
    </row>
    <row r="591">
      <c r="B591" s="291"/>
      <c r="AJ591" s="292"/>
    </row>
    <row r="592">
      <c r="B592" s="291"/>
      <c r="AJ592" s="292"/>
    </row>
    <row r="593">
      <c r="B593" s="291"/>
      <c r="AJ593" s="292"/>
    </row>
    <row r="594">
      <c r="B594" s="291"/>
      <c r="AJ594" s="292"/>
    </row>
    <row r="595">
      <c r="B595" s="291"/>
      <c r="AJ595" s="292"/>
    </row>
    <row r="596">
      <c r="B596" s="291"/>
      <c r="AJ596" s="292"/>
    </row>
    <row r="597">
      <c r="B597" s="291"/>
      <c r="AJ597" s="292"/>
    </row>
    <row r="598">
      <c r="B598" s="291"/>
      <c r="AJ598" s="292"/>
    </row>
    <row r="599">
      <c r="B599" s="291"/>
      <c r="AJ599" s="292"/>
    </row>
    <row r="600">
      <c r="B600" s="291"/>
      <c r="AJ600" s="292"/>
    </row>
    <row r="601">
      <c r="B601" s="291"/>
      <c r="AJ601" s="292"/>
    </row>
    <row r="602">
      <c r="B602" s="291"/>
      <c r="AJ602" s="292"/>
    </row>
    <row r="603">
      <c r="B603" s="291"/>
      <c r="AJ603" s="292"/>
    </row>
    <row r="604">
      <c r="B604" s="291"/>
      <c r="AJ604" s="292"/>
    </row>
    <row r="605">
      <c r="B605" s="291"/>
      <c r="AJ605" s="292"/>
    </row>
    <row r="606">
      <c r="B606" s="291"/>
      <c r="AJ606" s="292"/>
    </row>
    <row r="607">
      <c r="B607" s="291"/>
      <c r="AJ607" s="292"/>
    </row>
    <row r="608">
      <c r="B608" s="291"/>
      <c r="AJ608" s="292"/>
    </row>
    <row r="609">
      <c r="B609" s="291"/>
      <c r="AJ609" s="292"/>
    </row>
    <row r="610">
      <c r="B610" s="291"/>
      <c r="AJ610" s="292"/>
    </row>
    <row r="611">
      <c r="B611" s="291"/>
      <c r="AJ611" s="292"/>
    </row>
    <row r="612">
      <c r="B612" s="291"/>
      <c r="AJ612" s="292"/>
    </row>
    <row r="613">
      <c r="B613" s="291"/>
      <c r="AJ613" s="292"/>
    </row>
    <row r="614">
      <c r="B614" s="291"/>
      <c r="AJ614" s="292"/>
    </row>
    <row r="615">
      <c r="B615" s="291"/>
      <c r="AJ615" s="292"/>
    </row>
    <row r="616">
      <c r="B616" s="291"/>
      <c r="AJ616" s="292"/>
    </row>
    <row r="617">
      <c r="B617" s="291"/>
      <c r="AJ617" s="292"/>
    </row>
    <row r="618">
      <c r="B618" s="291"/>
      <c r="AJ618" s="292"/>
    </row>
    <row r="619">
      <c r="B619" s="291"/>
      <c r="AJ619" s="292"/>
    </row>
    <row r="620">
      <c r="B620" s="291"/>
      <c r="AJ620" s="292"/>
    </row>
    <row r="621">
      <c r="B621" s="291"/>
      <c r="AJ621" s="292"/>
    </row>
    <row r="622">
      <c r="B622" s="291"/>
      <c r="AJ622" s="292"/>
    </row>
    <row r="623">
      <c r="B623" s="291"/>
      <c r="AJ623" s="292"/>
    </row>
    <row r="624">
      <c r="B624" s="291"/>
      <c r="AJ624" s="292"/>
    </row>
    <row r="625">
      <c r="B625" s="291"/>
      <c r="AJ625" s="292"/>
    </row>
    <row r="626">
      <c r="B626" s="291"/>
      <c r="AJ626" s="292"/>
    </row>
    <row r="627">
      <c r="B627" s="291"/>
      <c r="AJ627" s="292"/>
    </row>
    <row r="628">
      <c r="B628" s="291"/>
      <c r="AJ628" s="292"/>
    </row>
    <row r="629">
      <c r="B629" s="291"/>
      <c r="AJ629" s="292"/>
    </row>
    <row r="630">
      <c r="B630" s="291"/>
      <c r="AJ630" s="292"/>
    </row>
    <row r="631">
      <c r="B631" s="291"/>
      <c r="AJ631" s="292"/>
    </row>
    <row r="632">
      <c r="B632" s="291"/>
      <c r="AJ632" s="292"/>
    </row>
    <row r="633">
      <c r="B633" s="291"/>
      <c r="AJ633" s="292"/>
    </row>
    <row r="634">
      <c r="B634" s="291"/>
      <c r="AJ634" s="292"/>
    </row>
    <row r="635">
      <c r="B635" s="291"/>
      <c r="AJ635" s="292"/>
    </row>
    <row r="636">
      <c r="B636" s="291"/>
      <c r="AJ636" s="292"/>
    </row>
    <row r="637">
      <c r="B637" s="291"/>
      <c r="AJ637" s="292"/>
    </row>
    <row r="638">
      <c r="B638" s="291"/>
      <c r="AJ638" s="292"/>
    </row>
    <row r="639">
      <c r="B639" s="291"/>
      <c r="AJ639" s="292"/>
    </row>
    <row r="640">
      <c r="B640" s="291"/>
      <c r="AJ640" s="292"/>
    </row>
    <row r="641">
      <c r="B641" s="291"/>
      <c r="AJ641" s="292"/>
    </row>
    <row r="642">
      <c r="B642" s="291"/>
      <c r="AJ642" s="292"/>
    </row>
    <row r="643">
      <c r="B643" s="291"/>
      <c r="AJ643" s="292"/>
    </row>
    <row r="644">
      <c r="B644" s="291"/>
      <c r="AJ644" s="292"/>
    </row>
    <row r="645">
      <c r="B645" s="291"/>
      <c r="AJ645" s="292"/>
    </row>
    <row r="646">
      <c r="B646" s="291"/>
      <c r="AJ646" s="292"/>
    </row>
    <row r="647">
      <c r="B647" s="291"/>
      <c r="AJ647" s="292"/>
    </row>
    <row r="648">
      <c r="B648" s="291"/>
      <c r="AJ648" s="292"/>
    </row>
    <row r="649">
      <c r="B649" s="291"/>
      <c r="AJ649" s="292"/>
    </row>
    <row r="650">
      <c r="B650" s="291"/>
      <c r="AJ650" s="292"/>
    </row>
    <row r="651">
      <c r="B651" s="291"/>
      <c r="AJ651" s="292"/>
    </row>
    <row r="652">
      <c r="B652" s="291"/>
      <c r="AJ652" s="292"/>
    </row>
    <row r="653">
      <c r="B653" s="291"/>
      <c r="AJ653" s="292"/>
    </row>
    <row r="654">
      <c r="B654" s="291"/>
      <c r="AJ654" s="292"/>
    </row>
    <row r="655">
      <c r="B655" s="291"/>
      <c r="AJ655" s="292"/>
    </row>
    <row r="656">
      <c r="B656" s="291"/>
      <c r="AJ656" s="292"/>
    </row>
    <row r="657">
      <c r="B657" s="291"/>
      <c r="AJ657" s="292"/>
    </row>
    <row r="658">
      <c r="B658" s="291"/>
      <c r="AJ658" s="292"/>
    </row>
    <row r="659">
      <c r="B659" s="291"/>
      <c r="AJ659" s="292"/>
    </row>
    <row r="660">
      <c r="B660" s="291"/>
      <c r="AJ660" s="292"/>
    </row>
    <row r="661">
      <c r="B661" s="291"/>
      <c r="AJ661" s="292"/>
    </row>
    <row r="662">
      <c r="B662" s="291"/>
      <c r="AJ662" s="292"/>
    </row>
    <row r="663">
      <c r="B663" s="291"/>
      <c r="AJ663" s="292"/>
    </row>
    <row r="664">
      <c r="B664" s="291"/>
      <c r="AJ664" s="292"/>
    </row>
    <row r="665">
      <c r="B665" s="291"/>
      <c r="AJ665" s="292"/>
    </row>
    <row r="666">
      <c r="B666" s="291"/>
      <c r="AJ666" s="292"/>
    </row>
    <row r="667">
      <c r="B667" s="291"/>
      <c r="AJ667" s="292"/>
    </row>
    <row r="668">
      <c r="B668" s="291"/>
      <c r="AJ668" s="292"/>
    </row>
    <row r="669">
      <c r="B669" s="291"/>
      <c r="AJ669" s="292"/>
    </row>
    <row r="670">
      <c r="B670" s="291"/>
      <c r="AJ670" s="292"/>
    </row>
    <row r="671">
      <c r="B671" s="291"/>
      <c r="AJ671" s="292"/>
    </row>
    <row r="672">
      <c r="B672" s="291"/>
      <c r="AJ672" s="292"/>
    </row>
    <row r="673">
      <c r="B673" s="291"/>
      <c r="AJ673" s="292"/>
    </row>
    <row r="674">
      <c r="B674" s="291"/>
      <c r="AJ674" s="292"/>
    </row>
    <row r="675">
      <c r="B675" s="291"/>
      <c r="AJ675" s="292"/>
    </row>
    <row r="676">
      <c r="B676" s="291"/>
      <c r="AJ676" s="292"/>
    </row>
    <row r="677">
      <c r="B677" s="291"/>
      <c r="AJ677" s="292"/>
    </row>
    <row r="678">
      <c r="B678" s="291"/>
      <c r="AJ678" s="292"/>
    </row>
    <row r="679">
      <c r="B679" s="291"/>
      <c r="AJ679" s="292"/>
    </row>
    <row r="680">
      <c r="B680" s="291"/>
      <c r="AJ680" s="292"/>
    </row>
    <row r="681">
      <c r="B681" s="291"/>
      <c r="AJ681" s="292"/>
    </row>
    <row r="682">
      <c r="B682" s="291"/>
      <c r="AJ682" s="292"/>
    </row>
    <row r="683">
      <c r="B683" s="291"/>
      <c r="AJ683" s="292"/>
    </row>
    <row r="684">
      <c r="B684" s="291"/>
      <c r="AJ684" s="292"/>
    </row>
    <row r="685">
      <c r="B685" s="291"/>
      <c r="AJ685" s="292"/>
    </row>
    <row r="686">
      <c r="B686" s="291"/>
      <c r="AJ686" s="292"/>
    </row>
    <row r="687">
      <c r="B687" s="291"/>
      <c r="AJ687" s="292"/>
    </row>
    <row r="688">
      <c r="B688" s="291"/>
      <c r="AJ688" s="292"/>
    </row>
    <row r="689">
      <c r="B689" s="291"/>
      <c r="AJ689" s="292"/>
    </row>
    <row r="690">
      <c r="B690" s="291"/>
      <c r="AJ690" s="292"/>
    </row>
    <row r="691">
      <c r="B691" s="291"/>
      <c r="AJ691" s="292"/>
    </row>
    <row r="692">
      <c r="B692" s="291"/>
      <c r="AJ692" s="292"/>
    </row>
    <row r="693">
      <c r="B693" s="291"/>
      <c r="AJ693" s="292"/>
    </row>
    <row r="694">
      <c r="B694" s="291"/>
      <c r="AJ694" s="292"/>
    </row>
    <row r="695">
      <c r="B695" s="291"/>
      <c r="AJ695" s="292"/>
    </row>
    <row r="696">
      <c r="B696" s="291"/>
      <c r="AJ696" s="292"/>
    </row>
    <row r="697">
      <c r="B697" s="291"/>
      <c r="AJ697" s="292"/>
    </row>
    <row r="698">
      <c r="B698" s="291"/>
      <c r="AJ698" s="292"/>
    </row>
    <row r="699">
      <c r="B699" s="291"/>
      <c r="AJ699" s="292"/>
    </row>
    <row r="700">
      <c r="B700" s="291"/>
      <c r="AJ700" s="292"/>
    </row>
    <row r="701">
      <c r="B701" s="291"/>
      <c r="AJ701" s="292"/>
    </row>
    <row r="702">
      <c r="B702" s="291"/>
      <c r="AJ702" s="292"/>
    </row>
    <row r="703">
      <c r="B703" s="291"/>
      <c r="AJ703" s="292"/>
    </row>
    <row r="704">
      <c r="B704" s="291"/>
      <c r="AJ704" s="292"/>
    </row>
    <row r="705">
      <c r="B705" s="291"/>
      <c r="AJ705" s="292"/>
    </row>
    <row r="706">
      <c r="B706" s="291"/>
      <c r="AJ706" s="292"/>
    </row>
    <row r="707">
      <c r="B707" s="291"/>
      <c r="AJ707" s="292"/>
    </row>
    <row r="708">
      <c r="B708" s="291"/>
      <c r="AJ708" s="292"/>
    </row>
    <row r="709">
      <c r="B709" s="291"/>
      <c r="AJ709" s="292"/>
    </row>
    <row r="710">
      <c r="B710" s="291"/>
      <c r="AJ710" s="292"/>
    </row>
    <row r="711">
      <c r="B711" s="291"/>
      <c r="AJ711" s="292"/>
    </row>
    <row r="712">
      <c r="B712" s="291"/>
      <c r="AJ712" s="292"/>
    </row>
    <row r="713">
      <c r="B713" s="291"/>
      <c r="AJ713" s="292"/>
    </row>
    <row r="714">
      <c r="B714" s="291"/>
      <c r="AJ714" s="292"/>
    </row>
    <row r="715">
      <c r="B715" s="291"/>
      <c r="AJ715" s="292"/>
    </row>
    <row r="716">
      <c r="B716" s="291"/>
      <c r="AJ716" s="292"/>
    </row>
    <row r="717">
      <c r="B717" s="291"/>
      <c r="AJ717" s="292"/>
    </row>
    <row r="718">
      <c r="B718" s="291"/>
      <c r="AJ718" s="292"/>
    </row>
    <row r="719">
      <c r="B719" s="291"/>
      <c r="AJ719" s="292"/>
    </row>
    <row r="720">
      <c r="B720" s="291"/>
      <c r="AJ720" s="292"/>
    </row>
    <row r="721">
      <c r="B721" s="291"/>
      <c r="AJ721" s="292"/>
    </row>
    <row r="722">
      <c r="B722" s="291"/>
      <c r="AJ722" s="292"/>
    </row>
    <row r="723">
      <c r="B723" s="291"/>
      <c r="AJ723" s="292"/>
    </row>
    <row r="724">
      <c r="B724" s="291"/>
      <c r="AJ724" s="292"/>
    </row>
    <row r="725">
      <c r="B725" s="291"/>
      <c r="AJ725" s="292"/>
    </row>
    <row r="726">
      <c r="B726" s="291"/>
      <c r="AJ726" s="292"/>
    </row>
    <row r="727">
      <c r="B727" s="291"/>
      <c r="AJ727" s="292"/>
    </row>
    <row r="728">
      <c r="B728" s="291"/>
      <c r="AJ728" s="292"/>
    </row>
    <row r="729">
      <c r="B729" s="291"/>
      <c r="AJ729" s="292"/>
    </row>
    <row r="730">
      <c r="B730" s="291"/>
      <c r="AJ730" s="292"/>
    </row>
    <row r="731">
      <c r="B731" s="291"/>
      <c r="AJ731" s="292"/>
    </row>
    <row r="732">
      <c r="B732" s="291"/>
      <c r="AJ732" s="292"/>
    </row>
    <row r="733">
      <c r="B733" s="291"/>
      <c r="AJ733" s="292"/>
    </row>
    <row r="734">
      <c r="B734" s="291"/>
      <c r="AJ734" s="292"/>
    </row>
    <row r="735">
      <c r="B735" s="291"/>
      <c r="AJ735" s="292"/>
    </row>
    <row r="736">
      <c r="B736" s="291"/>
      <c r="AJ736" s="292"/>
    </row>
    <row r="737">
      <c r="B737" s="291"/>
      <c r="AJ737" s="292"/>
    </row>
    <row r="738">
      <c r="B738" s="291"/>
      <c r="AJ738" s="292"/>
    </row>
    <row r="739">
      <c r="B739" s="291"/>
      <c r="AJ739" s="292"/>
    </row>
    <row r="740">
      <c r="B740" s="291"/>
      <c r="AJ740" s="292"/>
    </row>
    <row r="741">
      <c r="B741" s="291"/>
      <c r="AJ741" s="292"/>
    </row>
    <row r="742">
      <c r="B742" s="291"/>
      <c r="AJ742" s="292"/>
    </row>
    <row r="743">
      <c r="B743" s="291"/>
      <c r="AJ743" s="292"/>
    </row>
    <row r="744">
      <c r="B744" s="291"/>
      <c r="AJ744" s="292"/>
    </row>
    <row r="745">
      <c r="B745" s="291"/>
      <c r="AJ745" s="292"/>
    </row>
    <row r="746">
      <c r="B746" s="291"/>
      <c r="AJ746" s="292"/>
    </row>
    <row r="747">
      <c r="B747" s="291"/>
      <c r="AJ747" s="292"/>
    </row>
    <row r="748">
      <c r="B748" s="291"/>
      <c r="AJ748" s="292"/>
    </row>
    <row r="749">
      <c r="B749" s="291"/>
      <c r="AJ749" s="292"/>
    </row>
    <row r="750">
      <c r="B750" s="291"/>
      <c r="AJ750" s="292"/>
    </row>
    <row r="751">
      <c r="B751" s="291"/>
      <c r="AJ751" s="292"/>
    </row>
    <row r="752">
      <c r="B752" s="291"/>
      <c r="AJ752" s="292"/>
    </row>
    <row r="753">
      <c r="B753" s="291"/>
      <c r="AJ753" s="292"/>
    </row>
    <row r="754">
      <c r="B754" s="291"/>
      <c r="AJ754" s="292"/>
    </row>
    <row r="755">
      <c r="B755" s="291"/>
      <c r="AJ755" s="292"/>
    </row>
    <row r="756">
      <c r="B756" s="291"/>
      <c r="AJ756" s="292"/>
    </row>
    <row r="757">
      <c r="B757" s="291"/>
      <c r="AJ757" s="292"/>
    </row>
    <row r="758">
      <c r="B758" s="291"/>
      <c r="AJ758" s="292"/>
    </row>
    <row r="759">
      <c r="B759" s="291"/>
      <c r="AJ759" s="292"/>
    </row>
    <row r="760">
      <c r="B760" s="291"/>
      <c r="AJ760" s="292"/>
    </row>
    <row r="761">
      <c r="B761" s="291"/>
      <c r="AJ761" s="292"/>
    </row>
    <row r="762">
      <c r="B762" s="291"/>
      <c r="AJ762" s="292"/>
    </row>
    <row r="763">
      <c r="B763" s="291"/>
      <c r="AJ763" s="292"/>
    </row>
    <row r="764">
      <c r="B764" s="291"/>
      <c r="AJ764" s="292"/>
    </row>
    <row r="765">
      <c r="B765" s="291"/>
      <c r="AJ765" s="292"/>
    </row>
    <row r="766">
      <c r="B766" s="291"/>
      <c r="AJ766" s="292"/>
    </row>
    <row r="767">
      <c r="B767" s="291"/>
      <c r="AJ767" s="292"/>
    </row>
    <row r="768">
      <c r="B768" s="291"/>
      <c r="AJ768" s="292"/>
    </row>
    <row r="769">
      <c r="B769" s="291"/>
      <c r="AJ769" s="292"/>
    </row>
    <row r="770">
      <c r="B770" s="291"/>
      <c r="AJ770" s="292"/>
    </row>
    <row r="771">
      <c r="B771" s="291"/>
      <c r="AJ771" s="292"/>
    </row>
    <row r="772">
      <c r="B772" s="291"/>
      <c r="AJ772" s="292"/>
    </row>
    <row r="773">
      <c r="B773" s="291"/>
      <c r="AJ773" s="292"/>
    </row>
    <row r="774">
      <c r="B774" s="291"/>
      <c r="AJ774" s="292"/>
    </row>
    <row r="775">
      <c r="B775" s="291"/>
      <c r="AJ775" s="292"/>
    </row>
    <row r="776">
      <c r="B776" s="291"/>
      <c r="AJ776" s="292"/>
    </row>
    <row r="777">
      <c r="B777" s="291"/>
      <c r="AJ777" s="292"/>
    </row>
    <row r="778">
      <c r="B778" s="291"/>
      <c r="AJ778" s="292"/>
    </row>
    <row r="779">
      <c r="B779" s="291"/>
      <c r="AJ779" s="292"/>
    </row>
    <row r="780">
      <c r="B780" s="291"/>
      <c r="AJ780" s="292"/>
    </row>
    <row r="781">
      <c r="B781" s="291"/>
      <c r="AJ781" s="292"/>
    </row>
    <row r="782">
      <c r="B782" s="291"/>
      <c r="AJ782" s="292"/>
    </row>
    <row r="783">
      <c r="B783" s="291"/>
      <c r="AJ783" s="292"/>
    </row>
    <row r="784">
      <c r="B784" s="291"/>
      <c r="AJ784" s="292"/>
    </row>
    <row r="785">
      <c r="B785" s="291"/>
      <c r="AJ785" s="292"/>
    </row>
    <row r="786">
      <c r="B786" s="291"/>
      <c r="AJ786" s="292"/>
    </row>
    <row r="787">
      <c r="B787" s="291"/>
      <c r="AJ787" s="292"/>
    </row>
    <row r="788">
      <c r="B788" s="291"/>
      <c r="AJ788" s="292"/>
    </row>
    <row r="789">
      <c r="B789" s="291"/>
      <c r="AJ789" s="292"/>
    </row>
    <row r="790">
      <c r="B790" s="291"/>
      <c r="AJ790" s="292"/>
    </row>
    <row r="791">
      <c r="B791" s="291"/>
      <c r="AJ791" s="292"/>
    </row>
    <row r="792">
      <c r="B792" s="291"/>
      <c r="AJ792" s="292"/>
    </row>
    <row r="793">
      <c r="B793" s="291"/>
      <c r="AJ793" s="292"/>
    </row>
    <row r="794">
      <c r="B794" s="291"/>
      <c r="AJ794" s="292"/>
    </row>
    <row r="795">
      <c r="B795" s="291"/>
      <c r="AJ795" s="292"/>
    </row>
    <row r="796">
      <c r="B796" s="291"/>
      <c r="AJ796" s="292"/>
    </row>
    <row r="797">
      <c r="B797" s="291"/>
      <c r="AJ797" s="292"/>
    </row>
    <row r="798">
      <c r="B798" s="291"/>
      <c r="AJ798" s="292"/>
    </row>
    <row r="799">
      <c r="B799" s="291"/>
      <c r="AJ799" s="292"/>
    </row>
    <row r="800">
      <c r="B800" s="291"/>
      <c r="AJ800" s="292"/>
    </row>
    <row r="801">
      <c r="B801" s="291"/>
      <c r="AJ801" s="292"/>
    </row>
    <row r="802">
      <c r="B802" s="291"/>
      <c r="AJ802" s="292"/>
    </row>
    <row r="803">
      <c r="B803" s="291"/>
      <c r="AJ803" s="292"/>
    </row>
    <row r="804">
      <c r="B804" s="291"/>
      <c r="AJ804" s="292"/>
    </row>
    <row r="805">
      <c r="B805" s="291"/>
      <c r="AJ805" s="292"/>
    </row>
    <row r="806">
      <c r="B806" s="291"/>
      <c r="AJ806" s="292"/>
    </row>
    <row r="807">
      <c r="B807" s="291"/>
      <c r="AJ807" s="292"/>
    </row>
    <row r="808">
      <c r="B808" s="291"/>
      <c r="AJ808" s="292"/>
    </row>
    <row r="809">
      <c r="B809" s="291"/>
      <c r="AJ809" s="292"/>
    </row>
    <row r="810">
      <c r="B810" s="291"/>
      <c r="AJ810" s="292"/>
    </row>
    <row r="811">
      <c r="B811" s="291"/>
      <c r="AJ811" s="292"/>
    </row>
    <row r="812">
      <c r="B812" s="291"/>
      <c r="AJ812" s="292"/>
    </row>
    <row r="813">
      <c r="B813" s="291"/>
      <c r="AJ813" s="292"/>
    </row>
    <row r="814">
      <c r="B814" s="291"/>
      <c r="AJ814" s="292"/>
    </row>
    <row r="815">
      <c r="B815" s="291"/>
      <c r="AJ815" s="292"/>
    </row>
    <row r="816">
      <c r="B816" s="291"/>
      <c r="AJ816" s="292"/>
    </row>
    <row r="817">
      <c r="B817" s="291"/>
      <c r="AJ817" s="292"/>
    </row>
    <row r="818">
      <c r="B818" s="291"/>
      <c r="AJ818" s="292"/>
    </row>
    <row r="819">
      <c r="B819" s="291"/>
      <c r="AJ819" s="292"/>
    </row>
    <row r="820">
      <c r="B820" s="291"/>
      <c r="AJ820" s="292"/>
    </row>
    <row r="821">
      <c r="B821" s="291"/>
      <c r="AJ821" s="292"/>
    </row>
    <row r="822">
      <c r="B822" s="291"/>
      <c r="AJ822" s="292"/>
    </row>
    <row r="823">
      <c r="B823" s="291"/>
      <c r="AJ823" s="292"/>
    </row>
    <row r="824">
      <c r="B824" s="291"/>
      <c r="AJ824" s="292"/>
    </row>
    <row r="825">
      <c r="B825" s="291"/>
      <c r="AJ825" s="292"/>
    </row>
    <row r="826">
      <c r="B826" s="291"/>
      <c r="AJ826" s="292"/>
    </row>
    <row r="827">
      <c r="B827" s="291"/>
      <c r="AJ827" s="292"/>
    </row>
    <row r="828">
      <c r="B828" s="291"/>
      <c r="AJ828" s="292"/>
    </row>
    <row r="829">
      <c r="B829" s="291"/>
      <c r="AJ829" s="292"/>
    </row>
    <row r="830">
      <c r="B830" s="291"/>
      <c r="AJ830" s="292"/>
    </row>
    <row r="831">
      <c r="B831" s="291"/>
      <c r="AJ831" s="292"/>
    </row>
    <row r="832">
      <c r="B832" s="291"/>
      <c r="AJ832" s="292"/>
    </row>
    <row r="833">
      <c r="B833" s="291"/>
      <c r="AJ833" s="292"/>
    </row>
    <row r="834">
      <c r="B834" s="291"/>
      <c r="AJ834" s="292"/>
    </row>
    <row r="835">
      <c r="B835" s="291"/>
      <c r="AJ835" s="292"/>
    </row>
    <row r="836">
      <c r="B836" s="291"/>
      <c r="AJ836" s="292"/>
    </row>
    <row r="837">
      <c r="B837" s="291"/>
      <c r="AJ837" s="292"/>
    </row>
    <row r="838">
      <c r="B838" s="291"/>
      <c r="AJ838" s="292"/>
    </row>
    <row r="839">
      <c r="B839" s="291"/>
      <c r="AJ839" s="292"/>
    </row>
    <row r="840">
      <c r="B840" s="291"/>
      <c r="AJ840" s="292"/>
    </row>
    <row r="841">
      <c r="B841" s="291"/>
      <c r="AJ841" s="292"/>
    </row>
    <row r="842">
      <c r="B842" s="291"/>
      <c r="AJ842" s="292"/>
    </row>
    <row r="843">
      <c r="B843" s="291"/>
      <c r="AJ843" s="292"/>
    </row>
    <row r="844">
      <c r="B844" s="291"/>
      <c r="AJ844" s="292"/>
    </row>
    <row r="845">
      <c r="B845" s="291"/>
      <c r="AJ845" s="292"/>
    </row>
    <row r="846">
      <c r="B846" s="291"/>
      <c r="AJ846" s="292"/>
    </row>
    <row r="847">
      <c r="B847" s="291"/>
      <c r="AJ847" s="292"/>
    </row>
    <row r="848">
      <c r="B848" s="291"/>
      <c r="AJ848" s="292"/>
    </row>
    <row r="849">
      <c r="B849" s="291"/>
      <c r="AJ849" s="292"/>
    </row>
    <row r="850">
      <c r="B850" s="291"/>
      <c r="AJ850" s="292"/>
    </row>
    <row r="851">
      <c r="B851" s="291"/>
      <c r="AJ851" s="292"/>
    </row>
    <row r="852">
      <c r="B852" s="291"/>
      <c r="AJ852" s="292"/>
    </row>
    <row r="853">
      <c r="B853" s="291"/>
      <c r="AJ853" s="292"/>
    </row>
    <row r="854">
      <c r="B854" s="291"/>
      <c r="AJ854" s="292"/>
    </row>
    <row r="855">
      <c r="B855" s="291"/>
      <c r="AJ855" s="292"/>
    </row>
    <row r="856">
      <c r="B856" s="291"/>
      <c r="AJ856" s="292"/>
    </row>
    <row r="857">
      <c r="B857" s="291"/>
      <c r="AJ857" s="292"/>
    </row>
    <row r="858">
      <c r="B858" s="291"/>
      <c r="AJ858" s="292"/>
    </row>
    <row r="859">
      <c r="B859" s="291"/>
      <c r="AJ859" s="292"/>
    </row>
    <row r="860">
      <c r="B860" s="291"/>
      <c r="AJ860" s="292"/>
    </row>
    <row r="861">
      <c r="B861" s="291"/>
      <c r="AJ861" s="292"/>
    </row>
    <row r="862">
      <c r="B862" s="291"/>
      <c r="AJ862" s="292"/>
    </row>
    <row r="863">
      <c r="B863" s="291"/>
      <c r="AJ863" s="292"/>
    </row>
    <row r="864">
      <c r="B864" s="291"/>
      <c r="AJ864" s="292"/>
    </row>
    <row r="865">
      <c r="B865" s="291"/>
      <c r="AJ865" s="292"/>
    </row>
    <row r="866">
      <c r="B866" s="291"/>
      <c r="AJ866" s="292"/>
    </row>
    <row r="867">
      <c r="B867" s="291"/>
      <c r="AJ867" s="292"/>
    </row>
    <row r="868">
      <c r="B868" s="291"/>
      <c r="AJ868" s="292"/>
    </row>
    <row r="869">
      <c r="B869" s="291"/>
      <c r="AJ869" s="292"/>
    </row>
    <row r="870">
      <c r="B870" s="291"/>
      <c r="AJ870" s="292"/>
    </row>
    <row r="871">
      <c r="B871" s="291"/>
      <c r="AJ871" s="292"/>
    </row>
    <row r="872">
      <c r="B872" s="291"/>
      <c r="AJ872" s="292"/>
    </row>
    <row r="873">
      <c r="B873" s="291"/>
      <c r="AJ873" s="292"/>
    </row>
    <row r="874">
      <c r="B874" s="291"/>
      <c r="AJ874" s="292"/>
    </row>
    <row r="875">
      <c r="B875" s="291"/>
      <c r="AJ875" s="292"/>
    </row>
    <row r="876">
      <c r="B876" s="291"/>
      <c r="AJ876" s="292"/>
    </row>
    <row r="877">
      <c r="B877" s="291"/>
      <c r="AJ877" s="292"/>
    </row>
    <row r="878">
      <c r="B878" s="291"/>
      <c r="AJ878" s="292"/>
    </row>
    <row r="879">
      <c r="B879" s="291"/>
      <c r="AJ879" s="292"/>
    </row>
    <row r="880">
      <c r="B880" s="291"/>
      <c r="AJ880" s="292"/>
    </row>
    <row r="881">
      <c r="B881" s="291"/>
      <c r="AJ881" s="292"/>
    </row>
    <row r="882">
      <c r="B882" s="291"/>
      <c r="AJ882" s="292"/>
    </row>
    <row r="883">
      <c r="B883" s="291"/>
      <c r="AJ883" s="292"/>
    </row>
    <row r="884">
      <c r="B884" s="291"/>
      <c r="AJ884" s="292"/>
    </row>
    <row r="885">
      <c r="B885" s="291"/>
      <c r="AJ885" s="292"/>
    </row>
    <row r="886">
      <c r="B886" s="291"/>
      <c r="AJ886" s="292"/>
    </row>
    <row r="887">
      <c r="B887" s="291"/>
      <c r="AJ887" s="292"/>
    </row>
    <row r="888">
      <c r="B888" s="291"/>
      <c r="AJ888" s="292"/>
    </row>
    <row r="889">
      <c r="B889" s="291"/>
      <c r="AJ889" s="292"/>
    </row>
    <row r="890">
      <c r="B890" s="291"/>
      <c r="AJ890" s="292"/>
    </row>
    <row r="891">
      <c r="B891" s="291"/>
      <c r="AJ891" s="292"/>
    </row>
    <row r="892">
      <c r="B892" s="291"/>
      <c r="AJ892" s="292"/>
    </row>
    <row r="893">
      <c r="B893" s="291"/>
      <c r="AJ893" s="292"/>
    </row>
    <row r="894">
      <c r="B894" s="291"/>
      <c r="AJ894" s="292"/>
    </row>
    <row r="895">
      <c r="B895" s="291"/>
      <c r="AJ895" s="292"/>
    </row>
    <row r="896">
      <c r="B896" s="291"/>
      <c r="AJ896" s="292"/>
    </row>
    <row r="897">
      <c r="B897" s="291"/>
      <c r="AJ897" s="292"/>
    </row>
    <row r="898">
      <c r="B898" s="291"/>
      <c r="AJ898" s="292"/>
    </row>
    <row r="899">
      <c r="B899" s="291"/>
      <c r="AJ899" s="292"/>
    </row>
    <row r="900">
      <c r="B900" s="291"/>
      <c r="AJ900" s="292"/>
    </row>
    <row r="901">
      <c r="B901" s="291"/>
      <c r="AJ901" s="292"/>
    </row>
    <row r="902">
      <c r="B902" s="291"/>
      <c r="AJ902" s="292"/>
    </row>
    <row r="903">
      <c r="B903" s="291"/>
      <c r="AJ903" s="292"/>
    </row>
    <row r="904">
      <c r="B904" s="291"/>
      <c r="AJ904" s="292"/>
    </row>
    <row r="905">
      <c r="B905" s="291"/>
      <c r="AJ905" s="292"/>
    </row>
    <row r="906">
      <c r="B906" s="291"/>
      <c r="AJ906" s="292"/>
    </row>
    <row r="907">
      <c r="B907" s="291"/>
      <c r="AJ907" s="292"/>
    </row>
    <row r="908">
      <c r="B908" s="291"/>
      <c r="AJ908" s="292"/>
    </row>
    <row r="909">
      <c r="B909" s="291"/>
      <c r="AJ909" s="292"/>
    </row>
    <row r="910">
      <c r="B910" s="291"/>
      <c r="AJ910" s="292"/>
    </row>
    <row r="911">
      <c r="B911" s="291"/>
      <c r="AJ911" s="292"/>
    </row>
    <row r="912">
      <c r="B912" s="291"/>
      <c r="AJ912" s="292"/>
    </row>
    <row r="913">
      <c r="B913" s="291"/>
      <c r="AJ913" s="292"/>
    </row>
    <row r="914">
      <c r="B914" s="291"/>
      <c r="AJ914" s="292"/>
    </row>
    <row r="915">
      <c r="B915" s="291"/>
      <c r="AJ915" s="292"/>
    </row>
    <row r="916">
      <c r="B916" s="291"/>
      <c r="AJ916" s="292"/>
    </row>
    <row r="917">
      <c r="B917" s="291"/>
      <c r="AJ917" s="292"/>
    </row>
    <row r="918">
      <c r="B918" s="291"/>
      <c r="AJ918" s="292"/>
    </row>
    <row r="919">
      <c r="B919" s="291"/>
      <c r="AJ919" s="292"/>
    </row>
    <row r="920">
      <c r="B920" s="291"/>
      <c r="AJ920" s="292"/>
    </row>
    <row r="921">
      <c r="B921" s="291"/>
      <c r="AJ921" s="292"/>
    </row>
    <row r="922">
      <c r="B922" s="291"/>
      <c r="AJ922" s="292"/>
    </row>
    <row r="923">
      <c r="B923" s="291"/>
      <c r="AJ923" s="292"/>
    </row>
    <row r="924">
      <c r="B924" s="291"/>
      <c r="AJ924" s="292"/>
    </row>
    <row r="925">
      <c r="B925" s="291"/>
      <c r="AJ925" s="292"/>
    </row>
    <row r="926">
      <c r="B926" s="291"/>
      <c r="AJ926" s="292"/>
    </row>
    <row r="927">
      <c r="B927" s="291"/>
      <c r="AJ927" s="292"/>
    </row>
    <row r="928">
      <c r="B928" s="291"/>
      <c r="AJ928" s="292"/>
    </row>
    <row r="929">
      <c r="B929" s="291"/>
      <c r="AJ929" s="292"/>
    </row>
    <row r="930">
      <c r="B930" s="291"/>
      <c r="AJ930" s="292"/>
    </row>
    <row r="931">
      <c r="B931" s="291"/>
      <c r="AJ931" s="292"/>
    </row>
    <row r="932">
      <c r="B932" s="291"/>
      <c r="AJ932" s="292"/>
    </row>
    <row r="933">
      <c r="B933" s="291"/>
      <c r="AJ933" s="292"/>
    </row>
    <row r="934">
      <c r="B934" s="291"/>
      <c r="AJ934" s="292"/>
    </row>
    <row r="935">
      <c r="B935" s="291"/>
      <c r="AJ935" s="292"/>
    </row>
    <row r="936">
      <c r="B936" s="291"/>
      <c r="AJ936" s="292"/>
    </row>
    <row r="937">
      <c r="B937" s="291"/>
      <c r="AJ937" s="292"/>
    </row>
    <row r="938">
      <c r="B938" s="291"/>
      <c r="AJ938" s="292"/>
    </row>
    <row r="939">
      <c r="B939" s="291"/>
      <c r="AJ939" s="292"/>
    </row>
    <row r="940">
      <c r="B940" s="291"/>
      <c r="AJ940" s="292"/>
    </row>
    <row r="941">
      <c r="B941" s="291"/>
      <c r="AJ941" s="292"/>
    </row>
    <row r="942">
      <c r="B942" s="291"/>
      <c r="AJ942" s="292"/>
    </row>
    <row r="943">
      <c r="B943" s="291"/>
      <c r="AJ943" s="292"/>
    </row>
    <row r="944">
      <c r="B944" s="291"/>
      <c r="AJ944" s="292"/>
    </row>
    <row r="945">
      <c r="B945" s="291"/>
      <c r="AJ945" s="292"/>
    </row>
    <row r="946">
      <c r="B946" s="291"/>
      <c r="AJ946" s="292"/>
    </row>
    <row r="947">
      <c r="B947" s="291"/>
      <c r="AJ947" s="292"/>
    </row>
    <row r="948">
      <c r="B948" s="291"/>
      <c r="AJ948" s="292"/>
    </row>
    <row r="949">
      <c r="B949" s="291"/>
      <c r="AJ949" s="292"/>
    </row>
    <row r="950">
      <c r="B950" s="291"/>
      <c r="AJ950" s="292"/>
    </row>
    <row r="951">
      <c r="B951" s="291"/>
      <c r="AJ951" s="292"/>
    </row>
    <row r="952">
      <c r="B952" s="291"/>
      <c r="AJ952" s="292"/>
    </row>
    <row r="953">
      <c r="B953" s="291"/>
      <c r="AJ953" s="292"/>
    </row>
    <row r="954">
      <c r="B954" s="291"/>
      <c r="AJ954" s="292"/>
    </row>
    <row r="955">
      <c r="B955" s="291"/>
      <c r="AJ955" s="292"/>
    </row>
    <row r="956">
      <c r="B956" s="291"/>
      <c r="AJ956" s="292"/>
    </row>
    <row r="957">
      <c r="B957" s="291"/>
      <c r="AJ957" s="292"/>
    </row>
    <row r="958">
      <c r="B958" s="291"/>
      <c r="AJ958" s="292"/>
    </row>
    <row r="959">
      <c r="B959" s="291"/>
      <c r="AJ959" s="292"/>
    </row>
    <row r="960">
      <c r="B960" s="291"/>
      <c r="AJ960" s="292"/>
    </row>
    <row r="961">
      <c r="B961" s="291"/>
      <c r="AJ961" s="292"/>
    </row>
    <row r="962">
      <c r="B962" s="291"/>
      <c r="AJ962" s="292"/>
    </row>
    <row r="963">
      <c r="B963" s="291"/>
      <c r="AJ963" s="292"/>
    </row>
    <row r="964">
      <c r="B964" s="291"/>
      <c r="AJ964" s="292"/>
    </row>
    <row r="965">
      <c r="B965" s="291"/>
      <c r="AJ965" s="292"/>
    </row>
  </sheetData>
  <mergeCells count="4">
    <mergeCell ref="AK1:AK2"/>
    <mergeCell ref="AL1:AL2"/>
    <mergeCell ref="AM1:AM2"/>
    <mergeCell ref="AN1:AN2"/>
  </mergeCells>
  <conditionalFormatting sqref="AL1:AL965">
    <cfRule type="containsText" dxfId="0" priority="1" operator="containsText" text="HS Damage">
      <formula>NOT(ISERROR(SEARCH(("HS Damage"),(AL1))))</formula>
    </cfRule>
  </conditionalFormatting>
  <conditionalFormatting sqref="AL1:AL965">
    <cfRule type="containsText" dxfId="1" priority="2" operator="containsText" text="SC Damage">
      <formula>NOT(ISERROR(SEARCH(("SC Damage"),(AL1))))</formula>
    </cfRule>
  </conditionalFormatting>
  <conditionalFormatting sqref="AL1:AL965">
    <cfRule type="containsText" dxfId="2" priority="3" operator="containsText" text="Pet Damage">
      <formula>NOT(ISERROR(SEARCH(("Pet Damage"),(AL1))))</formula>
    </cfRule>
  </conditionalFormatting>
  <conditionalFormatting sqref="AL1:AL965">
    <cfRule type="containsText" dxfId="3" priority="4" operator="containsText" text="Tap Damage">
      <formula>NOT(ISERROR(SEARCH(("Tap Damage"),(AL1))))</formula>
    </cfRule>
  </conditionalFormatting>
  <conditionalFormatting sqref="AL1:AL965">
    <cfRule type="containsText" dxfId="4" priority="5" operator="containsText" text="Ship Damage">
      <formula>NOT(ISERROR(SEARCH(("Ship Damage"),(AL1))))</formula>
    </cfRule>
  </conditionalFormatting>
  <conditionalFormatting sqref="AL1:AL965">
    <cfRule type="containsText" dxfId="4" priority="6" operator="containsText" text="Hero Damage">
      <formula>NOT(ISERROR(SEARCH(("Hero Damage"),(AL1))))</formula>
    </cfRule>
  </conditionalFormatting>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6FA8DC"/>
    <outlinePr summaryBelow="0" summaryRight="0"/>
    <pageSetUpPr/>
  </sheetPr>
  <sheetViews>
    <sheetView workbookViewId="0"/>
  </sheetViews>
  <sheetFormatPr customHeight="1" defaultColWidth="14.43" defaultRowHeight="15.0"/>
  <cols>
    <col customWidth="1" min="1" max="1" width="5.71"/>
    <col customWidth="1" min="2" max="2" width="11.71"/>
    <col customWidth="1" min="3" max="3" width="3.0"/>
    <col customWidth="1" min="4" max="4" width="18.14"/>
    <col customWidth="1" min="5" max="5" width="5.29"/>
    <col customWidth="1" min="6" max="6" width="17.29"/>
    <col customWidth="1" min="7" max="7" width="17.14"/>
    <col customWidth="1" min="8" max="8" width="15.14"/>
    <col customWidth="1" min="9" max="9" width="17.29"/>
    <col customWidth="1" min="10" max="10" width="17.14"/>
    <col customWidth="1" min="11" max="11" width="15.14"/>
    <col customWidth="1" min="12" max="12" width="17.29"/>
    <col customWidth="1" min="13" max="13" width="17.14"/>
    <col customWidth="1" min="14" max="14" width="15.14"/>
    <col customWidth="1" min="15" max="23" width="14.43"/>
    <col customWidth="1" min="24" max="50" width="17.43"/>
  </cols>
  <sheetData>
    <row r="1" ht="30.0" customHeight="1">
      <c r="A1" s="299" t="s">
        <v>635</v>
      </c>
      <c r="B1" s="300"/>
      <c r="C1" s="300"/>
      <c r="D1" s="300"/>
      <c r="E1" s="300"/>
      <c r="F1" s="300"/>
      <c r="G1" s="300"/>
      <c r="H1" s="300"/>
      <c r="I1" s="300"/>
      <c r="J1" s="300"/>
      <c r="K1" s="300"/>
      <c r="L1" s="300"/>
      <c r="M1" s="300"/>
      <c r="N1" s="300"/>
      <c r="O1" s="300"/>
      <c r="P1" s="3"/>
      <c r="Q1" s="3"/>
      <c r="R1" s="3"/>
      <c r="S1" s="3"/>
      <c r="T1" s="3"/>
      <c r="AS1" s="301"/>
    </row>
    <row r="2" ht="21.0" customHeight="1">
      <c r="A2" s="302" t="s">
        <v>637</v>
      </c>
      <c r="B2" s="303" t="s">
        <v>638</v>
      </c>
      <c r="C2" s="304"/>
      <c r="D2" s="305"/>
      <c r="E2" s="306"/>
      <c r="F2" s="303" t="s">
        <v>361</v>
      </c>
      <c r="G2" s="303" t="s">
        <v>641</v>
      </c>
      <c r="H2" s="303" t="s">
        <v>642</v>
      </c>
      <c r="I2" s="303" t="s">
        <v>643</v>
      </c>
      <c r="J2" s="307"/>
      <c r="K2" s="308" t="s">
        <v>644</v>
      </c>
      <c r="L2" s="309" t="s">
        <v>646</v>
      </c>
      <c r="M2" s="310" t="s">
        <v>647</v>
      </c>
      <c r="N2" s="311" t="s">
        <v>648</v>
      </c>
      <c r="O2" s="312"/>
      <c r="P2" s="3"/>
      <c r="Q2" s="3"/>
      <c r="R2" s="3"/>
      <c r="S2" s="3"/>
      <c r="T2" s="3"/>
      <c r="AS2" s="301"/>
    </row>
    <row r="3" ht="17.25" customHeight="1">
      <c r="A3" s="313"/>
      <c r="B3" s="314" t="s">
        <v>372</v>
      </c>
      <c r="C3" s="195"/>
      <c r="D3" s="315" t="str">
        <f>"Enter the artifact levels " &amp; B5 &amp; " (only non-max artis)"</f>
        <v>Enter the artifact levels in Millions (only non-max artis)</v>
      </c>
      <c r="E3" s="316"/>
      <c r="F3" s="317" t="s">
        <v>653</v>
      </c>
      <c r="G3" s="318" t="s">
        <v>655</v>
      </c>
      <c r="H3" s="319" t="s">
        <v>410</v>
      </c>
      <c r="I3" s="320" t="s">
        <v>311</v>
      </c>
      <c r="J3" s="321"/>
      <c r="K3" s="322">
        <v>100000.0</v>
      </c>
      <c r="L3" s="323">
        <v>0.0</v>
      </c>
      <c r="N3" s="322" t="s">
        <v>659</v>
      </c>
      <c r="O3" s="324"/>
      <c r="P3" s="3"/>
      <c r="Q3" s="3"/>
      <c r="R3" s="3"/>
      <c r="S3" s="3"/>
      <c r="T3" s="3"/>
      <c r="AS3" s="301"/>
    </row>
    <row r="4" ht="19.5" customHeight="1">
      <c r="A4" s="3"/>
      <c r="B4" s="325" t="s">
        <v>660</v>
      </c>
      <c r="C4" s="326"/>
      <c r="E4" s="316"/>
      <c r="F4" s="195"/>
      <c r="G4" s="195"/>
      <c r="H4" s="195"/>
      <c r="I4" s="195"/>
      <c r="J4" s="195"/>
      <c r="K4" s="195"/>
      <c r="L4" s="183">
        <v>0.01</v>
      </c>
      <c r="M4" s="3"/>
      <c r="N4" s="3"/>
      <c r="O4" s="327"/>
      <c r="P4" s="3"/>
      <c r="Q4" s="3"/>
      <c r="R4" s="3"/>
      <c r="S4" s="3"/>
      <c r="T4" s="3"/>
      <c r="AS4" s="301"/>
    </row>
    <row r="5">
      <c r="A5" s="328">
        <v>3333.0</v>
      </c>
      <c r="B5" s="329" t="s">
        <v>387</v>
      </c>
      <c r="C5" s="330" t="s">
        <v>456</v>
      </c>
      <c r="E5" s="331"/>
      <c r="F5" s="332" t="str">
        <f>$M91</f>
        <v/>
      </c>
      <c r="G5" s="333" t="s">
        <v>663</v>
      </c>
      <c r="H5" s="334">
        <f>$Q91</f>
        <v>1.70667E+23</v>
      </c>
      <c r="I5" s="335" t="str">
        <f>$M97</f>
        <v/>
      </c>
      <c r="J5" s="333" t="s">
        <v>663</v>
      </c>
      <c r="K5" s="334">
        <f>$Q97</f>
        <v>6.30346E+23</v>
      </c>
      <c r="L5" s="335" t="str">
        <f>$M103</f>
        <v/>
      </c>
      <c r="M5" s="333" t="s">
        <v>663</v>
      </c>
      <c r="N5" s="334">
        <f>$Q103</f>
        <v>2.03917E+23</v>
      </c>
      <c r="O5" s="327"/>
      <c r="P5" s="3"/>
      <c r="Q5" s="3"/>
      <c r="R5" s="3"/>
      <c r="S5" s="3"/>
      <c r="T5" s="3"/>
      <c r="AS5" s="301"/>
    </row>
    <row r="6">
      <c r="A6" s="336" t="str">
        <f t="shared" ref="A6:A75" si="1">"#" &amp; E258</f>
        <v>#27</v>
      </c>
      <c r="B6" s="337">
        <v>33.13</v>
      </c>
      <c r="C6" s="338" t="str">
        <f t="shared" ref="C6:C83" si="2">A258</f>
        <v/>
      </c>
      <c r="D6" s="339" t="str">
        <f>D258 &amp; " (" &amp; Fixed(I169*100,0) &amp; "%)"</f>
        <v>Book of Shadows (82%)</v>
      </c>
      <c r="E6" s="340" t="s">
        <v>301</v>
      </c>
      <c r="F6" s="341"/>
      <c r="G6" s="342" t="s">
        <v>670</v>
      </c>
      <c r="H6" s="343">
        <f>$AC91</f>
        <v>5.64907E+22</v>
      </c>
      <c r="I6" s="341"/>
      <c r="J6" s="342" t="s">
        <v>670</v>
      </c>
      <c r="K6" s="343">
        <f>$AC97</f>
        <v>1.61087E+23</v>
      </c>
      <c r="L6" s="341"/>
      <c r="M6" s="342" t="s">
        <v>670</v>
      </c>
      <c r="N6" s="343">
        <f>$AC103</f>
        <v>4.54268E+22</v>
      </c>
      <c r="O6" s="327"/>
      <c r="P6" s="3"/>
      <c r="Q6" s="3"/>
      <c r="R6" s="3"/>
      <c r="S6" s="3"/>
      <c r="T6" s="3"/>
      <c r="U6" s="8"/>
      <c r="AS6" s="301"/>
    </row>
    <row r="7">
      <c r="A7" s="336" t="str">
        <f t="shared" si="1"/>
        <v>#5</v>
      </c>
      <c r="B7" s="344">
        <v>537.0</v>
      </c>
      <c r="C7" s="345" t="str">
        <f t="shared" si="2"/>
        <v/>
      </c>
      <c r="D7" s="347" t="str">
        <f t="shared" ref="D7:D83" si="3">D259</f>
        <v>Stone of the Valrunes</v>
      </c>
      <c r="E7" s="348" t="s">
        <v>301</v>
      </c>
      <c r="F7" s="341"/>
      <c r="G7" s="349" t="s">
        <v>679</v>
      </c>
      <c r="H7" s="350" t="str">
        <f>$S91</f>
        <v>+8,000,000</v>
      </c>
      <c r="I7" s="341"/>
      <c r="J7" s="349" t="s">
        <v>679</v>
      </c>
      <c r="K7" s="350" t="str">
        <f>$S97</f>
        <v>+46,400,000</v>
      </c>
      <c r="L7" s="341"/>
      <c r="M7" s="349" t="s">
        <v>679</v>
      </c>
      <c r="N7" s="350" t="str">
        <f>$S103</f>
        <v>+58,000,000</v>
      </c>
      <c r="O7" s="327"/>
      <c r="P7" s="3"/>
      <c r="Q7" s="351"/>
      <c r="R7" s="3"/>
      <c r="S7" s="3"/>
      <c r="T7" s="3"/>
      <c r="U7" s="8"/>
      <c r="AS7" s="301"/>
    </row>
    <row r="8">
      <c r="A8" s="336" t="str">
        <f t="shared" si="1"/>
        <v>#10</v>
      </c>
      <c r="B8" s="344">
        <v>293.0</v>
      </c>
      <c r="C8" s="352" t="str">
        <f t="shared" si="2"/>
        <v/>
      </c>
      <c r="D8" s="347" t="str">
        <f t="shared" si="3"/>
        <v>Chest of Contentment</v>
      </c>
      <c r="E8" s="353" t="s">
        <v>301</v>
      </c>
      <c r="F8" s="341"/>
      <c r="G8" s="354"/>
      <c r="H8" s="355"/>
      <c r="I8" s="341"/>
      <c r="J8" s="354"/>
      <c r="K8" s="355"/>
      <c r="L8" s="341"/>
      <c r="M8" s="354"/>
      <c r="N8" s="355"/>
      <c r="O8" s="327"/>
      <c r="P8" s="3"/>
      <c r="Q8" s="3"/>
      <c r="R8" s="3"/>
      <c r="S8" s="3"/>
      <c r="T8" s="3"/>
      <c r="U8" s="265"/>
      <c r="AS8" s="301"/>
    </row>
    <row r="9">
      <c r="A9" s="336" t="str">
        <f t="shared" si="1"/>
        <v>#47</v>
      </c>
      <c r="B9" s="344">
        <v>134.0</v>
      </c>
      <c r="C9" s="352" t="str">
        <f t="shared" si="2"/>
        <v/>
      </c>
      <c r="D9" s="347" t="str">
        <f t="shared" si="3"/>
        <v>Heroic Shield</v>
      </c>
      <c r="E9" s="353" t="s">
        <v>301</v>
      </c>
      <c r="F9" s="341"/>
      <c r="G9" s="354"/>
      <c r="H9" s="356"/>
      <c r="I9" s="341"/>
      <c r="J9" s="354"/>
      <c r="K9" s="356"/>
      <c r="L9" s="341"/>
      <c r="M9" s="354"/>
      <c r="N9" s="356"/>
      <c r="O9" s="327"/>
      <c r="P9" s="3"/>
      <c r="Q9" s="3"/>
      <c r="R9" s="3"/>
      <c r="S9" s="3"/>
      <c r="T9" s="3"/>
      <c r="U9" s="265"/>
      <c r="AS9" s="301"/>
    </row>
    <row r="10">
      <c r="A10" s="336" t="str">
        <f t="shared" si="1"/>
        <v>#20</v>
      </c>
      <c r="B10" s="344">
        <v>31.0</v>
      </c>
      <c r="C10" s="352" t="str">
        <f t="shared" si="2"/>
        <v/>
      </c>
      <c r="D10" s="347" t="str">
        <f t="shared" si="3"/>
        <v>Book of Prophecy</v>
      </c>
      <c r="E10" s="348" t="s">
        <v>301</v>
      </c>
      <c r="F10" s="357"/>
      <c r="G10" s="358"/>
      <c r="H10" s="359"/>
      <c r="I10" s="357"/>
      <c r="J10" s="360"/>
      <c r="K10" s="361"/>
      <c r="L10" s="357"/>
      <c r="M10" s="360"/>
      <c r="N10" s="361"/>
      <c r="O10" s="327"/>
      <c r="P10" s="3"/>
      <c r="Q10" s="61" t="s">
        <v>689</v>
      </c>
      <c r="R10" s="3"/>
      <c r="S10" s="3"/>
      <c r="T10" s="3"/>
      <c r="U10" s="265"/>
      <c r="AS10" s="301"/>
    </row>
    <row r="11">
      <c r="A11" s="336" t="str">
        <f t="shared" si="1"/>
        <v>#46</v>
      </c>
      <c r="B11" s="344">
        <v>37.6</v>
      </c>
      <c r="C11" s="352" t="str">
        <f t="shared" si="2"/>
        <v/>
      </c>
      <c r="D11" s="347" t="str">
        <f t="shared" si="3"/>
        <v>Khrysos Bowl</v>
      </c>
      <c r="E11" s="348" t="s">
        <v>406</v>
      </c>
      <c r="F11" s="362" t="str">
        <f>$N91</f>
        <v>Divine Retribution</v>
      </c>
      <c r="H11" s="355"/>
      <c r="I11" s="363" t="str">
        <f>$N97</f>
        <v>Invader's Gjallarhorn</v>
      </c>
      <c r="J11" s="360"/>
      <c r="K11" s="355"/>
      <c r="L11" s="363" t="str">
        <f>$N103</f>
        <v>Bringer of Ragnarok</v>
      </c>
      <c r="M11" s="360"/>
      <c r="N11" s="355"/>
      <c r="O11" s="327"/>
      <c r="P11" s="3"/>
      <c r="Q11" s="3"/>
      <c r="R11" s="3"/>
      <c r="S11" s="3"/>
      <c r="T11" s="3"/>
      <c r="AS11" s="301"/>
    </row>
    <row r="12">
      <c r="A12" s="336" t="str">
        <f t="shared" si="1"/>
        <v>#45</v>
      </c>
      <c r="B12" s="344">
        <v>36.38</v>
      </c>
      <c r="C12" s="352" t="str">
        <f t="shared" si="2"/>
        <v/>
      </c>
      <c r="D12" s="347" t="str">
        <f t="shared" si="3"/>
        <v>Zakynthos Coin</v>
      </c>
      <c r="E12" s="348" t="s">
        <v>301</v>
      </c>
      <c r="F12" s="364" t="str">
        <f>"&gt;&gt;&gt;&gt; Rank " &amp; $L91 &amp; " &lt;&lt;&lt;&lt;"</f>
        <v>&gt;&gt;&gt;&gt; Rank 1 &lt;&lt;&lt;&lt;</v>
      </c>
      <c r="G12" s="365"/>
      <c r="H12" s="367" t="str">
        <f>"Rank " &amp; AI91</f>
        <v>Rank 12</v>
      </c>
      <c r="I12" s="364" t="str">
        <f>"&gt;&gt;&gt;&gt; Rank " &amp; $L97 &amp; " &lt;&lt;&lt;&lt;"</f>
        <v>&gt;&gt;&gt;&gt; Rank 2 &lt;&lt;&lt;&lt;</v>
      </c>
      <c r="J12" s="365"/>
      <c r="K12" s="367" t="str">
        <f>"Rank " &amp; AI97</f>
        <v>Rank 11</v>
      </c>
      <c r="L12" s="364" t="str">
        <f>"&gt;&gt;&gt;&gt; Rank " &amp; $L103 &amp; " &lt;&lt;&lt;&lt;"</f>
        <v>&gt;&gt;&gt;&gt; Rank 3 &lt;&lt;&lt;&lt;</v>
      </c>
      <c r="M12" s="365"/>
      <c r="N12" s="367" t="str">
        <f>"Rank " &amp; AI103</f>
        <v>Rank 15</v>
      </c>
      <c r="O12" s="327"/>
      <c r="P12" s="3"/>
      <c r="Q12" s="3"/>
      <c r="R12" s="3"/>
      <c r="S12" s="3"/>
      <c r="T12" s="3"/>
      <c r="AS12" s="301"/>
    </row>
    <row r="13">
      <c r="A13" s="336" t="str">
        <f t="shared" si="1"/>
        <v>#16</v>
      </c>
      <c r="B13" s="344">
        <v>303.0</v>
      </c>
      <c r="C13" s="352" t="str">
        <f t="shared" si="2"/>
        <v/>
      </c>
      <c r="D13" s="347" t="str">
        <f t="shared" si="3"/>
        <v>Great Fay Medallion</v>
      </c>
      <c r="E13" s="353" t="s">
        <v>301</v>
      </c>
      <c r="F13" s="370"/>
      <c r="G13" s="349" t="s">
        <v>697</v>
      </c>
      <c r="H13" s="356"/>
      <c r="I13" s="370"/>
      <c r="J13" s="349" t="s">
        <v>697</v>
      </c>
      <c r="K13" s="356"/>
      <c r="L13" s="370"/>
      <c r="M13" s="349" t="s">
        <v>697</v>
      </c>
      <c r="N13" s="356"/>
      <c r="O13" s="327"/>
      <c r="P13" s="3"/>
      <c r="Q13" s="3"/>
      <c r="R13" s="3"/>
      <c r="S13" s="3"/>
      <c r="T13" s="3"/>
      <c r="AS13" s="301"/>
    </row>
    <row r="14">
      <c r="A14" s="336" t="str">
        <f t="shared" si="1"/>
        <v>#44</v>
      </c>
      <c r="B14" s="344">
        <v>290.0</v>
      </c>
      <c r="C14" s="352" t="str">
        <f t="shared" si="2"/>
        <v/>
      </c>
      <c r="D14" s="347" t="str">
        <f t="shared" si="3"/>
        <v>Coins of Ebizu</v>
      </c>
      <c r="E14" s="353" t="s">
        <v>301</v>
      </c>
      <c r="F14" s="371">
        <f>$O91</f>
        <v>80000000</v>
      </c>
      <c r="G14" s="354"/>
      <c r="H14" s="372">
        <f>AJ91</f>
        <v>88000000</v>
      </c>
      <c r="I14" s="371">
        <f>$O97</f>
        <v>548000000</v>
      </c>
      <c r="J14" s="354"/>
      <c r="K14" s="372">
        <f>AJ97</f>
        <v>594400000</v>
      </c>
      <c r="L14" s="371">
        <f>$O103</f>
        <v>750000000</v>
      </c>
      <c r="M14" s="354"/>
      <c r="N14" s="372">
        <f>AJ103</f>
        <v>808000000</v>
      </c>
      <c r="O14" s="327"/>
      <c r="P14" s="3"/>
      <c r="Q14" s="3"/>
      <c r="R14" s="3"/>
      <c r="S14" s="3"/>
      <c r="T14" s="3"/>
      <c r="AS14" s="301"/>
    </row>
    <row r="15">
      <c r="A15" s="336" t="str">
        <f t="shared" si="1"/>
        <v>#23</v>
      </c>
      <c r="B15" s="344">
        <v>33.66</v>
      </c>
      <c r="C15" s="352" t="str">
        <f t="shared" si="2"/>
        <v/>
      </c>
      <c r="D15" s="347" t="str">
        <f t="shared" si="3"/>
        <v>Heavenly Sword</v>
      </c>
      <c r="E15" s="348" t="s">
        <v>301</v>
      </c>
      <c r="F15" s="375">
        <f>$P91</f>
        <v>0</v>
      </c>
      <c r="G15" s="376"/>
      <c r="H15" s="378">
        <f>$AH91</f>
        <v>0</v>
      </c>
      <c r="I15" s="379">
        <f>$P97</f>
        <v>0</v>
      </c>
      <c r="J15" s="376"/>
      <c r="K15" s="378">
        <f>$AH97</f>
        <v>0</v>
      </c>
      <c r="L15" s="379">
        <f>$P103</f>
        <v>0</v>
      </c>
      <c r="M15" s="376"/>
      <c r="N15" s="378">
        <f>$AH103</f>
        <v>0</v>
      </c>
      <c r="O15" s="327"/>
      <c r="P15" s="3"/>
      <c r="Q15" s="3"/>
      <c r="R15" s="3"/>
      <c r="S15" s="380"/>
      <c r="T15" s="3"/>
      <c r="U15" s="381"/>
      <c r="AS15" s="301"/>
    </row>
    <row r="16">
      <c r="A16" s="336" t="str">
        <f t="shared" si="1"/>
        <v>#1</v>
      </c>
      <c r="B16" s="344">
        <v>80.0</v>
      </c>
      <c r="C16" s="352" t="str">
        <f t="shared" si="2"/>
        <v/>
      </c>
      <c r="D16" s="347" t="str">
        <f t="shared" si="3"/>
        <v>Divine Retribution</v>
      </c>
      <c r="E16" s="348" t="s">
        <v>301</v>
      </c>
      <c r="F16" s="332" t="str">
        <f>$M92</f>
        <v/>
      </c>
      <c r="G16" s="382" t="s">
        <v>702</v>
      </c>
      <c r="H16" s="334">
        <f>$Q92</f>
        <v>1.85765E+23</v>
      </c>
      <c r="I16" s="335" t="str">
        <f>$M98</f>
        <v/>
      </c>
      <c r="J16" s="333" t="s">
        <v>663</v>
      </c>
      <c r="K16" s="334">
        <f>$Q98</f>
        <v>5.95554E+23</v>
      </c>
      <c r="L16" s="335" t="str">
        <f>$M104</f>
        <v/>
      </c>
      <c r="M16" s="333" t="s">
        <v>663</v>
      </c>
      <c r="N16" s="334">
        <f>$Q104</f>
        <v>8.39945E+22</v>
      </c>
      <c r="O16" s="327"/>
      <c r="P16" s="3"/>
      <c r="Q16" s="3"/>
      <c r="R16" s="3"/>
      <c r="S16" s="3"/>
      <c r="T16" s="3"/>
      <c r="AS16" s="301"/>
    </row>
    <row r="17">
      <c r="A17" s="336" t="str">
        <f t="shared" si="1"/>
        <v>#13</v>
      </c>
      <c r="B17" s="344">
        <v>800.0</v>
      </c>
      <c r="C17" s="352" t="str">
        <f t="shared" si="2"/>
        <v/>
      </c>
      <c r="D17" s="347" t="str">
        <f t="shared" si="3"/>
        <v>Drunken Hammer</v>
      </c>
      <c r="E17" s="353" t="s">
        <v>301</v>
      </c>
      <c r="F17" s="341"/>
      <c r="G17" s="342" t="s">
        <v>670</v>
      </c>
      <c r="H17" s="343">
        <f>$AC92</f>
        <v>6.14881E+22</v>
      </c>
      <c r="I17" s="341"/>
      <c r="J17" s="342" t="s">
        <v>670</v>
      </c>
      <c r="K17" s="343">
        <f>$AC98</f>
        <v>1.52309E+23</v>
      </c>
      <c r="L17" s="341"/>
      <c r="M17" s="342" t="s">
        <v>670</v>
      </c>
      <c r="N17" s="343">
        <f>$AC104</f>
        <v>1.87306E+22</v>
      </c>
      <c r="O17" s="327"/>
      <c r="P17" s="3"/>
      <c r="Q17" s="3"/>
      <c r="R17" s="3"/>
      <c r="S17" s="3"/>
      <c r="T17" s="3"/>
      <c r="AS17" s="301"/>
    </row>
    <row r="18">
      <c r="A18" s="336" t="str">
        <f t="shared" si="1"/>
        <v>#9</v>
      </c>
      <c r="B18" s="344">
        <v>95.0</v>
      </c>
      <c r="C18" s="352" t="str">
        <f t="shared" si="2"/>
        <v/>
      </c>
      <c r="D18" s="347" t="str">
        <f t="shared" si="3"/>
        <v>Samosek Sword</v>
      </c>
      <c r="E18" s="348" t="s">
        <v>301</v>
      </c>
      <c r="F18" s="341"/>
      <c r="G18" s="349" t="s">
        <v>679</v>
      </c>
      <c r="H18" s="350" t="str">
        <f>$S92</f>
        <v>+9,500,000</v>
      </c>
      <c r="I18" s="341"/>
      <c r="J18" s="349" t="s">
        <v>679</v>
      </c>
      <c r="K18" s="350" t="str">
        <f>$S98</f>
        <v>+45,500,000</v>
      </c>
      <c r="L18" s="341"/>
      <c r="M18" s="349" t="s">
        <v>679</v>
      </c>
      <c r="N18" s="350" t="str">
        <f>$S104</f>
        <v>+41,800,000</v>
      </c>
      <c r="O18" s="327"/>
      <c r="P18" s="3"/>
      <c r="Q18" s="3"/>
      <c r="R18" s="3"/>
      <c r="S18" s="3"/>
      <c r="T18" s="3"/>
      <c r="AS18" s="301"/>
    </row>
    <row r="19">
      <c r="A19" s="336" t="str">
        <f t="shared" si="1"/>
        <v>#17</v>
      </c>
      <c r="B19" s="344">
        <v>818.0</v>
      </c>
      <c r="C19" s="352" t="str">
        <f t="shared" si="2"/>
        <v/>
      </c>
      <c r="D19" s="347" t="str">
        <f t="shared" si="3"/>
        <v>The Retaliator</v>
      </c>
      <c r="E19" s="348" t="s">
        <v>301</v>
      </c>
      <c r="F19" s="341"/>
      <c r="G19" s="354"/>
      <c r="H19" s="355"/>
      <c r="I19" s="341"/>
      <c r="J19" s="354"/>
      <c r="K19" s="355"/>
      <c r="L19" s="341"/>
      <c r="M19" s="354"/>
      <c r="N19" s="355"/>
      <c r="O19" s="327"/>
      <c r="P19" s="3"/>
      <c r="Q19" s="3"/>
      <c r="R19" s="3"/>
      <c r="S19" s="3"/>
      <c r="T19" s="3"/>
      <c r="V19" s="8"/>
      <c r="X19" s="8"/>
      <c r="AS19" s="301"/>
    </row>
    <row r="20">
      <c r="A20" s="336" t="str">
        <f t="shared" si="1"/>
        <v>#24</v>
      </c>
      <c r="B20" s="344">
        <v>650.0</v>
      </c>
      <c r="C20" s="352" t="str">
        <f t="shared" si="2"/>
        <v/>
      </c>
      <c r="D20" s="347" t="str">
        <f t="shared" si="3"/>
        <v>Hero's Blade</v>
      </c>
      <c r="E20" s="348" t="s">
        <v>301</v>
      </c>
      <c r="F20" s="341"/>
      <c r="G20" s="354"/>
      <c r="H20" s="356"/>
      <c r="I20" s="341"/>
      <c r="J20" s="354"/>
      <c r="K20" s="356"/>
      <c r="L20" s="341"/>
      <c r="M20" s="354"/>
      <c r="N20" s="356"/>
      <c r="O20" s="327"/>
      <c r="P20" s="3"/>
      <c r="Q20" s="3"/>
      <c r="R20" s="3"/>
      <c r="S20" s="3"/>
      <c r="T20" s="3"/>
      <c r="AS20" s="301"/>
    </row>
    <row r="21">
      <c r="A21" s="336" t="str">
        <f t="shared" si="1"/>
        <v>#43</v>
      </c>
      <c r="B21" s="344">
        <v>1.53</v>
      </c>
      <c r="C21" s="352" t="str">
        <f t="shared" si="2"/>
        <v/>
      </c>
      <c r="D21" s="347" t="str">
        <f t="shared" si="3"/>
        <v>The Sword of Storms</v>
      </c>
      <c r="E21" s="348" t="s">
        <v>301</v>
      </c>
      <c r="F21" s="357"/>
      <c r="G21" s="360"/>
      <c r="H21" s="361"/>
      <c r="I21" s="357"/>
      <c r="J21" s="360"/>
      <c r="K21" s="361"/>
      <c r="L21" s="357"/>
      <c r="M21" s="360"/>
      <c r="N21" s="361"/>
      <c r="O21" s="327"/>
      <c r="P21" s="3"/>
      <c r="Q21" s="3"/>
      <c r="R21" s="3"/>
      <c r="S21" s="3"/>
      <c r="T21" s="3"/>
      <c r="AS21" s="301"/>
    </row>
    <row r="22">
      <c r="A22" s="336" t="str">
        <f t="shared" si="1"/>
        <v>#42</v>
      </c>
      <c r="B22" s="344">
        <v>100.0</v>
      </c>
      <c r="C22" s="352" t="str">
        <f t="shared" si="2"/>
        <v/>
      </c>
      <c r="D22" s="347" t="str">
        <f t="shared" si="3"/>
        <v>Furies Bow</v>
      </c>
      <c r="E22" s="348" t="s">
        <v>301</v>
      </c>
      <c r="F22" s="362" t="str">
        <f>$N92</f>
        <v>Moonlight Bracelet</v>
      </c>
      <c r="G22" s="360"/>
      <c r="H22" s="355"/>
      <c r="I22" s="363" t="str">
        <f>$N98</f>
        <v>Stone of the Valrunes</v>
      </c>
      <c r="J22" s="360"/>
      <c r="K22" s="355"/>
      <c r="L22" s="363" t="str">
        <f>$N104</f>
        <v>Laborer's Pendant</v>
      </c>
      <c r="M22" s="360"/>
      <c r="N22" s="355"/>
      <c r="O22" s="327"/>
      <c r="P22" s="3"/>
      <c r="Q22" s="3"/>
      <c r="R22" s="3"/>
      <c r="S22" s="3"/>
      <c r="T22" s="3"/>
      <c r="AS22" s="301"/>
    </row>
    <row r="23">
      <c r="A23" s="336" t="str">
        <f t="shared" si="1"/>
        <v>#26</v>
      </c>
      <c r="B23" s="344">
        <v>700.0</v>
      </c>
      <c r="C23" s="352" t="str">
        <f t="shared" si="2"/>
        <v/>
      </c>
      <c r="D23" s="347" t="str">
        <f t="shared" si="3"/>
        <v>Charm of the Ancient</v>
      </c>
      <c r="E23" s="348" t="s">
        <v>301</v>
      </c>
      <c r="F23" s="364" t="str">
        <f>"&gt;&gt;&gt;&gt; Rank " &amp; $L92 &amp; " &lt;&lt;&lt;&lt;"</f>
        <v>&gt;&gt;&gt;&gt; Rank 4 &lt;&lt;&lt;&lt;</v>
      </c>
      <c r="G23" s="365"/>
      <c r="H23" s="367" t="str">
        <f>"Rank " &amp; AI92</f>
        <v>Rank 18</v>
      </c>
      <c r="I23" s="364" t="str">
        <f>"&gt;&gt;&gt;&gt; Rank " &amp; $L98 &amp; " &lt;&lt;&lt;&lt;"</f>
        <v>&gt;&gt;&gt;&gt; Rank 5 &lt;&lt;&lt;&lt;</v>
      </c>
      <c r="J23" s="365"/>
      <c r="K23" s="367" t="str">
        <f>"Rank " &amp; AI98</f>
        <v>Rank 17</v>
      </c>
      <c r="L23" s="364" t="str">
        <f>"&gt;&gt;&gt;&gt; Rank " &amp; $L104 &amp; " &lt;&lt;&lt;&lt;"</f>
        <v>&gt;&gt;&gt;&gt; Rank 6 &lt;&lt;&lt;&lt;</v>
      </c>
      <c r="M23" s="365"/>
      <c r="N23" s="367" t="str">
        <f>"Rank " &amp; AI104</f>
        <v>Rank 17</v>
      </c>
      <c r="O23" s="327"/>
      <c r="P23" s="3"/>
      <c r="Q23" s="3"/>
      <c r="R23" s="3"/>
      <c r="S23" s="3"/>
      <c r="T23" s="3"/>
      <c r="AS23" s="301"/>
    </row>
    <row r="24">
      <c r="A24" s="336" t="str">
        <f t="shared" si="1"/>
        <v>#25</v>
      </c>
      <c r="B24" s="344">
        <v>669.0</v>
      </c>
      <c r="C24" s="352" t="str">
        <f t="shared" si="2"/>
        <v/>
      </c>
      <c r="D24" s="347" t="str">
        <f t="shared" si="3"/>
        <v>Tiny Titan Tree</v>
      </c>
      <c r="E24" s="348" t="s">
        <v>301</v>
      </c>
      <c r="F24" s="370"/>
      <c r="G24" s="349" t="s">
        <v>697</v>
      </c>
      <c r="H24" s="356"/>
      <c r="I24" s="370"/>
      <c r="J24" s="349" t="s">
        <v>697</v>
      </c>
      <c r="K24" s="356"/>
      <c r="L24" s="370"/>
      <c r="M24" s="349" t="s">
        <v>697</v>
      </c>
      <c r="N24" s="356"/>
      <c r="O24" s="327"/>
      <c r="P24" s="3"/>
      <c r="Q24" s="3"/>
      <c r="R24" s="3"/>
      <c r="S24" s="3"/>
      <c r="T24" s="3"/>
      <c r="AS24" s="301"/>
    </row>
    <row r="25">
      <c r="A25" s="336" t="str">
        <f t="shared" si="1"/>
        <v>#41</v>
      </c>
      <c r="B25" s="344">
        <v>4.0</v>
      </c>
      <c r="C25" s="352" t="str">
        <f t="shared" si="2"/>
        <v/>
      </c>
      <c r="D25" s="347" t="str">
        <f t="shared" si="3"/>
        <v>Helm of Hermes</v>
      </c>
      <c r="E25" s="348" t="s">
        <v>301</v>
      </c>
      <c r="F25" s="371">
        <f>$O92</f>
        <v>95000000</v>
      </c>
      <c r="G25" s="354"/>
      <c r="H25" s="372">
        <f>AJ92</f>
        <v>104500000</v>
      </c>
      <c r="I25" s="371">
        <f>$O98</f>
        <v>537000000</v>
      </c>
      <c r="J25" s="354"/>
      <c r="K25" s="372">
        <f>AJ98</f>
        <v>582500000</v>
      </c>
      <c r="L25" s="371">
        <f>$O104</f>
        <v>540000000</v>
      </c>
      <c r="M25" s="354"/>
      <c r="N25" s="372">
        <f>AJ104</f>
        <v>581800000</v>
      </c>
      <c r="O25" s="327"/>
      <c r="P25" s="3"/>
      <c r="Q25" s="3"/>
      <c r="R25" s="3"/>
      <c r="S25" s="3"/>
      <c r="T25" s="3"/>
      <c r="AS25" s="301"/>
    </row>
    <row r="26">
      <c r="A26" s="336" t="str">
        <f t="shared" si="1"/>
        <v>#40</v>
      </c>
      <c r="B26" s="344">
        <v>4.0</v>
      </c>
      <c r="C26" s="352" t="str">
        <f t="shared" si="2"/>
        <v/>
      </c>
      <c r="D26" s="347" t="str">
        <f t="shared" si="3"/>
        <v>Fruit of Eden</v>
      </c>
      <c r="E26" s="348" t="s">
        <v>301</v>
      </c>
      <c r="F26" s="375">
        <f>$P92</f>
        <v>0</v>
      </c>
      <c r="G26" s="376"/>
      <c r="H26" s="378">
        <f>$AH92</f>
        <v>0</v>
      </c>
      <c r="I26" s="379">
        <f>$P98</f>
        <v>0</v>
      </c>
      <c r="J26" s="376"/>
      <c r="K26" s="378">
        <f>$AH98</f>
        <v>0</v>
      </c>
      <c r="L26" s="379">
        <f>$P104</f>
        <v>0</v>
      </c>
      <c r="M26" s="376"/>
      <c r="N26" s="378">
        <f>$AH104</f>
        <v>0</v>
      </c>
      <c r="O26" s="327"/>
      <c r="P26" s="3"/>
      <c r="Q26" s="3"/>
      <c r="R26" s="3"/>
      <c r="S26" s="3"/>
      <c r="T26" s="3"/>
      <c r="AS26" s="301"/>
    </row>
    <row r="27">
      <c r="A27" s="336" t="str">
        <f t="shared" si="1"/>
        <v>#39</v>
      </c>
      <c r="B27" s="344">
        <v>685.0</v>
      </c>
      <c r="C27" s="352" t="str">
        <f t="shared" si="2"/>
        <v/>
      </c>
      <c r="D27" s="347" t="str">
        <f t="shared" si="3"/>
        <v>Influential Elixir</v>
      </c>
      <c r="E27" s="353" t="s">
        <v>301</v>
      </c>
      <c r="F27" s="332" t="str">
        <f>$M93</f>
        <v/>
      </c>
      <c r="G27" s="333" t="s">
        <v>663</v>
      </c>
      <c r="H27" s="334">
        <f>$Q93</f>
        <v>6.27228E+23</v>
      </c>
      <c r="I27" s="335" t="str">
        <f>$M99</f>
        <v/>
      </c>
      <c r="J27" s="333" t="s">
        <v>663</v>
      </c>
      <c r="K27" s="334">
        <f>$Q99</f>
        <v>9.7708E+23</v>
      </c>
      <c r="L27" s="335" t="str">
        <f>$M105</f>
        <v/>
      </c>
      <c r="M27" s="333" t="s">
        <v>663</v>
      </c>
      <c r="N27" s="334">
        <f>$Q105</f>
        <v>2.00054E+23</v>
      </c>
      <c r="O27" s="327"/>
      <c r="P27" s="3"/>
      <c r="Q27" s="3"/>
      <c r="R27" s="3"/>
      <c r="S27" s="3"/>
      <c r="T27" s="3"/>
      <c r="AS27" s="301"/>
    </row>
    <row r="28">
      <c r="A28" s="336" t="str">
        <f t="shared" si="1"/>
        <v>#38</v>
      </c>
      <c r="B28" s="344">
        <v>302.0</v>
      </c>
      <c r="C28" s="352" t="str">
        <f t="shared" si="2"/>
        <v/>
      </c>
      <c r="D28" s="347" t="str">
        <f t="shared" si="3"/>
        <v>O'Ryan's Charm</v>
      </c>
      <c r="E28" s="348" t="s">
        <v>301</v>
      </c>
      <c r="F28" s="341"/>
      <c r="G28" s="342" t="s">
        <v>670</v>
      </c>
      <c r="H28" s="343">
        <f>$AC93</f>
        <v>2.57254E+23</v>
      </c>
      <c r="I28" s="341"/>
      <c r="J28" s="342" t="s">
        <v>670</v>
      </c>
      <c r="K28" s="343">
        <f>$AC99</f>
        <v>4.06745E+23</v>
      </c>
      <c r="L28" s="341"/>
      <c r="M28" s="342" t="s">
        <v>670</v>
      </c>
      <c r="N28" s="343">
        <f>$AC105</f>
        <v>6.62179E+22</v>
      </c>
      <c r="O28" s="327"/>
      <c r="P28" s="3"/>
      <c r="Q28" s="3"/>
      <c r="R28" s="3"/>
      <c r="S28" s="3"/>
      <c r="T28" s="3"/>
      <c r="AS28" s="301"/>
    </row>
    <row r="29">
      <c r="A29" s="336" t="str">
        <f t="shared" si="1"/>
        <v>#8</v>
      </c>
      <c r="B29" s="344">
        <v>50.48</v>
      </c>
      <c r="C29" s="352" t="str">
        <f t="shared" si="2"/>
        <v/>
      </c>
      <c r="D29" s="347" t="str">
        <f t="shared" si="3"/>
        <v>Heart of Storms</v>
      </c>
      <c r="E29" s="353" t="s">
        <v>301</v>
      </c>
      <c r="F29" s="341"/>
      <c r="G29" s="349" t="s">
        <v>679</v>
      </c>
      <c r="H29" s="350" t="str">
        <f>$S93</f>
        <v>+5,100,000</v>
      </c>
      <c r="I29" s="341"/>
      <c r="J29" s="349" t="s">
        <v>679</v>
      </c>
      <c r="K29" s="350" t="str">
        <f>$S99</f>
        <v>+5,800,000</v>
      </c>
      <c r="L29" s="341"/>
      <c r="M29" s="349" t="s">
        <v>679</v>
      </c>
      <c r="N29" s="350" t="str">
        <f>$S105</f>
        <v>+9,500,000</v>
      </c>
      <c r="O29" s="327"/>
      <c r="P29" s="3"/>
      <c r="Q29" s="3"/>
      <c r="R29" s="3"/>
      <c r="S29" s="3"/>
      <c r="T29" s="3"/>
      <c r="AS29" s="301"/>
    </row>
    <row r="30">
      <c r="A30" s="336" t="str">
        <f t="shared" si="1"/>
        <v>#18</v>
      </c>
      <c r="B30" s="344">
        <v>36.0</v>
      </c>
      <c r="C30" s="352" t="str">
        <f t="shared" si="2"/>
        <v/>
      </c>
      <c r="D30" s="347" t="str">
        <f t="shared" si="3"/>
        <v>Apollo Orb</v>
      </c>
      <c r="E30" s="353" t="s">
        <v>301</v>
      </c>
      <c r="F30" s="341"/>
      <c r="G30" s="354"/>
      <c r="H30" s="355"/>
      <c r="I30" s="341"/>
      <c r="J30" s="354"/>
      <c r="K30" s="355"/>
      <c r="L30" s="341"/>
      <c r="M30" s="354"/>
      <c r="N30" s="355"/>
      <c r="O30" s="327"/>
      <c r="P30" s="3"/>
      <c r="Q30" s="3"/>
      <c r="R30" s="3"/>
      <c r="S30" s="380"/>
      <c r="T30" s="3"/>
      <c r="AS30" s="301"/>
    </row>
    <row r="31">
      <c r="A31" s="336" t="str">
        <f t="shared" si="1"/>
        <v>#37</v>
      </c>
      <c r="B31" s="344">
        <v>45.0</v>
      </c>
      <c r="C31" s="352" t="str">
        <f t="shared" si="2"/>
        <v/>
      </c>
      <c r="D31" s="347" t="str">
        <f t="shared" si="3"/>
        <v>Earrings of Portara</v>
      </c>
      <c r="E31" s="348" t="s">
        <v>406</v>
      </c>
      <c r="F31" s="341"/>
      <c r="G31" s="354"/>
      <c r="H31" s="356"/>
      <c r="I31" s="341"/>
      <c r="J31" s="354"/>
      <c r="K31" s="356"/>
      <c r="L31" s="341"/>
      <c r="M31" s="354"/>
      <c r="N31" s="356"/>
      <c r="O31" s="327"/>
      <c r="P31" s="3"/>
      <c r="Q31" s="3"/>
      <c r="R31" s="3"/>
      <c r="S31" s="403"/>
      <c r="T31" s="3"/>
      <c r="AS31" s="301"/>
    </row>
    <row r="32">
      <c r="A32" s="336" t="str">
        <f t="shared" si="1"/>
        <v>#36</v>
      </c>
      <c r="B32" s="344">
        <v>1.2E-4</v>
      </c>
      <c r="C32" s="352" t="str">
        <f t="shared" si="2"/>
        <v/>
      </c>
      <c r="D32" s="347" t="str">
        <f t="shared" si="3"/>
        <v>Avian Feather</v>
      </c>
      <c r="E32" s="348" t="s">
        <v>301</v>
      </c>
      <c r="F32" s="357"/>
      <c r="G32" s="360"/>
      <c r="H32" s="361"/>
      <c r="I32" s="357"/>
      <c r="J32" s="360"/>
      <c r="K32" s="361"/>
      <c r="L32" s="357"/>
      <c r="M32" s="360"/>
      <c r="N32" s="361"/>
      <c r="O32" s="327"/>
      <c r="P32" s="3"/>
      <c r="Q32" s="3"/>
      <c r="R32" s="3"/>
      <c r="S32" s="405"/>
      <c r="T32" s="3"/>
      <c r="AS32" s="301"/>
    </row>
    <row r="33">
      <c r="A33" s="336" t="str">
        <f t="shared" si="1"/>
        <v>#35</v>
      </c>
      <c r="B33" s="344">
        <v>0.6</v>
      </c>
      <c r="C33" s="352" t="str">
        <f t="shared" si="2"/>
        <v/>
      </c>
      <c r="D33" s="347" t="str">
        <f t="shared" si="3"/>
        <v>Corrupted Rune Heart</v>
      </c>
      <c r="E33" s="348" t="s">
        <v>406</v>
      </c>
      <c r="F33" s="362" t="str">
        <f>$N93</f>
        <v>Ring of Calisto</v>
      </c>
      <c r="G33" s="360"/>
      <c r="H33" s="355"/>
      <c r="I33" s="363" t="str">
        <f>$N99</f>
        <v>Heart of Storms</v>
      </c>
      <c r="J33" s="360"/>
      <c r="K33" s="355"/>
      <c r="L33" s="363" t="str">
        <f>$N105</f>
        <v>Samosek Sword</v>
      </c>
      <c r="M33" s="360"/>
      <c r="N33" s="355"/>
      <c r="O33" s="327"/>
      <c r="P33" s="3"/>
      <c r="Q33" s="3"/>
      <c r="R33" s="3"/>
      <c r="S33" s="3"/>
      <c r="T33" s="3"/>
      <c r="AS33" s="301"/>
    </row>
    <row r="34">
      <c r="A34" s="336" t="str">
        <f t="shared" si="1"/>
        <v>#34</v>
      </c>
      <c r="B34" s="344">
        <v>0.5</v>
      </c>
      <c r="C34" s="352" t="str">
        <f t="shared" si="2"/>
        <v/>
      </c>
      <c r="D34" s="347" t="str">
        <f t="shared" si="3"/>
        <v>Durendal Sword</v>
      </c>
      <c r="E34" s="348" t="s">
        <v>406</v>
      </c>
      <c r="F34" s="364" t="str">
        <f>"&gt;&gt;&gt;&gt; Rank " &amp; $L93 &amp; " &lt;&lt;&lt;&lt;"</f>
        <v>&gt;&gt;&gt;&gt; Rank 7 &lt;&lt;&lt;&lt;</v>
      </c>
      <c r="G34" s="365"/>
      <c r="H34" s="367" t="str">
        <f>"Rank " &amp; AI93</f>
        <v>Rank 20</v>
      </c>
      <c r="I34" s="364" t="str">
        <f>"&gt;&gt;&gt;&gt; Rank " &amp; $L99 &amp; " &lt;&lt;&lt;&lt;"</f>
        <v>&gt;&gt;&gt;&gt; Rank 8 &lt;&lt;&lt;&lt;</v>
      </c>
      <c r="J34" s="365"/>
      <c r="K34" s="367" t="str">
        <f>"Rank " &amp; AI99</f>
        <v>Rank 21</v>
      </c>
      <c r="L34" s="364" t="str">
        <f>"&gt;&gt;&gt;&gt; Rank " &amp; $L105 &amp; " &lt;&lt;&lt;&lt;"</f>
        <v>&gt;&gt;&gt;&gt; Rank 9 &lt;&lt;&lt;&lt;</v>
      </c>
      <c r="M34" s="365"/>
      <c r="N34" s="367" t="str">
        <f>"Rank " &amp; AI105</f>
        <v>Rank 20</v>
      </c>
      <c r="O34" s="327"/>
      <c r="P34" s="3"/>
      <c r="Q34" s="3"/>
      <c r="R34" s="3"/>
      <c r="S34" s="3"/>
      <c r="T34" s="3"/>
      <c r="AS34" s="301"/>
    </row>
    <row r="35">
      <c r="A35" s="336" t="str">
        <f t="shared" si="1"/>
        <v>#12</v>
      </c>
      <c r="B35" s="344">
        <v>86.72</v>
      </c>
      <c r="C35" s="352" t="str">
        <f t="shared" si="2"/>
        <v/>
      </c>
      <c r="D35" s="347" t="str">
        <f t="shared" si="3"/>
        <v>Helheim Skull</v>
      </c>
      <c r="E35" s="353" t="s">
        <v>301</v>
      </c>
      <c r="F35" s="370"/>
      <c r="G35" s="349" t="s">
        <v>697</v>
      </c>
      <c r="H35" s="356"/>
      <c r="I35" s="370"/>
      <c r="J35" s="349" t="s">
        <v>697</v>
      </c>
      <c r="K35" s="356"/>
      <c r="L35" s="370"/>
      <c r="M35" s="349" t="s">
        <v>697</v>
      </c>
      <c r="N35" s="356"/>
      <c r="O35" s="327"/>
      <c r="P35" s="3"/>
      <c r="Q35" s="3"/>
      <c r="R35" s="3"/>
      <c r="S35" s="380"/>
      <c r="T35" s="3"/>
      <c r="AS35" s="301"/>
    </row>
    <row r="36">
      <c r="A36" s="336" t="str">
        <f t="shared" si="1"/>
        <v>#33</v>
      </c>
      <c r="B36" s="344">
        <v>1.0</v>
      </c>
      <c r="C36" s="352" t="str">
        <f t="shared" si="2"/>
        <v/>
      </c>
      <c r="D36" s="347" t="str">
        <f t="shared" si="3"/>
        <v>Oath's Burden</v>
      </c>
      <c r="E36" s="348" t="s">
        <v>406</v>
      </c>
      <c r="F36" s="371">
        <f>$O93</f>
        <v>44980000</v>
      </c>
      <c r="G36" s="354"/>
      <c r="H36" s="372">
        <f>AJ93</f>
        <v>50080000</v>
      </c>
      <c r="I36" s="371">
        <f>$O99</f>
        <v>50480000</v>
      </c>
      <c r="J36" s="354"/>
      <c r="K36" s="372">
        <f>AJ99</f>
        <v>56280000</v>
      </c>
      <c r="L36" s="371">
        <f>$O105</f>
        <v>95000000</v>
      </c>
      <c r="M36" s="354"/>
      <c r="N36" s="372">
        <f>AJ105</f>
        <v>104500000</v>
      </c>
      <c r="O36" s="327"/>
      <c r="P36" s="3"/>
      <c r="Q36" s="3"/>
      <c r="R36" s="3"/>
      <c r="S36" s="380"/>
      <c r="T36" s="3"/>
      <c r="AS36" s="301"/>
    </row>
    <row r="37">
      <c r="A37" s="336" t="str">
        <f t="shared" si="1"/>
        <v>#32</v>
      </c>
      <c r="B37" s="344">
        <v>1.0</v>
      </c>
      <c r="C37" s="352" t="str">
        <f t="shared" si="2"/>
        <v/>
      </c>
      <c r="D37" s="347" t="str">
        <f t="shared" si="3"/>
        <v>Crown of the Constellation</v>
      </c>
      <c r="E37" s="348" t="s">
        <v>406</v>
      </c>
      <c r="F37" s="375">
        <f>$P93</f>
        <v>0</v>
      </c>
      <c r="G37" s="376"/>
      <c r="H37" s="378">
        <f>$AH93</f>
        <v>0</v>
      </c>
      <c r="I37" s="379">
        <f>$P99</f>
        <v>0</v>
      </c>
      <c r="J37" s="376"/>
      <c r="K37" s="378">
        <f>$AH99</f>
        <v>0</v>
      </c>
      <c r="L37" s="379">
        <f>$P105</f>
        <v>0</v>
      </c>
      <c r="M37" s="376"/>
      <c r="N37" s="378">
        <f>$AH105</f>
        <v>0</v>
      </c>
      <c r="O37" s="327"/>
      <c r="P37" s="3"/>
      <c r="Q37" s="3"/>
      <c r="R37" s="3"/>
      <c r="S37" s="403"/>
      <c r="T37" s="3"/>
      <c r="AS37" s="301"/>
    </row>
    <row r="38">
      <c r="A38" s="336" t="str">
        <f t="shared" si="1"/>
        <v>#31</v>
      </c>
      <c r="B38" s="344">
        <v>1.0</v>
      </c>
      <c r="C38" s="352" t="str">
        <f t="shared" si="2"/>
        <v/>
      </c>
      <c r="D38" s="347" t="str">
        <f t="shared" si="3"/>
        <v>Titania's Sceptre</v>
      </c>
      <c r="E38" s="348" t="s">
        <v>406</v>
      </c>
      <c r="F38" s="332" t="str">
        <f>$M94</f>
        <v/>
      </c>
      <c r="G38" s="333" t="s">
        <v>663</v>
      </c>
      <c r="H38" s="334">
        <f>$Q94</f>
        <v>1.82E+23</v>
      </c>
      <c r="I38" s="335" t="str">
        <f>$M100</f>
        <v/>
      </c>
      <c r="J38" s="333" t="s">
        <v>663</v>
      </c>
      <c r="K38" s="334">
        <f>$Q100</f>
        <v>1.56517E+23</v>
      </c>
      <c r="L38" s="335" t="str">
        <f>$M106</f>
        <v/>
      </c>
      <c r="M38" s="333" t="s">
        <v>663</v>
      </c>
      <c r="N38" s="334">
        <f>$Q106</f>
        <v>2.17388E+23</v>
      </c>
      <c r="O38" s="327"/>
      <c r="P38" s="3"/>
      <c r="Q38" s="3"/>
      <c r="R38" s="3"/>
      <c r="S38" s="405"/>
      <c r="T38" s="3"/>
      <c r="AS38" s="301"/>
    </row>
    <row r="39">
      <c r="A39" s="336" t="str">
        <f t="shared" si="1"/>
        <v>#30</v>
      </c>
      <c r="B39" s="344">
        <v>0.0</v>
      </c>
      <c r="C39" s="352" t="str">
        <f t="shared" si="2"/>
        <v/>
      </c>
      <c r="D39" s="347" t="str">
        <f t="shared" si="3"/>
        <v>Fagin's Grip</v>
      </c>
      <c r="E39" s="353" t="s">
        <v>301</v>
      </c>
      <c r="F39" s="341"/>
      <c r="G39" s="342" t="s">
        <v>670</v>
      </c>
      <c r="H39" s="343">
        <f>$AC94</f>
        <v>4.6493E+22</v>
      </c>
      <c r="I39" s="341"/>
      <c r="J39" s="342" t="s">
        <v>670</v>
      </c>
      <c r="K39" s="343">
        <f>$AC100</f>
        <v>3.48769E+22</v>
      </c>
      <c r="L39" s="341"/>
      <c r="M39" s="342" t="s">
        <v>670</v>
      </c>
      <c r="N39" s="343">
        <f>$AC106</f>
        <v>7.13009E+22</v>
      </c>
      <c r="O39" s="327"/>
      <c r="P39" s="3"/>
      <c r="Q39" s="3"/>
      <c r="R39" s="3"/>
      <c r="S39" s="3"/>
      <c r="T39" s="3"/>
      <c r="AS39" s="301"/>
    </row>
    <row r="40">
      <c r="A40" s="336" t="str">
        <f t="shared" si="1"/>
        <v>#7</v>
      </c>
      <c r="B40" s="344">
        <v>44.98</v>
      </c>
      <c r="C40" s="352" t="str">
        <f t="shared" si="2"/>
        <v/>
      </c>
      <c r="D40" s="347" t="str">
        <f t="shared" si="3"/>
        <v>Ring of Calisto</v>
      </c>
      <c r="E40" s="353" t="s">
        <v>301</v>
      </c>
      <c r="F40" s="341"/>
      <c r="G40" s="349" t="s">
        <v>679</v>
      </c>
      <c r="H40" s="350" t="str">
        <f>$S94</f>
        <v>+24,800,000</v>
      </c>
      <c r="I40" s="341"/>
      <c r="J40" s="349" t="s">
        <v>679</v>
      </c>
      <c r="K40" s="350" t="str">
        <f>$S100</f>
        <v>+52,600,000</v>
      </c>
      <c r="L40" s="341"/>
      <c r="M40" s="349" t="s">
        <v>679</v>
      </c>
      <c r="N40" s="350" t="str">
        <f>$S106</f>
        <v>+8,600,000</v>
      </c>
      <c r="O40" s="327"/>
      <c r="P40" s="3"/>
      <c r="Q40" s="3"/>
      <c r="R40" s="3"/>
      <c r="S40" s="3"/>
      <c r="T40" s="3"/>
      <c r="AS40" s="301"/>
    </row>
    <row r="41">
      <c r="A41" s="336" t="str">
        <f t="shared" si="1"/>
        <v>#15</v>
      </c>
      <c r="B41" s="344">
        <v>100.0</v>
      </c>
      <c r="C41" s="352" t="str">
        <f t="shared" si="2"/>
        <v/>
      </c>
      <c r="D41" s="347" t="str">
        <f t="shared" si="3"/>
        <v>Blade of Damocles</v>
      </c>
      <c r="E41" s="353" t="s">
        <v>301</v>
      </c>
      <c r="F41" s="341"/>
      <c r="G41" s="354"/>
      <c r="H41" s="355"/>
      <c r="I41" s="341"/>
      <c r="J41" s="354"/>
      <c r="K41" s="355"/>
      <c r="L41" s="341"/>
      <c r="M41" s="354"/>
      <c r="N41" s="355"/>
      <c r="O41" s="327"/>
      <c r="P41" s="3"/>
      <c r="Q41" s="3"/>
      <c r="R41" s="3"/>
      <c r="S41" s="380"/>
      <c r="T41" s="3"/>
      <c r="AS41" s="301"/>
    </row>
    <row r="42">
      <c r="A42" s="336" t="str">
        <f t="shared" si="1"/>
        <v>#14</v>
      </c>
      <c r="B42" s="344">
        <v>100.0</v>
      </c>
      <c r="C42" s="352" t="str">
        <f t="shared" si="2"/>
        <v/>
      </c>
      <c r="D42" s="347" t="str">
        <f t="shared" si="3"/>
        <v>Helmet of Madness</v>
      </c>
      <c r="E42" s="353" t="s">
        <v>301</v>
      </c>
      <c r="F42" s="341"/>
      <c r="G42" s="354"/>
      <c r="H42" s="356"/>
      <c r="I42" s="341"/>
      <c r="J42" s="354"/>
      <c r="K42" s="356"/>
      <c r="L42" s="341"/>
      <c r="M42" s="354"/>
      <c r="N42" s="356"/>
      <c r="O42" s="327"/>
      <c r="P42" s="3"/>
      <c r="Q42" s="3"/>
      <c r="R42" s="3"/>
      <c r="S42" s="380"/>
      <c r="T42" s="3"/>
      <c r="AS42" s="301"/>
    </row>
    <row r="43">
      <c r="A43" s="336" t="str">
        <f t="shared" si="1"/>
        <v>#22</v>
      </c>
      <c r="B43" s="344">
        <v>100.0</v>
      </c>
      <c r="C43" s="352" t="str">
        <f t="shared" si="2"/>
        <v/>
      </c>
      <c r="D43" s="347" t="str">
        <f t="shared" si="3"/>
        <v>Titanium Plating</v>
      </c>
      <c r="E43" s="353" t="s">
        <v>301</v>
      </c>
      <c r="F43" s="357"/>
      <c r="G43" s="360"/>
      <c r="H43" s="361"/>
      <c r="I43" s="357"/>
      <c r="J43" s="360"/>
      <c r="K43" s="361"/>
      <c r="L43" s="357"/>
      <c r="M43" s="360"/>
      <c r="N43" s="361"/>
      <c r="O43" s="327"/>
      <c r="P43" s="3"/>
      <c r="Q43" s="3"/>
      <c r="R43" s="3"/>
      <c r="S43" s="403"/>
      <c r="T43" s="3"/>
      <c r="AS43" s="301"/>
    </row>
    <row r="44">
      <c r="A44" s="336" t="str">
        <f t="shared" si="1"/>
        <v>#4</v>
      </c>
      <c r="B44" s="344">
        <v>95.0</v>
      </c>
      <c r="C44" s="352" t="str">
        <f t="shared" si="2"/>
        <v/>
      </c>
      <c r="D44" s="347" t="str">
        <f t="shared" si="3"/>
        <v>Moonlight Bracelet</v>
      </c>
      <c r="E44" s="353" t="s">
        <v>301</v>
      </c>
      <c r="F44" s="362" t="str">
        <f>$N94</f>
        <v>Chest of Contentment</v>
      </c>
      <c r="G44" s="360"/>
      <c r="H44" s="355"/>
      <c r="I44" s="363" t="str">
        <f>$N100</f>
        <v>Royal Toxin</v>
      </c>
      <c r="J44" s="360"/>
      <c r="K44" s="355"/>
      <c r="L44" s="363" t="str">
        <f>$N106</f>
        <v>Helheim Skull</v>
      </c>
      <c r="M44" s="360"/>
      <c r="N44" s="355"/>
      <c r="O44" s="327"/>
      <c r="P44" s="3"/>
      <c r="Q44" s="3"/>
      <c r="R44" s="3"/>
      <c r="S44" s="405"/>
      <c r="T44" s="3"/>
      <c r="AS44" s="301"/>
    </row>
    <row r="45">
      <c r="A45" s="336" t="str">
        <f t="shared" si="1"/>
        <v>#29</v>
      </c>
      <c r="B45" s="344">
        <v>85.0</v>
      </c>
      <c r="C45" s="352" t="str">
        <f t="shared" si="2"/>
        <v/>
      </c>
      <c r="D45" s="347" t="str">
        <f t="shared" si="3"/>
        <v>Amethyst Staff</v>
      </c>
      <c r="E45" s="348" t="s">
        <v>301</v>
      </c>
      <c r="F45" s="364" t="str">
        <f>"&gt;&gt;&gt;&gt; Rank " &amp; $L94 &amp; " &lt;&lt;&lt;&lt;"</f>
        <v>&gt;&gt;&gt;&gt; Rank 10 &lt;&lt;&lt;&lt;</v>
      </c>
      <c r="G45" s="365"/>
      <c r="H45" s="367" t="str">
        <f>"Rank " &amp; AI94</f>
        <v>Rank 20</v>
      </c>
      <c r="I45" s="364" t="str">
        <f>"&gt;&gt;&gt;&gt; Rank " &amp; $L100 &amp; " &lt;&lt;&lt;&lt;"</f>
        <v>&gt;&gt;&gt;&gt; Rank 11 &lt;&lt;&lt;&lt;</v>
      </c>
      <c r="J45" s="365"/>
      <c r="K45" s="367" t="str">
        <f>"Rank " &amp; AI100</f>
        <v>Rank 20</v>
      </c>
      <c r="L45" s="364" t="str">
        <f>"&gt;&gt;&gt;&gt; Rank " &amp; $L106 &amp; " &lt;&lt;&lt;&lt;"</f>
        <v>&gt;&gt;&gt;&gt; Rank 12 &lt;&lt;&lt;&lt;</v>
      </c>
      <c r="M45" s="365"/>
      <c r="N45" s="367" t="str">
        <f>"Rank " &amp; AI106</f>
        <v>Rank 23</v>
      </c>
      <c r="O45" s="327"/>
      <c r="P45" s="3"/>
      <c r="Q45" s="3"/>
      <c r="R45" s="3"/>
      <c r="S45" s="3"/>
      <c r="T45" s="3"/>
      <c r="AS45" s="301"/>
    </row>
    <row r="46">
      <c r="A46" s="336" t="str">
        <f t="shared" si="1"/>
        <v>#2</v>
      </c>
      <c r="B46" s="344">
        <v>548.0</v>
      </c>
      <c r="C46" s="352" t="str">
        <f t="shared" si="2"/>
        <v/>
      </c>
      <c r="D46" s="347" t="str">
        <f t="shared" si="3"/>
        <v>Invader's Gjallarhorn</v>
      </c>
      <c r="E46" s="348" t="s">
        <v>301</v>
      </c>
      <c r="F46" s="370"/>
      <c r="G46" s="349" t="s">
        <v>697</v>
      </c>
      <c r="H46" s="356"/>
      <c r="I46" s="370"/>
      <c r="J46" s="349" t="s">
        <v>697</v>
      </c>
      <c r="K46" s="356"/>
      <c r="L46" s="370"/>
      <c r="M46" s="349" t="s">
        <v>697</v>
      </c>
      <c r="N46" s="356"/>
      <c r="O46" s="327"/>
      <c r="P46" s="3"/>
      <c r="Q46" s="3"/>
      <c r="R46" s="3"/>
      <c r="S46" s="3"/>
      <c r="T46" s="3"/>
      <c r="AS46" s="301"/>
    </row>
    <row r="47">
      <c r="A47" s="336" t="str">
        <f t="shared" si="1"/>
        <v>#19</v>
      </c>
      <c r="B47" s="344">
        <v>845.0</v>
      </c>
      <c r="C47" s="352" t="str">
        <f t="shared" si="2"/>
        <v/>
      </c>
      <c r="D47" s="347" t="str">
        <f t="shared" si="3"/>
        <v>Titan's Mask</v>
      </c>
      <c r="E47" s="348" t="s">
        <v>301</v>
      </c>
      <c r="F47" s="371">
        <f>$O94</f>
        <v>293000000</v>
      </c>
      <c r="G47" s="354"/>
      <c r="H47" s="372">
        <f>AJ94</f>
        <v>317800000</v>
      </c>
      <c r="I47" s="371">
        <f>$O100</f>
        <v>680000000</v>
      </c>
      <c r="J47" s="354"/>
      <c r="K47" s="372">
        <f>AJ100</f>
        <v>732600000</v>
      </c>
      <c r="L47" s="371">
        <f>$O106</f>
        <v>86720000</v>
      </c>
      <c r="M47" s="354"/>
      <c r="N47" s="372">
        <f>AJ106</f>
        <v>95320000</v>
      </c>
      <c r="O47" s="327"/>
      <c r="P47" s="3"/>
      <c r="Q47" s="3"/>
      <c r="R47" s="3"/>
      <c r="S47" s="380"/>
      <c r="T47" s="3"/>
      <c r="AS47" s="301"/>
    </row>
    <row r="48">
      <c r="A48" s="336" t="str">
        <f t="shared" si="1"/>
        <v>#11</v>
      </c>
      <c r="B48" s="344">
        <v>680.0</v>
      </c>
      <c r="C48" s="352" t="str">
        <f t="shared" si="2"/>
        <v/>
      </c>
      <c r="D48" s="347" t="str">
        <f t="shared" si="3"/>
        <v>Royal Toxin</v>
      </c>
      <c r="E48" s="348" t="s">
        <v>301</v>
      </c>
      <c r="F48" s="375">
        <f>$P94</f>
        <v>0</v>
      </c>
      <c r="G48" s="376"/>
      <c r="H48" s="378">
        <f>$AH94</f>
        <v>0</v>
      </c>
      <c r="I48" s="379">
        <f>$P100</f>
        <v>0</v>
      </c>
      <c r="J48" s="376"/>
      <c r="K48" s="378">
        <f>$AH100</f>
        <v>0</v>
      </c>
      <c r="L48" s="379">
        <f>$P106</f>
        <v>0</v>
      </c>
      <c r="M48" s="376"/>
      <c r="N48" s="378">
        <f>$AH106</f>
        <v>0</v>
      </c>
      <c r="O48" s="327"/>
      <c r="P48" s="3"/>
      <c r="Q48" s="3"/>
      <c r="R48" s="3"/>
      <c r="S48" s="380"/>
      <c r="T48" s="3"/>
      <c r="AS48" s="301"/>
    </row>
    <row r="49">
      <c r="A49" s="336" t="str">
        <f t="shared" si="1"/>
        <v>#6</v>
      </c>
      <c r="B49" s="344">
        <v>540.0</v>
      </c>
      <c r="C49" s="352" t="str">
        <f t="shared" si="2"/>
        <v/>
      </c>
      <c r="D49" s="347" t="str">
        <f t="shared" si="3"/>
        <v>Laborer's Pendant</v>
      </c>
      <c r="E49" s="348" t="s">
        <v>301</v>
      </c>
      <c r="F49" s="332" t="str">
        <f>$M95</f>
        <v/>
      </c>
      <c r="G49" s="333" t="s">
        <v>663</v>
      </c>
      <c r="H49" s="334">
        <f>$Q95</f>
        <v>2.42734E+23</v>
      </c>
      <c r="I49" s="335" t="str">
        <f>$M101</f>
        <v/>
      </c>
      <c r="J49" s="333" t="s">
        <v>663</v>
      </c>
      <c r="K49" s="334">
        <f>$Q101</f>
        <v>2.16667E+23</v>
      </c>
      <c r="L49" s="335" t="str">
        <f>$M107</f>
        <v/>
      </c>
      <c r="M49" s="333" t="s">
        <v>663</v>
      </c>
      <c r="N49" s="334">
        <f>$Q107</f>
        <v>2.16667E+23</v>
      </c>
      <c r="O49" s="327"/>
      <c r="P49" s="3"/>
      <c r="Q49" s="3"/>
      <c r="R49" s="3"/>
      <c r="S49" s="403"/>
      <c r="T49" s="3"/>
      <c r="AS49" s="301"/>
    </row>
    <row r="50">
      <c r="A50" s="336" t="str">
        <f t="shared" si="1"/>
        <v>#3</v>
      </c>
      <c r="B50" s="344">
        <v>750.0</v>
      </c>
      <c r="C50" s="352" t="str">
        <f t="shared" si="2"/>
        <v/>
      </c>
      <c r="D50" s="347" t="str">
        <f t="shared" si="3"/>
        <v>Bringer of Ragnarok</v>
      </c>
      <c r="E50" s="348" t="s">
        <v>301</v>
      </c>
      <c r="F50" s="341"/>
      <c r="G50" s="342" t="s">
        <v>670</v>
      </c>
      <c r="H50" s="343">
        <f>$AC95</f>
        <v>5.41052E+22</v>
      </c>
      <c r="I50" s="341"/>
      <c r="J50" s="342" t="s">
        <v>670</v>
      </c>
      <c r="K50" s="343">
        <f>$AC101</f>
        <v>7.17167E+22</v>
      </c>
      <c r="L50" s="341"/>
      <c r="M50" s="342" t="s">
        <v>670</v>
      </c>
      <c r="N50" s="343">
        <f>$AC107</f>
        <v>7.17167E+22</v>
      </c>
      <c r="O50" s="327"/>
      <c r="P50" s="3"/>
      <c r="Q50" s="3"/>
      <c r="R50" s="3"/>
      <c r="S50" s="3"/>
      <c r="T50" s="3"/>
      <c r="AS50" s="301"/>
    </row>
    <row r="51">
      <c r="A51" s="336" t="str">
        <f t="shared" si="1"/>
        <v>#21</v>
      </c>
      <c r="B51" s="344">
        <v>670.0</v>
      </c>
      <c r="C51" s="352" t="str">
        <f t="shared" si="2"/>
        <v/>
      </c>
      <c r="D51" s="347" t="str">
        <f t="shared" si="3"/>
        <v>Parchment of Foresight</v>
      </c>
      <c r="E51" s="348" t="s">
        <v>301</v>
      </c>
      <c r="F51" s="341"/>
      <c r="G51" s="349" t="s">
        <v>679</v>
      </c>
      <c r="H51" s="350" t="str">
        <f>$S95</f>
        <v>+61,900,000</v>
      </c>
      <c r="I51" s="341"/>
      <c r="J51" s="349" t="s">
        <v>679</v>
      </c>
      <c r="K51" s="350" t="str">
        <f>$S101</f>
        <v>+10,000,000</v>
      </c>
      <c r="L51" s="341"/>
      <c r="M51" s="349" t="s">
        <v>679</v>
      </c>
      <c r="N51" s="350" t="str">
        <f>$S107</f>
        <v>+10,000,000</v>
      </c>
      <c r="O51" s="327"/>
      <c r="P51" s="3"/>
      <c r="Q51" s="3"/>
      <c r="R51" s="3"/>
      <c r="S51" s="3"/>
      <c r="T51" s="3"/>
      <c r="AS51" s="301"/>
    </row>
    <row r="52">
      <c r="A52" s="336" t="str">
        <f t="shared" si="1"/>
        <v>#28</v>
      </c>
      <c r="B52" s="344">
        <v>70.59</v>
      </c>
      <c r="C52" s="352" t="str">
        <f t="shared" si="2"/>
        <v/>
      </c>
      <c r="D52" s="347" t="str">
        <f t="shared" si="3"/>
        <v>Elixir of Eden</v>
      </c>
      <c r="E52" s="353" t="s">
        <v>301</v>
      </c>
      <c r="F52" s="341"/>
      <c r="G52" s="354"/>
      <c r="H52" s="355"/>
      <c r="I52" s="341"/>
      <c r="J52" s="354"/>
      <c r="K52" s="355"/>
      <c r="L52" s="341"/>
      <c r="M52" s="354"/>
      <c r="N52" s="355"/>
      <c r="O52" s="327"/>
      <c r="P52" s="3"/>
      <c r="Q52" s="3"/>
      <c r="R52" s="3"/>
      <c r="S52" s="3"/>
      <c r="T52" s="3"/>
      <c r="AS52" s="301"/>
    </row>
    <row r="53">
      <c r="A53" s="336" t="str">
        <f t="shared" si="1"/>
        <v>#99</v>
      </c>
      <c r="B53" s="426">
        <v>40.0</v>
      </c>
      <c r="C53" s="352" t="str">
        <f t="shared" si="2"/>
        <v/>
      </c>
      <c r="D53" s="347" t="str">
        <f t="shared" si="3"/>
        <v>Hourglass of the Impatient</v>
      </c>
      <c r="E53" s="353" t="s">
        <v>301</v>
      </c>
      <c r="F53" s="341"/>
      <c r="G53" s="354"/>
      <c r="H53" s="356"/>
      <c r="I53" s="341"/>
      <c r="J53" s="354"/>
      <c r="K53" s="356"/>
      <c r="L53" s="341"/>
      <c r="M53" s="354"/>
      <c r="N53" s="356"/>
      <c r="O53" s="327"/>
      <c r="P53" s="3"/>
      <c r="Q53" s="3"/>
      <c r="R53" s="3"/>
      <c r="S53" s="380"/>
      <c r="T53" s="3"/>
      <c r="AS53" s="301"/>
    </row>
    <row r="54">
      <c r="A54" s="336" t="str">
        <f t="shared" si="1"/>
        <v>#99</v>
      </c>
      <c r="B54" s="426">
        <v>30.0</v>
      </c>
      <c r="C54" s="352" t="str">
        <f t="shared" si="2"/>
        <v/>
      </c>
      <c r="D54" s="347" t="str">
        <f t="shared" si="3"/>
        <v>Phantom Timepiece</v>
      </c>
      <c r="E54" s="353" t="s">
        <v>301</v>
      </c>
      <c r="F54" s="357"/>
      <c r="G54" s="360"/>
      <c r="H54" s="361"/>
      <c r="I54" s="357"/>
      <c r="J54" s="360"/>
      <c r="K54" s="361"/>
      <c r="L54" s="357"/>
      <c r="M54" s="360"/>
      <c r="N54" s="361"/>
      <c r="O54" s="327"/>
      <c r="P54" s="3"/>
      <c r="Q54" s="3"/>
      <c r="R54" s="3"/>
      <c r="S54" s="380"/>
      <c r="T54" s="3"/>
      <c r="AS54" s="301"/>
    </row>
    <row r="55">
      <c r="A55" s="336" t="str">
        <f t="shared" si="1"/>
        <v>#99</v>
      </c>
      <c r="B55" s="426">
        <v>30.0</v>
      </c>
      <c r="C55" s="352" t="str">
        <f t="shared" si="2"/>
        <v/>
      </c>
      <c r="D55" s="347" t="str">
        <f t="shared" si="3"/>
        <v>Forbidden Scroll</v>
      </c>
      <c r="E55" s="348" t="s">
        <v>301</v>
      </c>
      <c r="F55" s="362" t="str">
        <f>$N95</f>
        <v>Drunken Hammer</v>
      </c>
      <c r="G55" s="360"/>
      <c r="H55" s="355"/>
      <c r="I55" s="363" t="str">
        <f>$N101</f>
        <v>Helmet of Madness</v>
      </c>
      <c r="J55" s="360"/>
      <c r="K55" s="355"/>
      <c r="L55" s="363" t="str">
        <f>$N107</f>
        <v>Blade of Damocles</v>
      </c>
      <c r="M55" s="360"/>
      <c r="N55" s="355"/>
      <c r="O55" s="327"/>
      <c r="P55" s="3"/>
      <c r="Q55" s="3"/>
      <c r="R55" s="3"/>
      <c r="S55" s="3"/>
      <c r="T55" s="3"/>
      <c r="AS55" s="301"/>
    </row>
    <row r="56">
      <c r="A56" s="336" t="str">
        <f t="shared" si="1"/>
        <v>#99</v>
      </c>
      <c r="B56" s="426">
        <v>30.0</v>
      </c>
      <c r="C56" s="352" t="str">
        <f t="shared" si="2"/>
        <v/>
      </c>
      <c r="D56" s="347" t="str">
        <f t="shared" si="3"/>
        <v>Ring of Fealty</v>
      </c>
      <c r="E56" s="353" t="s">
        <v>301</v>
      </c>
      <c r="F56" s="364" t="str">
        <f>"&gt;&gt;&gt;&gt; Rank " &amp; $L95 &amp; " &lt;&lt;&lt;&lt;"</f>
        <v>&gt;&gt;&gt;&gt; Rank 13 &lt;&lt;&lt;&lt;</v>
      </c>
      <c r="G56" s="365"/>
      <c r="H56" s="367" t="str">
        <f>"Rank " &amp; AI95</f>
        <v>Rank 20</v>
      </c>
      <c r="I56" s="364" t="str">
        <f>"&gt;&gt;&gt;&gt; Rank " &amp; $L101 &amp; " &lt;&lt;&lt;&lt;"</f>
        <v>&gt;&gt;&gt;&gt; Rank 14 &lt;&lt;&lt;&lt;</v>
      </c>
      <c r="J56" s="365"/>
      <c r="K56" s="367" t="str">
        <f>"Rank " &amp; AI101</f>
        <v>Rank 23</v>
      </c>
      <c r="L56" s="364" t="str">
        <f>"&gt;&gt;&gt;&gt; Rank " &amp; $L107 &amp; " &lt;&lt;&lt;&lt;"</f>
        <v>&gt;&gt;&gt;&gt; Rank 15 &lt;&lt;&lt;&lt;</v>
      </c>
      <c r="M56" s="365"/>
      <c r="N56" s="367" t="str">
        <f>"Rank " &amp; AI107</f>
        <v>Rank 23</v>
      </c>
      <c r="O56" s="327"/>
      <c r="P56" s="3"/>
      <c r="Q56" s="3"/>
      <c r="R56" s="3"/>
      <c r="S56" s="3"/>
      <c r="T56" s="3"/>
      <c r="AS56" s="301"/>
    </row>
    <row r="57">
      <c r="A57" s="336" t="str">
        <f t="shared" si="1"/>
        <v>#99</v>
      </c>
      <c r="B57" s="426">
        <v>30.0</v>
      </c>
      <c r="C57" s="352" t="str">
        <f t="shared" si="2"/>
        <v/>
      </c>
      <c r="D57" s="347" t="str">
        <f t="shared" si="3"/>
        <v>Glacial Axe</v>
      </c>
      <c r="E57" s="353" t="s">
        <v>301</v>
      </c>
      <c r="F57" s="370"/>
      <c r="G57" s="349" t="s">
        <v>697</v>
      </c>
      <c r="H57" s="356"/>
      <c r="I57" s="370"/>
      <c r="J57" s="349" t="s">
        <v>697</v>
      </c>
      <c r="K57" s="356"/>
      <c r="L57" s="370"/>
      <c r="M57" s="349" t="s">
        <v>697</v>
      </c>
      <c r="N57" s="356"/>
      <c r="O57" s="327"/>
      <c r="P57" s="3"/>
      <c r="Q57" s="3"/>
      <c r="R57" s="3"/>
      <c r="S57" s="3"/>
      <c r="T57" s="3"/>
      <c r="AS57" s="301"/>
    </row>
    <row r="58">
      <c r="A58" s="336" t="str">
        <f t="shared" si="1"/>
        <v>#99</v>
      </c>
      <c r="B58" s="426">
        <v>30.0</v>
      </c>
      <c r="C58" s="352" t="str">
        <f t="shared" si="2"/>
        <v/>
      </c>
      <c r="D58" s="347" t="str">
        <f t="shared" si="3"/>
        <v>Aegis</v>
      </c>
      <c r="E58" s="353" t="s">
        <v>301</v>
      </c>
      <c r="F58" s="371">
        <f>$O95</f>
        <v>800000000</v>
      </c>
      <c r="G58" s="354"/>
      <c r="H58" s="372">
        <f>AJ95</f>
        <v>861900000</v>
      </c>
      <c r="I58" s="371">
        <f>$O101</f>
        <v>100000000</v>
      </c>
      <c r="J58" s="354"/>
      <c r="K58" s="372">
        <f>AJ101</f>
        <v>110000000</v>
      </c>
      <c r="L58" s="371">
        <f>$O107</f>
        <v>100000000</v>
      </c>
      <c r="M58" s="354"/>
      <c r="N58" s="372">
        <f>AJ107</f>
        <v>110000000</v>
      </c>
      <c r="O58" s="327"/>
      <c r="P58" s="3"/>
      <c r="Q58" s="3"/>
      <c r="R58" s="3"/>
      <c r="S58" s="3"/>
      <c r="T58" s="3"/>
      <c r="AS58" s="301"/>
    </row>
    <row r="59">
      <c r="A59" s="336" t="str">
        <f t="shared" si="1"/>
        <v>#99</v>
      </c>
      <c r="B59" s="426">
        <v>30.0</v>
      </c>
      <c r="C59" s="352" t="str">
        <f t="shared" si="2"/>
        <v/>
      </c>
      <c r="D59" s="347" t="str">
        <f t="shared" si="3"/>
        <v>Swamp Gauntlet</v>
      </c>
      <c r="E59" s="353" t="s">
        <v>301</v>
      </c>
      <c r="F59" s="375">
        <f>$P95</f>
        <v>0</v>
      </c>
      <c r="G59" s="376"/>
      <c r="H59" s="378">
        <f>$AH95</f>
        <v>0</v>
      </c>
      <c r="I59" s="379">
        <f>$P101</f>
        <v>0</v>
      </c>
      <c r="J59" s="376"/>
      <c r="K59" s="378">
        <f>$AH101</f>
        <v>0</v>
      </c>
      <c r="L59" s="379">
        <f>$P107</f>
        <v>0</v>
      </c>
      <c r="M59" s="376"/>
      <c r="N59" s="378">
        <f>$AH107</f>
        <v>0</v>
      </c>
      <c r="O59" s="327"/>
      <c r="P59" s="3"/>
      <c r="Q59" s="3"/>
      <c r="R59" s="3"/>
      <c r="S59" s="3"/>
      <c r="T59" s="3"/>
      <c r="AS59" s="301"/>
    </row>
    <row r="60">
      <c r="A60" s="336" t="str">
        <f t="shared" si="1"/>
        <v>#99</v>
      </c>
      <c r="B60" s="426">
        <v>20.0</v>
      </c>
      <c r="C60" s="352" t="str">
        <f t="shared" si="2"/>
        <v/>
      </c>
      <c r="D60" s="347" t="str">
        <f t="shared" si="3"/>
        <v>Infinity Pendulum</v>
      </c>
      <c r="E60" s="353" t="s">
        <v>301</v>
      </c>
      <c r="F60" s="332" t="str">
        <f>$M96</f>
        <v/>
      </c>
      <c r="G60" s="333" t="s">
        <v>663</v>
      </c>
      <c r="H60" s="334">
        <f>$Q96</f>
        <v>1.99932E+23</v>
      </c>
      <c r="I60" s="335" t="str">
        <f>$M102</f>
        <v/>
      </c>
      <c r="J60" s="333" t="s">
        <v>663</v>
      </c>
      <c r="K60" s="334">
        <f>$Q102</f>
        <v>2.57763E+23</v>
      </c>
      <c r="L60" s="335" t="str">
        <f>$M108</f>
        <v/>
      </c>
      <c r="M60" s="333" t="s">
        <v>663</v>
      </c>
      <c r="N60" s="334">
        <f>$Q108</f>
        <v>3.3122E+23</v>
      </c>
      <c r="O60" s="327"/>
      <c r="P60" s="3"/>
      <c r="Q60" s="3"/>
      <c r="R60" s="3"/>
      <c r="S60" s="3"/>
      <c r="T60" s="3"/>
      <c r="AS60" s="301"/>
    </row>
    <row r="61">
      <c r="A61" s="336" t="str">
        <f t="shared" si="1"/>
        <v>#99</v>
      </c>
      <c r="B61" s="426">
        <v>30.0</v>
      </c>
      <c r="C61" s="352" t="str">
        <f t="shared" si="2"/>
        <v/>
      </c>
      <c r="D61" s="347" t="str">
        <f t="shared" si="3"/>
        <v>Glove of Kuma</v>
      </c>
      <c r="E61" s="348" t="s">
        <v>301</v>
      </c>
      <c r="F61" s="341"/>
      <c r="G61" s="342" t="s">
        <v>670</v>
      </c>
      <c r="H61" s="343">
        <f>$AC96</f>
        <v>5.11884E+22</v>
      </c>
      <c r="I61" s="341"/>
      <c r="J61" s="342" t="s">
        <v>670</v>
      </c>
      <c r="K61" s="343">
        <f>$AC102</f>
        <v>5.74622E+22</v>
      </c>
      <c r="L61" s="341"/>
      <c r="M61" s="342" t="s">
        <v>670</v>
      </c>
      <c r="N61" s="343">
        <f>$AC108</f>
        <v>1.36526E+23</v>
      </c>
      <c r="O61" s="429"/>
      <c r="P61" s="3"/>
      <c r="Q61" s="3"/>
      <c r="R61" s="3"/>
      <c r="S61" s="3"/>
      <c r="T61" s="3"/>
      <c r="AS61" s="301"/>
    </row>
    <row r="62">
      <c r="A62" s="336" t="str">
        <f t="shared" si="1"/>
        <v>#99</v>
      </c>
      <c r="B62" s="426">
        <v>40.0</v>
      </c>
      <c r="C62" s="352" t="str">
        <f t="shared" si="2"/>
        <v/>
      </c>
      <c r="D62" s="347" t="str">
        <f t="shared" si="3"/>
        <v>Titan Spear</v>
      </c>
      <c r="E62" s="353" t="s">
        <v>301</v>
      </c>
      <c r="F62" s="341"/>
      <c r="G62" s="349" t="s">
        <v>679</v>
      </c>
      <c r="H62" s="430" t="str">
        <f>$S97</f>
        <v>+46,400,000</v>
      </c>
      <c r="I62" s="341"/>
      <c r="J62" s="349" t="s">
        <v>679</v>
      </c>
      <c r="K62" s="350" t="str">
        <f>$S102</f>
        <v>+63,300,000</v>
      </c>
      <c r="L62" s="341"/>
      <c r="M62" s="349" t="s">
        <v>679</v>
      </c>
      <c r="N62" s="350" t="str">
        <f>$S108</f>
        <v>+4,100,000</v>
      </c>
      <c r="O62" s="429"/>
      <c r="P62" s="3"/>
      <c r="Q62" s="3"/>
      <c r="R62" s="3"/>
      <c r="S62" s="3"/>
      <c r="T62" s="3"/>
      <c r="AS62" s="301"/>
    </row>
    <row r="63">
      <c r="A63" s="336" t="str">
        <f t="shared" si="1"/>
        <v>#99</v>
      </c>
      <c r="B63" s="426">
        <v>30.0</v>
      </c>
      <c r="C63" s="352" t="str">
        <f t="shared" si="2"/>
        <v/>
      </c>
      <c r="D63" s="347" t="str">
        <f t="shared" si="3"/>
        <v>Oak Staff</v>
      </c>
      <c r="E63" s="353" t="s">
        <v>301</v>
      </c>
      <c r="F63" s="341"/>
      <c r="G63" s="354"/>
      <c r="H63" s="355"/>
      <c r="I63" s="341"/>
      <c r="J63" s="354"/>
      <c r="K63" s="355"/>
      <c r="L63" s="341"/>
      <c r="M63" s="354"/>
      <c r="N63" s="355"/>
      <c r="O63" s="429"/>
      <c r="P63" s="3"/>
      <c r="Q63" s="3"/>
      <c r="R63" s="3"/>
      <c r="S63" s="3"/>
      <c r="T63" s="3"/>
      <c r="AS63" s="301"/>
    </row>
    <row r="64">
      <c r="A64" s="336" t="str">
        <f t="shared" si="1"/>
        <v>#99</v>
      </c>
      <c r="B64" s="426">
        <v>40.0</v>
      </c>
      <c r="C64" s="352" t="str">
        <f t="shared" si="2"/>
        <v/>
      </c>
      <c r="D64" s="347" t="str">
        <f t="shared" si="3"/>
        <v>The Arcana Cloak</v>
      </c>
      <c r="E64" s="353" t="s">
        <v>301</v>
      </c>
      <c r="F64" s="341"/>
      <c r="G64" s="354"/>
      <c r="H64" s="356"/>
      <c r="I64" s="341"/>
      <c r="J64" s="354"/>
      <c r="K64" s="356"/>
      <c r="L64" s="341"/>
      <c r="M64" s="354"/>
      <c r="N64" s="356"/>
      <c r="O64" s="429"/>
      <c r="P64" s="3"/>
      <c r="Q64" s="3"/>
      <c r="R64" s="3"/>
      <c r="S64" s="3"/>
      <c r="T64" s="3"/>
      <c r="AS64" s="301"/>
    </row>
    <row r="65">
      <c r="A65" s="336" t="str">
        <f t="shared" si="1"/>
        <v>#99</v>
      </c>
      <c r="B65" s="426">
        <v>40.0</v>
      </c>
      <c r="C65" s="352" t="str">
        <f t="shared" si="2"/>
        <v/>
      </c>
      <c r="D65" s="347" t="str">
        <f t="shared" si="3"/>
        <v>Hunter's Ointment</v>
      </c>
      <c r="E65" s="353" t="s">
        <v>301</v>
      </c>
      <c r="F65" s="357"/>
      <c r="G65" s="360"/>
      <c r="H65" s="361"/>
      <c r="I65" s="357"/>
      <c r="J65" s="360"/>
      <c r="K65" s="361"/>
      <c r="L65" s="357"/>
      <c r="M65" s="360"/>
      <c r="N65" s="361"/>
      <c r="O65" s="429"/>
      <c r="P65" s="3"/>
      <c r="Q65" s="3"/>
      <c r="R65" s="3"/>
      <c r="S65" s="3"/>
      <c r="T65" s="3"/>
      <c r="AS65" s="301"/>
    </row>
    <row r="66">
      <c r="A66" s="336" t="str">
        <f t="shared" si="1"/>
        <v>#99</v>
      </c>
      <c r="B66" s="426">
        <v>40.0</v>
      </c>
      <c r="C66" s="352" t="str">
        <f t="shared" si="2"/>
        <v/>
      </c>
      <c r="D66" s="347" t="str">
        <f t="shared" si="3"/>
        <v>Ambrosia Elixir</v>
      </c>
      <c r="E66" s="353" t="s">
        <v>301</v>
      </c>
      <c r="F66" s="362" t="str">
        <f>$N96</f>
        <v>Great Fay Medallion</v>
      </c>
      <c r="G66" s="360"/>
      <c r="H66" s="355"/>
      <c r="I66" s="363" t="str">
        <f>$N102</f>
        <v>The Retaliator</v>
      </c>
      <c r="J66" s="360"/>
      <c r="K66" s="355"/>
      <c r="L66" s="363" t="str">
        <f>$N108</f>
        <v>Apollo Orb</v>
      </c>
      <c r="M66" s="360"/>
      <c r="N66" s="355"/>
      <c r="O66" s="429"/>
      <c r="P66" s="3"/>
      <c r="Q66" s="3"/>
      <c r="R66" s="3"/>
      <c r="S66" s="403"/>
      <c r="T66" s="403"/>
      <c r="U66" s="8"/>
      <c r="V66" s="8"/>
      <c r="W66" s="8"/>
      <c r="X66" s="8"/>
      <c r="AB66" s="5"/>
      <c r="AC66" s="5"/>
      <c r="AD66" s="432"/>
      <c r="AG66" s="8"/>
      <c r="AS66" s="301"/>
    </row>
    <row r="67">
      <c r="A67" s="336" t="str">
        <f t="shared" si="1"/>
        <v>#99</v>
      </c>
      <c r="B67" s="426">
        <v>40.0</v>
      </c>
      <c r="C67" s="352" t="str">
        <f t="shared" si="2"/>
        <v/>
      </c>
      <c r="D67" s="347" t="str">
        <f t="shared" si="3"/>
        <v>Mystic Staff</v>
      </c>
      <c r="E67" s="353" t="s">
        <v>301</v>
      </c>
      <c r="F67" s="433" t="str">
        <f>"&gt;&gt;&gt;&gt; Rank " &amp; $L96 &amp; " &lt;&lt;&lt;&lt;"</f>
        <v>&gt;&gt;&gt;&gt; Rank 16 &lt;&lt;&lt;&lt;</v>
      </c>
      <c r="G67" s="365"/>
      <c r="H67" s="367" t="str">
        <f>"Rank " &amp; AI96</f>
        <v>Rank 21</v>
      </c>
      <c r="I67" s="364" t="str">
        <f>"&gt;&gt;&gt;&gt; Rank " &amp; $L102 &amp; " &lt;&lt;&lt;&lt;"</f>
        <v>&gt;&gt;&gt;&gt; Rank 17 &lt;&lt;&lt;&lt;</v>
      </c>
      <c r="J67" s="365"/>
      <c r="K67" s="367" t="str">
        <f>"Rank " &amp; AI102</f>
        <v>Rank 22</v>
      </c>
      <c r="L67" s="364" t="str">
        <f>"&gt;&gt;&gt;&gt; Rank " &amp; $L108 &amp; " &lt;&lt;&lt;&lt;"</f>
        <v>&gt;&gt;&gt;&gt; Rank 18 &lt;&lt;&lt;&lt;</v>
      </c>
      <c r="M67" s="365"/>
      <c r="N67" s="367" t="str">
        <f>"Rank " &amp; AI108</f>
        <v>Rank 25</v>
      </c>
      <c r="O67" s="429"/>
      <c r="P67" s="3"/>
      <c r="Q67" s="3"/>
      <c r="R67" s="3"/>
      <c r="S67" s="434"/>
      <c r="T67" s="434"/>
      <c r="U67" s="93"/>
      <c r="V67" s="93"/>
      <c r="W67" s="93"/>
      <c r="X67" s="93"/>
      <c r="AB67" s="5"/>
      <c r="AC67" s="5"/>
      <c r="AD67" s="432"/>
      <c r="AG67" s="8"/>
      <c r="AS67" s="301"/>
    </row>
    <row r="68">
      <c r="A68" s="336" t="str">
        <f t="shared" si="1"/>
        <v>#99</v>
      </c>
      <c r="B68" s="426">
        <v>40.0</v>
      </c>
      <c r="C68" s="352" t="str">
        <f t="shared" si="2"/>
        <v/>
      </c>
      <c r="D68" s="347" t="str">
        <f t="shared" si="3"/>
        <v>Mystical Beans of Senzu</v>
      </c>
      <c r="E68" s="348" t="s">
        <v>301</v>
      </c>
      <c r="F68" s="370"/>
      <c r="G68" s="349" t="s">
        <v>697</v>
      </c>
      <c r="H68" s="356"/>
      <c r="I68" s="370"/>
      <c r="J68" s="349" t="s">
        <v>697</v>
      </c>
      <c r="K68" s="356"/>
      <c r="L68" s="370"/>
      <c r="M68" s="349" t="s">
        <v>697</v>
      </c>
      <c r="N68" s="356"/>
      <c r="O68" s="429"/>
      <c r="P68" s="3"/>
      <c r="Q68" s="3"/>
      <c r="R68" s="3"/>
      <c r="S68" s="434"/>
      <c r="T68" s="434"/>
      <c r="U68" s="93"/>
      <c r="V68" s="93"/>
      <c r="W68" s="93"/>
      <c r="X68" s="93"/>
      <c r="AB68" s="5"/>
      <c r="AC68" s="5"/>
      <c r="AD68" s="435"/>
      <c r="AG68" s="8"/>
      <c r="AS68" s="301"/>
    </row>
    <row r="69">
      <c r="A69" s="336" t="str">
        <f t="shared" si="1"/>
        <v>#99</v>
      </c>
      <c r="B69" s="344">
        <v>40.0</v>
      </c>
      <c r="C69" s="352" t="str">
        <f t="shared" si="2"/>
        <v/>
      </c>
      <c r="D69" s="347" t="str">
        <f t="shared" si="3"/>
        <v>Egg of Fortune</v>
      </c>
      <c r="E69" s="348" t="s">
        <v>301</v>
      </c>
      <c r="F69" s="371">
        <f>$O96</f>
        <v>303000000</v>
      </c>
      <c r="G69" s="354"/>
      <c r="H69" s="372">
        <f>$AJ96</f>
        <v>328700000</v>
      </c>
      <c r="I69" s="371">
        <f>$O102</f>
        <v>818000000</v>
      </c>
      <c r="J69" s="354"/>
      <c r="K69" s="372">
        <f>AJ102</f>
        <v>881300000</v>
      </c>
      <c r="L69" s="371">
        <f>$O108</f>
        <v>36000000</v>
      </c>
      <c r="M69" s="354"/>
      <c r="N69" s="372">
        <f>AJ108</f>
        <v>40100000</v>
      </c>
      <c r="O69" s="429"/>
      <c r="P69" s="3"/>
      <c r="Q69" s="3"/>
      <c r="R69" s="3"/>
      <c r="S69" s="436"/>
      <c r="T69" s="436"/>
      <c r="U69" s="70"/>
      <c r="V69" s="70"/>
      <c r="W69" s="70"/>
      <c r="X69" s="70"/>
      <c r="AB69" s="5"/>
      <c r="AC69" s="5"/>
      <c r="AD69" s="435"/>
      <c r="AG69" s="8"/>
      <c r="AS69" s="301"/>
    </row>
    <row r="70">
      <c r="A70" s="336" t="str">
        <f t="shared" si="1"/>
        <v>#99</v>
      </c>
      <c r="B70" s="426">
        <v>50.0</v>
      </c>
      <c r="C70" s="352" t="str">
        <f t="shared" si="2"/>
        <v/>
      </c>
      <c r="D70" s="347" t="str">
        <f t="shared" si="3"/>
        <v>Divine Chalice</v>
      </c>
      <c r="E70" s="353" t="s">
        <v>301</v>
      </c>
      <c r="F70" s="375">
        <f>$P96</f>
        <v>0</v>
      </c>
      <c r="G70" s="437"/>
      <c r="H70" s="378" t="str">
        <f>$T96</f>
        <v/>
      </c>
      <c r="I70" s="379">
        <f>$P102</f>
        <v>0</v>
      </c>
      <c r="J70" s="376"/>
      <c r="K70" s="378">
        <f>$AH102</f>
        <v>0</v>
      </c>
      <c r="L70" s="379">
        <f>$P108</f>
        <v>0</v>
      </c>
      <c r="M70" s="376"/>
      <c r="N70" s="378">
        <f>$AH108</f>
        <v>0</v>
      </c>
      <c r="O70" s="429"/>
      <c r="P70" s="3"/>
      <c r="Q70" s="3"/>
      <c r="R70" s="3"/>
      <c r="S70" s="434"/>
      <c r="T70" s="434"/>
      <c r="U70" s="93"/>
      <c r="V70" s="93"/>
      <c r="W70" s="93"/>
      <c r="X70" s="93"/>
      <c r="AB70" s="5"/>
      <c r="AC70" s="5"/>
      <c r="AD70" s="435"/>
      <c r="AG70" s="8"/>
      <c r="AS70" s="301"/>
    </row>
    <row r="71">
      <c r="A71" s="336" t="str">
        <f t="shared" si="1"/>
        <v>#99</v>
      </c>
      <c r="B71" s="426">
        <v>50.0</v>
      </c>
      <c r="C71" s="352" t="str">
        <f t="shared" si="2"/>
        <v/>
      </c>
      <c r="D71" s="347" t="str">
        <f t="shared" si="3"/>
        <v>Invader's Shield</v>
      </c>
      <c r="E71" s="353" t="s">
        <v>301</v>
      </c>
      <c r="F71" s="3"/>
      <c r="G71" s="3"/>
      <c r="H71" s="3"/>
      <c r="I71" s="3"/>
      <c r="J71" s="3"/>
      <c r="K71" s="3"/>
      <c r="L71" s="3"/>
      <c r="M71" s="3"/>
      <c r="N71" s="3"/>
      <c r="O71" s="327"/>
      <c r="P71" s="3"/>
      <c r="Q71" s="3"/>
      <c r="R71" s="3"/>
      <c r="S71" s="3"/>
      <c r="T71" s="3"/>
      <c r="AB71" s="5"/>
      <c r="AC71" s="5"/>
      <c r="AD71" s="5"/>
      <c r="AS71" s="301"/>
    </row>
    <row r="72">
      <c r="A72" s="336" t="str">
        <f t="shared" si="1"/>
        <v>#99</v>
      </c>
      <c r="B72" s="344">
        <v>40.0</v>
      </c>
      <c r="C72" s="352" t="str">
        <f t="shared" si="2"/>
        <v/>
      </c>
      <c r="D72" s="347" t="str">
        <f t="shared" si="3"/>
        <v>Axe of Muerte</v>
      </c>
      <c r="E72" s="353" t="s">
        <v>301</v>
      </c>
      <c r="F72" s="3"/>
      <c r="G72" s="3"/>
      <c r="H72" s="3"/>
      <c r="I72" s="3"/>
      <c r="J72" s="3"/>
      <c r="K72" s="3"/>
      <c r="L72" s="3"/>
      <c r="M72" s="3"/>
      <c r="N72" s="3"/>
      <c r="O72" s="327"/>
      <c r="P72" s="3"/>
      <c r="Q72" s="3"/>
      <c r="R72" s="3"/>
      <c r="S72" s="3"/>
      <c r="T72" s="3"/>
      <c r="AB72" s="5"/>
      <c r="AC72" s="5"/>
      <c r="AD72" s="5"/>
      <c r="AS72" s="301"/>
    </row>
    <row r="73">
      <c r="A73" s="336" t="str">
        <f t="shared" si="1"/>
        <v>#99</v>
      </c>
      <c r="B73" s="344">
        <v>40.0</v>
      </c>
      <c r="C73" s="352" t="str">
        <f t="shared" si="2"/>
        <v/>
      </c>
      <c r="D73" s="347" t="str">
        <f t="shared" si="3"/>
        <v>Essence of the Kitsune</v>
      </c>
      <c r="E73" s="353" t="s">
        <v>301</v>
      </c>
      <c r="F73" s="61" t="s">
        <v>742</v>
      </c>
      <c r="G73" s="3"/>
      <c r="H73" s="3"/>
      <c r="I73" s="3"/>
      <c r="J73" s="3"/>
      <c r="K73" s="3"/>
      <c r="L73" s="3"/>
      <c r="M73" s="3"/>
      <c r="N73" s="3"/>
      <c r="O73" s="327"/>
      <c r="P73" s="3"/>
      <c r="Q73" s="3"/>
      <c r="R73" s="3"/>
      <c r="S73" s="3"/>
      <c r="T73" s="3"/>
      <c r="AB73" s="5"/>
      <c r="AC73" s="5"/>
      <c r="AD73" s="294"/>
      <c r="AS73" s="301"/>
    </row>
    <row r="74">
      <c r="A74" s="336" t="str">
        <f t="shared" si="1"/>
        <v>#99</v>
      </c>
      <c r="B74" s="344">
        <v>40.0</v>
      </c>
      <c r="C74" s="352" t="str">
        <f t="shared" si="2"/>
        <v/>
      </c>
      <c r="D74" s="347" t="str">
        <f t="shared" si="3"/>
        <v>Boots of Hermes</v>
      </c>
      <c r="E74" s="348" t="s">
        <v>301</v>
      </c>
      <c r="F74" s="3"/>
      <c r="G74" s="3"/>
      <c r="H74" s="3"/>
      <c r="I74" s="3"/>
      <c r="J74" s="3"/>
      <c r="K74" s="3"/>
      <c r="L74" s="3"/>
      <c r="M74" s="3"/>
      <c r="N74" s="3"/>
      <c r="O74" s="327"/>
      <c r="P74" s="3"/>
      <c r="Q74" s="3"/>
      <c r="R74" s="3"/>
      <c r="S74" s="3"/>
      <c r="T74" s="3"/>
      <c r="AB74" s="5"/>
      <c r="AC74" s="438"/>
      <c r="AD74" s="5"/>
      <c r="AQ74" s="301"/>
    </row>
    <row r="75">
      <c r="A75" s="336" t="str">
        <f t="shared" si="1"/>
        <v>#26</v>
      </c>
      <c r="B75" s="344">
        <v>0.0</v>
      </c>
      <c r="C75" s="352" t="str">
        <f t="shared" si="2"/>
        <v/>
      </c>
      <c r="D75" s="347" t="str">
        <f t="shared" si="3"/>
        <v>Unbound Gauntlet</v>
      </c>
      <c r="E75" s="348" t="s">
        <v>301</v>
      </c>
      <c r="F75" s="3"/>
      <c r="G75" s="3"/>
      <c r="H75" s="3"/>
      <c r="I75" s="3"/>
      <c r="J75" s="3"/>
      <c r="K75" s="3"/>
      <c r="L75" s="3"/>
      <c r="M75" s="3"/>
      <c r="N75" s="3"/>
      <c r="O75" s="327"/>
      <c r="P75" s="3"/>
      <c r="Q75" s="5"/>
      <c r="R75" s="439"/>
      <c r="AE75" s="301"/>
    </row>
    <row r="76">
      <c r="A76" s="3"/>
      <c r="B76" s="344">
        <v>40.0</v>
      </c>
      <c r="C76" s="352" t="str">
        <f t="shared" si="2"/>
        <v/>
      </c>
      <c r="D76" s="347" t="str">
        <f t="shared" si="3"/>
        <v>Oberon Pendant</v>
      </c>
      <c r="E76" s="440" t="s">
        <v>301</v>
      </c>
      <c r="F76" s="3"/>
      <c r="G76" s="3"/>
      <c r="H76" s="3"/>
      <c r="I76" s="3"/>
      <c r="J76" s="3"/>
      <c r="K76" s="3"/>
      <c r="L76" s="3"/>
      <c r="M76" s="3"/>
      <c r="N76" s="3"/>
      <c r="O76" s="327"/>
      <c r="P76" s="3"/>
      <c r="Q76" s="5"/>
      <c r="R76" s="432"/>
      <c r="U76" s="8"/>
      <c r="AE76" s="301"/>
    </row>
    <row r="77">
      <c r="A77" s="3"/>
      <c r="B77" s="344">
        <v>40.0</v>
      </c>
      <c r="C77" s="352" t="str">
        <f t="shared" si="2"/>
        <v/>
      </c>
      <c r="D77" s="347" t="str">
        <f t="shared" si="3"/>
        <v>Lucky Foot of Al-mi'raj</v>
      </c>
      <c r="E77" s="440" t="s">
        <v>301</v>
      </c>
      <c r="F77" s="3"/>
      <c r="G77" s="3"/>
      <c r="H77" s="3"/>
      <c r="I77" s="3"/>
      <c r="J77" s="3"/>
      <c r="K77" s="3"/>
      <c r="L77" s="3"/>
      <c r="M77" s="3"/>
      <c r="N77" s="3"/>
      <c r="O77" s="327"/>
      <c r="P77" s="3"/>
      <c r="Q77" s="5"/>
      <c r="R77" s="432"/>
      <c r="U77" s="8"/>
      <c r="AE77" s="301"/>
    </row>
    <row r="78">
      <c r="A78" s="3"/>
      <c r="B78" s="426">
        <v>40.0</v>
      </c>
      <c r="C78" s="352" t="str">
        <f t="shared" si="2"/>
        <v/>
      </c>
      <c r="D78" s="347" t="str">
        <f t="shared" si="3"/>
        <v>Lost King's Mask</v>
      </c>
      <c r="E78" s="440" t="s">
        <v>301</v>
      </c>
      <c r="F78" s="3"/>
      <c r="G78" s="3"/>
      <c r="H78" s="3"/>
      <c r="I78" s="3"/>
      <c r="J78" s="3"/>
      <c r="K78" s="3"/>
      <c r="L78" s="3"/>
      <c r="M78" s="3"/>
      <c r="N78" s="3"/>
      <c r="O78" s="327"/>
      <c r="P78" s="3"/>
      <c r="Q78" s="5"/>
      <c r="R78" s="432"/>
      <c r="U78" s="8"/>
      <c r="AE78" s="301"/>
    </row>
    <row r="79">
      <c r="A79" s="3"/>
      <c r="B79" s="344">
        <v>50.0</v>
      </c>
      <c r="C79" s="352" t="str">
        <f t="shared" si="2"/>
        <v/>
      </c>
      <c r="D79" s="347" t="str">
        <f t="shared" si="3"/>
        <v>Staff of Radiance</v>
      </c>
      <c r="E79" s="440" t="s">
        <v>301</v>
      </c>
      <c r="F79" s="3"/>
      <c r="G79" s="3"/>
      <c r="H79" s="3"/>
      <c r="I79" s="3"/>
      <c r="J79" s="3"/>
      <c r="K79" s="3"/>
      <c r="L79" s="3"/>
      <c r="M79" s="3"/>
      <c r="N79" s="3"/>
      <c r="O79" s="327"/>
      <c r="P79" s="3"/>
      <c r="Q79" s="5"/>
      <c r="R79" s="432"/>
      <c r="U79" s="8"/>
      <c r="AE79" s="301"/>
    </row>
    <row r="80">
      <c r="A80" s="3"/>
      <c r="B80" s="426">
        <v>40.0</v>
      </c>
      <c r="C80" s="352" t="str">
        <f t="shared" si="2"/>
        <v/>
      </c>
      <c r="D80" s="347" t="str">
        <f t="shared" si="3"/>
        <v>Morgelai Sword</v>
      </c>
      <c r="E80" s="440" t="s">
        <v>301</v>
      </c>
      <c r="F80" s="3"/>
      <c r="G80" s="3"/>
      <c r="H80" s="3"/>
      <c r="I80" s="3"/>
      <c r="J80" s="3"/>
      <c r="K80" s="3"/>
      <c r="L80" s="3"/>
      <c r="M80" s="3"/>
      <c r="N80" s="3"/>
      <c r="O80" s="327"/>
      <c r="P80" s="3"/>
      <c r="Q80" s="5"/>
      <c r="R80" s="432"/>
      <c r="U80" s="8"/>
      <c r="AE80" s="301"/>
    </row>
    <row r="81">
      <c r="A81" s="3"/>
      <c r="B81" s="426">
        <v>40.0</v>
      </c>
      <c r="C81" s="352" t="str">
        <f t="shared" si="2"/>
        <v/>
      </c>
      <c r="D81" s="347" t="str">
        <f t="shared" si="3"/>
        <v>The Master's Sword</v>
      </c>
      <c r="E81" s="440" t="s">
        <v>301</v>
      </c>
      <c r="F81" s="3"/>
      <c r="G81" s="3"/>
      <c r="H81" s="3"/>
      <c r="I81" s="3"/>
      <c r="J81" s="3"/>
      <c r="K81" s="3"/>
      <c r="L81" s="3"/>
      <c r="M81" s="3"/>
      <c r="N81" s="3"/>
      <c r="O81" s="327"/>
      <c r="P81" s="3"/>
      <c r="Q81" s="5"/>
      <c r="R81" s="432"/>
      <c r="U81" s="8"/>
      <c r="AE81" s="301"/>
    </row>
    <row r="82">
      <c r="A82" s="3"/>
      <c r="B82" s="441">
        <v>60.0</v>
      </c>
      <c r="C82" s="352" t="str">
        <f t="shared" si="2"/>
        <v/>
      </c>
      <c r="D82" s="347" t="str">
        <f t="shared" si="3"/>
        <v>Aram Spear</v>
      </c>
      <c r="E82" s="440" t="s">
        <v>301</v>
      </c>
      <c r="F82" s="3"/>
      <c r="G82" s="3"/>
      <c r="H82" s="3"/>
      <c r="I82" s="3"/>
      <c r="J82" s="3"/>
      <c r="K82" s="3"/>
      <c r="L82" s="3"/>
      <c r="M82" s="3"/>
      <c r="N82" s="3"/>
      <c r="O82" s="327"/>
      <c r="P82" s="3"/>
      <c r="Q82" s="5"/>
      <c r="R82" s="432"/>
      <c r="U82" s="8"/>
      <c r="AE82" s="301"/>
    </row>
    <row r="83">
      <c r="A83" s="3"/>
      <c r="B83" s="441">
        <v>60.0</v>
      </c>
      <c r="C83" s="442" t="str">
        <f t="shared" si="2"/>
        <v/>
      </c>
      <c r="D83" s="347" t="str">
        <f t="shared" si="3"/>
        <v>Ward of the Darkness</v>
      </c>
      <c r="E83" s="440" t="s">
        <v>301</v>
      </c>
      <c r="F83" s="3"/>
      <c r="G83" s="3"/>
      <c r="H83" s="3"/>
      <c r="I83" s="3"/>
      <c r="J83" s="3"/>
      <c r="K83" s="3"/>
      <c r="L83" s="3"/>
      <c r="M83" s="3"/>
      <c r="N83" s="3"/>
      <c r="O83" s="327"/>
      <c r="P83" s="3"/>
      <c r="Q83" s="5"/>
      <c r="R83" s="432"/>
      <c r="U83" s="8"/>
      <c r="AE83" s="301"/>
    </row>
    <row r="84">
      <c r="A84" s="443"/>
      <c r="B84" s="443"/>
      <c r="C84" s="443"/>
      <c r="D84" s="443"/>
      <c r="E84" s="443"/>
      <c r="F84" s="443"/>
      <c r="G84" s="443"/>
      <c r="H84" s="443"/>
      <c r="I84" s="443"/>
      <c r="J84" s="443"/>
      <c r="K84" s="443"/>
      <c r="L84" s="443"/>
      <c r="M84" s="443"/>
      <c r="N84" s="443"/>
      <c r="O84" s="444"/>
      <c r="P84" s="3"/>
      <c r="Q84" s="5"/>
      <c r="R84" s="432"/>
      <c r="U84" s="8"/>
      <c r="AE84" s="301"/>
    </row>
    <row r="85">
      <c r="C85" s="445"/>
      <c r="E85" s="446"/>
      <c r="F85" s="445"/>
      <c r="I85" s="445"/>
      <c r="AC85" s="301"/>
    </row>
    <row r="86">
      <c r="A86" s="447"/>
      <c r="B86" s="447" t="s">
        <v>743</v>
      </c>
      <c r="D86" s="448" t="s">
        <v>744</v>
      </c>
      <c r="E86" s="449"/>
      <c r="F86" s="447" t="s">
        <v>745</v>
      </c>
    </row>
    <row r="87">
      <c r="A87" s="447"/>
      <c r="E87" s="449"/>
      <c r="S87" s="450"/>
      <c r="Y87" s="301"/>
    </row>
    <row r="88">
      <c r="A88" s="447"/>
      <c r="E88" s="449"/>
      <c r="J88" s="301"/>
      <c r="L88" s="451"/>
      <c r="S88" s="452" t="str">
        <f>H7</f>
        <v>+8,000,000</v>
      </c>
      <c r="T88" s="301"/>
      <c r="Y88" s="301"/>
    </row>
    <row r="89">
      <c r="A89" s="447"/>
      <c r="C89" s="5" t="str">
        <f>"Effect at Level +" &amp; C90</f>
        <v>Effect at Level +0</v>
      </c>
      <c r="E89" s="453" t="str">
        <f>"Cost at Level +" &amp; E90</f>
        <v>Cost at Level +0</v>
      </c>
      <c r="G89" s="5"/>
      <c r="H89" s="5"/>
      <c r="I89" s="5" t="s">
        <v>746</v>
      </c>
      <c r="J89" t="s">
        <v>747</v>
      </c>
      <c r="L89" s="454" t="s">
        <v>748</v>
      </c>
      <c r="Q89" t="s">
        <v>264</v>
      </c>
      <c r="T89" s="455"/>
      <c r="U89" s="455"/>
      <c r="V89" s="455"/>
      <c r="Y89" s="301"/>
    </row>
    <row r="90">
      <c r="A90" s="5"/>
      <c r="B90" s="5"/>
      <c r="C90" s="456">
        <v>0.0</v>
      </c>
      <c r="D90" s="457">
        <v>0.0</v>
      </c>
      <c r="E90" s="458">
        <v>0.0</v>
      </c>
      <c r="F90" s="5"/>
      <c r="G90" s="438" t="s">
        <v>749</v>
      </c>
      <c r="H90" s="5" t="s">
        <v>750</v>
      </c>
      <c r="I90" s="5"/>
      <c r="J90" s="459">
        <v>0.0</v>
      </c>
      <c r="L90" s="460" t="s">
        <v>751</v>
      </c>
      <c r="M90" t="s">
        <v>752</v>
      </c>
      <c r="N90" t="s">
        <v>753</v>
      </c>
      <c r="O90" t="s">
        <v>754</v>
      </c>
      <c r="P90" t="s">
        <v>755</v>
      </c>
      <c r="Q90" s="461">
        <v>0.0</v>
      </c>
      <c r="R90" t="s">
        <v>743</v>
      </c>
      <c r="T90" s="462" t="s">
        <v>756</v>
      </c>
      <c r="U90" s="463" t="s">
        <v>757</v>
      </c>
      <c r="V90" s="464" t="s">
        <v>758</v>
      </c>
      <c r="W90" s="465">
        <f>K3</f>
        <v>100000</v>
      </c>
      <c r="Y90" s="301"/>
      <c r="Z90" s="301" t="s">
        <v>759</v>
      </c>
      <c r="AA90" s="301" t="s">
        <v>760</v>
      </c>
      <c r="AB90" s="412" t="s">
        <v>761</v>
      </c>
      <c r="AC90" s="1" t="s">
        <v>762</v>
      </c>
      <c r="AD90" s="1" t="s">
        <v>763</v>
      </c>
      <c r="AE90" s="1" t="s">
        <v>764</v>
      </c>
      <c r="AF90" s="1" t="s">
        <v>750</v>
      </c>
      <c r="AI90" t="s">
        <v>765</v>
      </c>
      <c r="AJ90" t="s">
        <v>766</v>
      </c>
      <c r="AK90" s="1" t="s">
        <v>767</v>
      </c>
    </row>
    <row r="91">
      <c r="A91" s="5"/>
      <c r="B91" s="6">
        <f>1 +'2.9 Artifact Optimizer'!D174 *F258 ^ ((1 + ('2.9 Artifact Optimizer'!J174 - 1) * min(('2.9 Artifact Optimizer'!F174 * B6),'2.9 Artifact Optimizer'!E174)) ^ '2.9 Artifact Optimizer'!G174)</f>
        <v>1729236.541</v>
      </c>
      <c r="C91" s="6">
        <f>(1 + '2.9 Artifact Optimizer'!D174 * ($F258+$C$90) ^ ((1 + ('2.9 Artifact Optimizer'!J174 - 1) * min(('2.9 Artifact Optimizer'!F174 * ($F258+$C$90)), '2.9 Artifact Optimizer'!E174)) ^ '2.9 Artifact Optimizer'!G174))</f>
        <v>7379408.183</v>
      </c>
      <c r="D91" s="439">
        <f>'2.9 Artifact Optimizer'!I174*F258^'2.9 Artifact Optimizer'!J174</f>
        <v>4.42233E+18</v>
      </c>
      <c r="E91" s="466">
        <f>'2.9 Artifact Optimizer'!I174*($F258+$E$90)^'2.9 Artifact Optimizer'!J174</f>
        <v>4.42233E+18</v>
      </c>
      <c r="F91" s="467">
        <f>('2.9 Artifact Optimizer'!H174*$F258*$B$100+$K$172)/($K$172)</f>
        <v>1.002728769</v>
      </c>
      <c r="G91" t="b">
        <f t="shared" ref="G91:G168" si="4">P174</f>
        <v>1</v>
      </c>
      <c r="H91" s="128">
        <f>'2.9 Artifact Optimizer'!H174*$F258</f>
        <v>9939000</v>
      </c>
      <c r="I91" s="294">
        <f t="shared" ref="I91:I168" si="5">($I174 / (1+$J174)) * (F258) ^(1+$J174)</f>
        <v>4.18606E+25</v>
      </c>
      <c r="J91" s="468"/>
      <c r="K91" s="5"/>
      <c r="L91">
        <f t="array" ref="L91:L129">IF($N$3="Vertical",SORT($E$258:$E$300),$U$98:$U$136)</f>
        <v>1</v>
      </c>
      <c r="M91" t="str">
        <f t="shared" ref="M91:M130" si="6">INDEX($A$258:$A$335,MATCH(L91, $E$258:$E$330, 0))</f>
        <v/>
      </c>
      <c r="N91" t="str">
        <f t="shared" ref="N91:N130" si="7">INDEX($D$258:$D$330,MATCH(L91, $E$258:$E$330, 0))</f>
        <v>Divine Retribution</v>
      </c>
      <c r="O91" s="381">
        <f t="shared" ref="O91:O129" si="8">INDEX($F$258:$F$322,MATCH(L91, $E$258:$E$322, 0))</f>
        <v>80000000</v>
      </c>
      <c r="P91" s="8">
        <f t="shared" ref="P91:P129" si="9">INDEX($H$258:$H$322,MATCH(L91, $E$258:$E$322, 0))</f>
        <v>0</v>
      </c>
      <c r="Q91" s="381">
        <f t="shared" ref="Q91:Q129" si="10">(Z173 / (1+AA173)) * (O91) ^(1+AA173)</f>
        <v>1.70667E+23</v>
      </c>
      <c r="R91">
        <f t="shared" ref="R91:R129" si="11">1 + INDEX($D$174:$D$238,MATCH(L91, $E$258:$E$322, 0)) * ($O91 + $Q$90) ^ ((1 + (INDEX($J$174:$J$238,MATCH(L91, $E$258:$E$322, 0)) - 1) * min((INDEX($F$174:$F$238,MATCH(L91, $E$258:$E$322, 0)) * O91),INDEX($E$174:$E$238,MATCH(L91, $E$258:$E$322, 0)))) ^ INDEX($G$174:$G$238,MATCH($L91, $E$258:$E$322, 0)))</f>
        <v>120215124.3</v>
      </c>
      <c r="S91" s="471" t="str">
        <f t="shared" ref="S91:S129" si="12">"+" &amp; FIXED(AA91,0)</f>
        <v>+8,000,000</v>
      </c>
      <c r="T91" s="472"/>
      <c r="U91" s="473">
        <f>10</f>
        <v>10</v>
      </c>
      <c r="V91" s="474">
        <f t="shared" ref="V91:V95" si="13">U91</f>
        <v>10</v>
      </c>
      <c r="W91" s="474"/>
      <c r="X91">
        <f t="shared" ref="X91:X129" si="14">Q91*(0.001)</f>
        <v>1.70667E+20</v>
      </c>
      <c r="Y91" s="475" t="str">
        <f t="shared" ref="Y91:Y129" si="15">$D$3*($L$3/100)</f>
        <v>#VALUE!</v>
      </c>
      <c r="Z91" s="475">
        <f t="shared" ref="Z91:Z129" si="16">(((INDEX($D$91:$D$155,MATCH($L91, $E$258:$E$322, 0)) + X91)/(INDEX($I$174:$I$238,MATCH($L91, $E$258:$E$322, 0))/(INDEX($J$174:$J$238,MATCH($L91, $E$258:$E$322, 0)) + 1)))^(1/(INDEX($J$174:$J$238,MATCH($L91, $E$258:$E$322, 0)) + 1)))</f>
        <v>8000099.999</v>
      </c>
      <c r="AA91">
        <f t="shared" ref="AA91:AA129" si="17">MAX(ROUNDDOWN(Z91,-log(INDEX($V$91:$V$95,MATCH($W$90,$U$91:$U$95,0),1),10)),INDEX($V$91:$V$95,MATCH($W$90,$U$91:$U$95,0),1))</f>
        <v>8000000</v>
      </c>
      <c r="AB91" s="381">
        <f>O91+AA91</f>
        <v>88000000</v>
      </c>
      <c r="AC91" s="8">
        <f t="shared" ref="AC91:AC129" si="18">AD91-Q91</f>
        <v>5.64907E+22</v>
      </c>
      <c r="AD91" s="8">
        <f t="shared" ref="AD91:AD129" si="19">(Z173 / (1+AA173)) * (O91+AA91) ^(1+AA173)</f>
        <v>2.27157E+23</v>
      </c>
      <c r="AE91" s="70">
        <f t="shared" ref="AE91:AE129" si="20">1 + INDEX($D$174:$D$238,MATCH(L91, $E$258:$E$322, 0)) * ($O91 + AA91) ^ ((1 + (INDEX($J$174:$J$238,MATCH(L91, $E$258:$E$322, 0)) - 1) * min((INDEX($F$174:$F$238,MATCH(L91, $E$258:$E$322, 0)) * O91),INDEX($E$174:$E$238,MATCH(L91, $E$258:$E$322, 0)))) ^ INDEX($G$174:$G$238,MATCH($L91, $E$258:$E$322, 0)))</f>
        <v>134126837.3</v>
      </c>
      <c r="AF91" s="478">
        <f t="shared" ref="AF91:AF129" si="21">(Y173*AB91*$B$99+$K$172)/($K$172)</f>
        <v>2.789510642</v>
      </c>
      <c r="AG91" s="70">
        <f t="shared" ref="AG91:AG129" si="22">INDEX($K$258:$K$328,MATCH(L91, $E$258:$E$322, 0))</f>
        <v>1</v>
      </c>
      <c r="AH91" s="8">
        <f t="shared" ref="AH91:AH129" si="23">LOG((AF91*AE91)^AG91)/AD91</f>
        <v>0</v>
      </c>
      <c r="AI91">
        <f t="shared" ref="AI91:AI129" si="24">COUNTIF($P$91:$P$129,"&gt;" &amp; AH91)</f>
        <v>12</v>
      </c>
      <c r="AJ91" s="381">
        <f t="shared" ref="AJ91:AJ129" si="25">$O91+AA91</f>
        <v>88000000</v>
      </c>
    </row>
    <row r="92">
      <c r="A92" s="5"/>
      <c r="B92" s="6">
        <f>1 +'2.9 Artifact Optimizer'!D175 *F259 ^ ((1 + ('2.9 Artifact Optimizer'!J175 - 1) * min(('2.9 Artifact Optimizer'!F175 * B7),'2.9 Artifact Optimizer'!E175)) ^ '2.9 Artifact Optimizer'!G175)</f>
        <v>11513981.6</v>
      </c>
      <c r="C92" s="6">
        <f>(1 + '2.9 Artifact Optimizer'!D175 * ($F259+$C$90) ^ ((1 + ('2.9 Artifact Optimizer'!J175 - 1) * min(('2.9 Artifact Optimizer'!F175 * ($F259+$C$90)), '2.9 Artifact Optimizer'!E175)) ^ '2.9 Artifact Optimizer'!G175))</f>
        <v>80845430.14</v>
      </c>
      <c r="D92" s="439">
        <f>'2.9 Artifact Optimizer'!I175*F259^'2.9 Artifact Optimizer'!J175</f>
        <v>3.10531E+15</v>
      </c>
      <c r="E92" s="466">
        <f>'2.9 Artifact Optimizer'!I175*($F259+$E$90)^'2.9 Artifact Optimizer'!J175</f>
        <v>3.10531E+15</v>
      </c>
      <c r="F92" s="467">
        <f>('2.9 Artifact Optimizer'!H175*$F259*$B$100+$K$172)/($K$172)</f>
        <v>1.029486848</v>
      </c>
      <c r="G92" t="b">
        <f t="shared" si="4"/>
        <v>1</v>
      </c>
      <c r="H92" s="128">
        <f>'2.9 Artifact Optimizer'!H175*$F259</f>
        <v>107400000</v>
      </c>
      <c r="I92" s="294">
        <f t="shared" si="5"/>
        <v>5.95554E+23</v>
      </c>
      <c r="J92" s="468"/>
      <c r="K92" s="5"/>
      <c r="L92">
        <v>4.0</v>
      </c>
      <c r="M92" t="str">
        <f t="shared" si="6"/>
        <v/>
      </c>
      <c r="N92" t="str">
        <f t="shared" si="7"/>
        <v>Moonlight Bracelet</v>
      </c>
      <c r="O92" s="381">
        <f t="shared" si="8"/>
        <v>95000000</v>
      </c>
      <c r="P92" s="8">
        <f t="shared" si="9"/>
        <v>0</v>
      </c>
      <c r="Q92" s="381">
        <f t="shared" si="10"/>
        <v>1.85765E+23</v>
      </c>
      <c r="R92">
        <f t="shared" si="11"/>
        <v>117164649.1</v>
      </c>
      <c r="S92" s="471" t="str">
        <f t="shared" si="12"/>
        <v>+9,500,000</v>
      </c>
      <c r="T92" s="472"/>
      <c r="U92" s="473">
        <f t="shared" ref="U92:U95" si="26">U91*10</f>
        <v>100</v>
      </c>
      <c r="V92" s="474">
        <f t="shared" si="13"/>
        <v>100</v>
      </c>
      <c r="W92" s="474"/>
      <c r="X92">
        <f t="shared" si="14"/>
        <v>1.85765E+20</v>
      </c>
      <c r="Y92" s="475" t="str">
        <f t="shared" si="15"/>
        <v>#VALUE!</v>
      </c>
      <c r="Z92" s="475">
        <f t="shared" si="16"/>
        <v>9500099.999</v>
      </c>
      <c r="AA92">
        <f t="shared" si="17"/>
        <v>9500000</v>
      </c>
      <c r="AB92" s="381">
        <f t="shared" ref="AB92:AB129" si="27">Z92+AA92</f>
        <v>19000100</v>
      </c>
      <c r="AC92" s="8">
        <f t="shared" si="18"/>
        <v>6.14881E+22</v>
      </c>
      <c r="AD92" s="8">
        <f t="shared" si="19"/>
        <v>2.47253E+23</v>
      </c>
      <c r="AE92" s="70">
        <f t="shared" si="20"/>
        <v>130723350.5</v>
      </c>
      <c r="AF92" s="478">
        <f t="shared" si="21"/>
        <v>1.193186825</v>
      </c>
      <c r="AG92" s="70">
        <f t="shared" si="22"/>
        <v>1</v>
      </c>
      <c r="AH92" s="8">
        <f t="shared" si="23"/>
        <v>0</v>
      </c>
      <c r="AI92">
        <f t="shared" si="24"/>
        <v>18</v>
      </c>
      <c r="AJ92" s="381">
        <f t="shared" si="25"/>
        <v>104500000</v>
      </c>
    </row>
    <row r="93">
      <c r="A93" s="5"/>
      <c r="B93" s="6">
        <f>1 +'2.9 Artifact Optimizer'!D176 *F260 ^ ((1 + ('2.9 Artifact Optimizer'!J176 - 1) * min(('2.9 Artifact Optimizer'!F176 * B8),'2.9 Artifact Optimizer'!E176)) ^ '2.9 Artifact Optimizer'!G176)</f>
        <v>115079507.2</v>
      </c>
      <c r="C93" s="6">
        <f>(1 + '2.9 Artifact Optimizer'!D176 * ($F260+$C$90) ^ ((1 + ('2.9 Artifact Optimizer'!J176 - 1) * min(('2.9 Artifact Optimizer'!F176 * ($F260+$C$90)), '2.9 Artifact Optimizer'!E176)) ^ '2.9 Artifact Optimizer'!G176))</f>
        <v>1335458209</v>
      </c>
      <c r="D93" s="439">
        <f>'2.9 Artifact Optimizer'!I176*F260^'2.9 Artifact Optimizer'!J176</f>
        <v>1.73925E+15</v>
      </c>
      <c r="E93" s="466">
        <f>'2.9 Artifact Optimizer'!I176*($F260+$E$90)^'2.9 Artifact Optimizer'!J176</f>
        <v>1.73925E+15</v>
      </c>
      <c r="F93" s="467">
        <f>('2.9 Artifact Optimizer'!H176*$F260*$B$100+$K$172)/($K$172)</f>
        <v>1.032177454</v>
      </c>
      <c r="G93" t="b">
        <f t="shared" si="4"/>
        <v>1</v>
      </c>
      <c r="H93" s="128">
        <f>'2.9 Artifact Optimizer'!H176*$F260</f>
        <v>117200000</v>
      </c>
      <c r="I93" s="294">
        <f t="shared" si="5"/>
        <v>1.82E+23</v>
      </c>
      <c r="J93" s="468"/>
      <c r="K93" s="5"/>
      <c r="L93">
        <v>7.0</v>
      </c>
      <c r="M93" t="str">
        <f t="shared" si="6"/>
        <v/>
      </c>
      <c r="N93" t="str">
        <f t="shared" si="7"/>
        <v>Ring of Calisto</v>
      </c>
      <c r="O93" s="381">
        <f t="shared" si="8"/>
        <v>44980000</v>
      </c>
      <c r="P93" s="8">
        <f t="shared" si="9"/>
        <v>0</v>
      </c>
      <c r="Q93" s="381">
        <f t="shared" si="10"/>
        <v>6.27228E+23</v>
      </c>
      <c r="R93">
        <f t="shared" si="11"/>
        <v>10075862.4</v>
      </c>
      <c r="S93" s="471" t="str">
        <f t="shared" si="12"/>
        <v>+5,100,000</v>
      </c>
      <c r="T93" s="472"/>
      <c r="U93" s="473">
        <f t="shared" si="26"/>
        <v>1000</v>
      </c>
      <c r="V93" s="474">
        <f t="shared" si="13"/>
        <v>1000</v>
      </c>
      <c r="W93" s="474"/>
      <c r="X93">
        <f t="shared" si="14"/>
        <v>6.27228E+20</v>
      </c>
      <c r="Y93" s="475" t="str">
        <f t="shared" si="15"/>
        <v>#VALUE!</v>
      </c>
      <c r="Z93" s="475">
        <f t="shared" si="16"/>
        <v>5194324.843</v>
      </c>
      <c r="AA93">
        <f t="shared" si="17"/>
        <v>5100000</v>
      </c>
      <c r="AB93" s="381">
        <f t="shared" si="27"/>
        <v>10294324.84</v>
      </c>
      <c r="AC93" s="8">
        <f t="shared" si="18"/>
        <v>2.57254E+23</v>
      </c>
      <c r="AD93" s="8">
        <f t="shared" si="19"/>
        <v>8.84482E+23</v>
      </c>
      <c r="AE93" s="70">
        <f t="shared" si="20"/>
        <v>11432912.85</v>
      </c>
      <c r="AF93" s="478">
        <f t="shared" si="21"/>
        <v>1.10466934</v>
      </c>
      <c r="AG93" s="70">
        <f t="shared" si="22"/>
        <v>3.79</v>
      </c>
      <c r="AH93" s="8">
        <f t="shared" si="23"/>
        <v>0</v>
      </c>
      <c r="AI93">
        <f t="shared" si="24"/>
        <v>20</v>
      </c>
      <c r="AJ93" s="381">
        <f t="shared" si="25"/>
        <v>50080000</v>
      </c>
    </row>
    <row r="94">
      <c r="A94" s="5"/>
      <c r="B94" s="6">
        <f>1 +'2.9 Artifact Optimizer'!D177 *F261 ^ ((1 + ('2.9 Artifact Optimizer'!J177 - 1) * min(('2.9 Artifact Optimizer'!F177 * B9),'2.9 Artifact Optimizer'!E177)) ^ '2.9 Artifact Optimizer'!G177)</f>
        <v>32718646.81</v>
      </c>
      <c r="C94" s="6">
        <f>(1 + '2.9 Artifact Optimizer'!D177 * ($F261+$C$90) ^ ((1 + ('2.9 Artifact Optimizer'!J177 - 1) * min(('2.9 Artifact Optimizer'!F177 * ($F261+$C$90)), '2.9 Artifact Optimizer'!E177)) ^ '2.9 Artifact Optimizer'!G177))</f>
        <v>434873082.2</v>
      </c>
      <c r="D94" s="439">
        <f>'2.9 Artifact Optimizer'!I177*F261^'2.9 Artifact Optimizer'!J177</f>
        <v>297773932958875</v>
      </c>
      <c r="E94" s="466">
        <f>'2.9 Artifact Optimizer'!I177*($F261+$E$90)^'2.9 Artifact Optimizer'!J177</f>
        <v>297773932958875</v>
      </c>
      <c r="F94" s="467">
        <f>('2.9 Artifact Optimizer'!H177*$F261*$B$100+$K$172)/($K$172)</f>
        <v>1.014715969</v>
      </c>
      <c r="G94" t="b">
        <f t="shared" si="4"/>
        <v>0</v>
      </c>
      <c r="H94" s="128">
        <f>'2.9 Artifact Optimizer'!H177*$F261</f>
        <v>53600000</v>
      </c>
      <c r="I94" s="294">
        <f t="shared" si="5"/>
        <v>1.42506E+22</v>
      </c>
      <c r="J94" s="468"/>
      <c r="K94" s="5"/>
      <c r="L94">
        <v>10.0</v>
      </c>
      <c r="M94" t="str">
        <f t="shared" si="6"/>
        <v/>
      </c>
      <c r="N94" t="str">
        <f t="shared" si="7"/>
        <v>Chest of Contentment</v>
      </c>
      <c r="O94" s="381">
        <f t="shared" si="8"/>
        <v>293000000</v>
      </c>
      <c r="P94" s="8">
        <f t="shared" si="9"/>
        <v>0</v>
      </c>
      <c r="Q94" s="381">
        <f t="shared" si="10"/>
        <v>1.82E+23</v>
      </c>
      <c r="R94">
        <f t="shared" si="11"/>
        <v>1335458209</v>
      </c>
      <c r="S94" s="471" t="str">
        <f t="shared" si="12"/>
        <v>+24,800,000</v>
      </c>
      <c r="T94" s="472"/>
      <c r="U94" s="473">
        <f t="shared" si="26"/>
        <v>10000</v>
      </c>
      <c r="V94" s="474">
        <f t="shared" si="13"/>
        <v>10000</v>
      </c>
      <c r="W94" s="474"/>
      <c r="X94">
        <f t="shared" si="14"/>
        <v>1.82E+20</v>
      </c>
      <c r="Y94" s="475" t="str">
        <f t="shared" si="15"/>
        <v>#VALUE!</v>
      </c>
      <c r="Z94" s="475">
        <f t="shared" si="16"/>
        <v>24856531.75</v>
      </c>
      <c r="AA94">
        <f t="shared" si="17"/>
        <v>24800000</v>
      </c>
      <c r="AB94" s="381">
        <f t="shared" si="27"/>
        <v>49656531.75</v>
      </c>
      <c r="AC94" s="8">
        <f t="shared" si="18"/>
        <v>4.6493E+22</v>
      </c>
      <c r="AD94" s="8">
        <f t="shared" si="19"/>
        <v>2.28493E+23</v>
      </c>
      <c r="AE94" s="70">
        <f t="shared" si="20"/>
        <v>1466125484</v>
      </c>
      <c r="AF94" s="478">
        <f t="shared" si="21"/>
        <v>1.403913146</v>
      </c>
      <c r="AG94" s="70">
        <f t="shared" si="22"/>
        <v>0.79</v>
      </c>
      <c r="AH94" s="8">
        <f t="shared" si="23"/>
        <v>0</v>
      </c>
      <c r="AI94">
        <f t="shared" si="24"/>
        <v>20</v>
      </c>
      <c r="AJ94" s="381">
        <f t="shared" si="25"/>
        <v>317800000</v>
      </c>
    </row>
    <row r="95">
      <c r="A95" s="5"/>
      <c r="B95" s="6">
        <f>1 +'2.9 Artifact Optimizer'!D178 *F262 ^ ((1 + ('2.9 Artifact Optimizer'!J178 - 1) * min(('2.9 Artifact Optimizer'!F178 * B10),'2.9 Artifact Optimizer'!E178)) ^ '2.9 Artifact Optimizer'!G178)</f>
        <v>6505243.834</v>
      </c>
      <c r="C95" s="6">
        <f>(1 + '2.9 Artifact Optimizer'!D178 * ($F262+$C$90) ^ ((1 + ('2.9 Artifact Optimizer'!J178 - 1) * min(('2.9 Artifact Optimizer'!F178 * ($F262+$C$90)), '2.9 Artifact Optimizer'!E178)) ^ '2.9 Artifact Optimizer'!G178))</f>
        <v>259815370.3</v>
      </c>
      <c r="D95" s="439">
        <f>'2.9 Artifact Optimizer'!I178*F262^'2.9 Artifact Optimizer'!J178</f>
        <v>2.11882E+16</v>
      </c>
      <c r="E95" s="466">
        <f>'2.9 Artifact Optimizer'!I178*($F262+$E$90)^'2.9 Artifact Optimizer'!J178</f>
        <v>2.11882E+16</v>
      </c>
      <c r="F95" s="467">
        <f>('2.9 Artifact Optimizer'!H178*$F262*$B$100+$K$172)/($K$172)</f>
        <v>1.00255333</v>
      </c>
      <c r="G95" t="b">
        <f t="shared" si="4"/>
        <v>1</v>
      </c>
      <c r="H95" s="128">
        <f>'2.9 Artifact Optimizer'!H178*$F262</f>
        <v>9300000</v>
      </c>
      <c r="I95" s="294">
        <f t="shared" si="5"/>
        <v>2.05261E+23</v>
      </c>
      <c r="J95" s="468"/>
      <c r="K95" s="5"/>
      <c r="L95">
        <v>13.0</v>
      </c>
      <c r="M95" t="str">
        <f t="shared" si="6"/>
        <v/>
      </c>
      <c r="N95" t="str">
        <f t="shared" si="7"/>
        <v>Drunken Hammer</v>
      </c>
      <c r="O95" s="381">
        <f t="shared" si="8"/>
        <v>800000000</v>
      </c>
      <c r="P95" s="8">
        <f t="shared" si="9"/>
        <v>0</v>
      </c>
      <c r="Q95" s="381">
        <f t="shared" si="10"/>
        <v>2.42734E+23</v>
      </c>
      <c r="R95">
        <f t="shared" si="11"/>
        <v>1182215055</v>
      </c>
      <c r="S95" s="471" t="str">
        <f t="shared" si="12"/>
        <v>+61,900,000</v>
      </c>
      <c r="T95" s="472"/>
      <c r="U95" s="473">
        <f t="shared" si="26"/>
        <v>100000</v>
      </c>
      <c r="V95" s="474">
        <f t="shared" si="13"/>
        <v>100000</v>
      </c>
      <c r="W95" s="474"/>
      <c r="X95">
        <f t="shared" si="14"/>
        <v>2.42734E+20</v>
      </c>
      <c r="Y95" s="475" t="str">
        <f t="shared" si="15"/>
        <v>#VALUE!</v>
      </c>
      <c r="Z95" s="475">
        <f t="shared" si="16"/>
        <v>61941172.04</v>
      </c>
      <c r="AA95">
        <f t="shared" si="17"/>
        <v>61900000</v>
      </c>
      <c r="AB95" s="381">
        <f t="shared" si="27"/>
        <v>123841172</v>
      </c>
      <c r="AC95" s="8">
        <f t="shared" si="18"/>
        <v>5.41052E+22</v>
      </c>
      <c r="AD95" s="8">
        <f t="shared" si="19"/>
        <v>2.96839E+23</v>
      </c>
      <c r="AE95" s="70">
        <f t="shared" si="20"/>
        <v>1286220555</v>
      </c>
      <c r="AF95" s="478">
        <f t="shared" si="21"/>
        <v>1.755506007</v>
      </c>
      <c r="AG95" s="70">
        <f t="shared" si="22"/>
        <v>1</v>
      </c>
      <c r="AH95" s="8">
        <f t="shared" si="23"/>
        <v>0</v>
      </c>
      <c r="AI95">
        <f t="shared" si="24"/>
        <v>20</v>
      </c>
      <c r="AJ95" s="381">
        <f t="shared" si="25"/>
        <v>861900000</v>
      </c>
    </row>
    <row r="96">
      <c r="A96" s="5"/>
      <c r="B96" s="6">
        <f>1 +'2.9 Artifact Optimizer'!D179 *F263 ^ ((1 + ('2.9 Artifact Optimizer'!J179 - 1) * min(('2.9 Artifact Optimizer'!F179 * B11),'2.9 Artifact Optimizer'!E179)) ^ '2.9 Artifact Optimizer'!G179)</f>
        <v>1584893.585</v>
      </c>
      <c r="C96" s="6">
        <f>(1 + '2.9 Artifact Optimizer'!D179 * ($F263+$C$90) ^ ((1 + ('2.9 Artifact Optimizer'!J179 - 1) * min(('2.9 Artifact Optimizer'!F179 * ($F263+$C$90)), '2.9 Artifact Optimizer'!E179)) ^ '2.9 Artifact Optimizer'!G179))</f>
        <v>20197063.91</v>
      </c>
      <c r="D96" s="439">
        <f>'2.9 Artifact Optimizer'!I179*F263^'2.9 Artifact Optimizer'!J179</f>
        <v>30229861740073</v>
      </c>
      <c r="E96" s="466">
        <f>'2.9 Artifact Optimizer'!I179*($F263+$E$90)^'2.9 Artifact Optimizer'!J179</f>
        <v>30229861740073</v>
      </c>
      <c r="F96" s="467">
        <f>('2.9 Artifact Optimizer'!H179*$F263*$B$100+$K$172)/($K$172)</f>
        <v>1.003096943</v>
      </c>
      <c r="G96" t="b">
        <f t="shared" si="4"/>
        <v>0</v>
      </c>
      <c r="H96" s="128">
        <f>'2.9 Artifact Optimizer'!H179*$F263</f>
        <v>11280000</v>
      </c>
      <c r="I96" s="294">
        <f t="shared" si="5"/>
        <v>4.05944E+20</v>
      </c>
      <c r="J96" s="468"/>
      <c r="K96" s="5"/>
      <c r="L96">
        <v>16.0</v>
      </c>
      <c r="M96" t="str">
        <f t="shared" si="6"/>
        <v/>
      </c>
      <c r="N96" t="str">
        <f t="shared" si="7"/>
        <v>Great Fay Medallion</v>
      </c>
      <c r="O96" s="381">
        <f t="shared" si="8"/>
        <v>303000000</v>
      </c>
      <c r="P96" s="8">
        <f t="shared" si="9"/>
        <v>0</v>
      </c>
      <c r="Q96" s="381">
        <f t="shared" si="10"/>
        <v>1.99932E+23</v>
      </c>
      <c r="R96">
        <f t="shared" si="11"/>
        <v>1665547249</v>
      </c>
      <c r="S96" s="471" t="str">
        <f t="shared" si="12"/>
        <v>+25,700,000</v>
      </c>
      <c r="T96" s="472"/>
      <c r="X96">
        <f t="shared" si="14"/>
        <v>1.99932E+20</v>
      </c>
      <c r="Y96" s="475" t="str">
        <f t="shared" si="15"/>
        <v>#VALUE!</v>
      </c>
      <c r="Z96" s="475">
        <f t="shared" si="16"/>
        <v>25704874.65</v>
      </c>
      <c r="AA96">
        <f t="shared" si="17"/>
        <v>25700000</v>
      </c>
      <c r="AB96" s="381">
        <f t="shared" si="27"/>
        <v>51404874.65</v>
      </c>
      <c r="AC96" s="8">
        <f t="shared" si="18"/>
        <v>5.11884E+22</v>
      </c>
      <c r="AD96" s="8">
        <f t="shared" si="19"/>
        <v>2.5112E+23</v>
      </c>
      <c r="AE96" s="70">
        <f t="shared" si="20"/>
        <v>1828854455</v>
      </c>
      <c r="AF96" s="478">
        <f t="shared" si="21"/>
        <v>1.41813441</v>
      </c>
      <c r="AG96" s="70">
        <f t="shared" si="22"/>
        <v>0.79</v>
      </c>
      <c r="AH96" s="8">
        <f t="shared" si="23"/>
        <v>0</v>
      </c>
      <c r="AI96">
        <f t="shared" si="24"/>
        <v>21</v>
      </c>
      <c r="AJ96" s="381">
        <f t="shared" si="25"/>
        <v>328700000</v>
      </c>
    </row>
    <row r="97">
      <c r="A97" s="5"/>
      <c r="B97" s="6">
        <f>1 +'2.9 Artifact Optimizer'!D180 *F264 ^ ((1 + ('2.9 Artifact Optimizer'!J180 - 1) * min(('2.9 Artifact Optimizer'!F180 * B12),'2.9 Artifact Optimizer'!E180)) ^ '2.9 Artifact Optimizer'!G180)</f>
        <v>22960808.15</v>
      </c>
      <c r="C97" s="6">
        <f>(1 + '2.9 Artifact Optimizer'!D180 * ($F264+$C$90) ^ ((1 + ('2.9 Artifact Optimizer'!J180 - 1) * min(('2.9 Artifact Optimizer'!F180 * ($F264+$C$90)), '2.9 Artifact Optimizer'!E180)) ^ '2.9 Artifact Optimizer'!G180))</f>
        <v>291689727.1</v>
      </c>
      <c r="D97" s="439">
        <f>'2.9 Artifact Optimizer'!I180*F264^'2.9 Artifact Optimizer'!J180</f>
        <v>28487273851699</v>
      </c>
      <c r="E97" s="466">
        <f>'2.9 Artifact Optimizer'!I180*($F264+$E$90)^'2.9 Artifact Optimizer'!J180</f>
        <v>28487273851699</v>
      </c>
      <c r="F97" s="467">
        <f>('2.9 Artifact Optimizer'!H180*$F264*$B$100+$K$172)/($K$172)</f>
        <v>1.002996457</v>
      </c>
      <c r="G97" t="b">
        <f t="shared" si="4"/>
        <v>0</v>
      </c>
      <c r="H97" s="128">
        <f>'2.9 Artifact Optimizer'!H180*$F264</f>
        <v>10914000</v>
      </c>
      <c r="I97" s="294">
        <f t="shared" si="5"/>
        <v>3.70131E+20</v>
      </c>
      <c r="J97" s="468"/>
      <c r="K97" s="5"/>
      <c r="L97">
        <v>2.0</v>
      </c>
      <c r="M97" t="str">
        <f t="shared" si="6"/>
        <v/>
      </c>
      <c r="N97" t="str">
        <f t="shared" si="7"/>
        <v>Invader's Gjallarhorn</v>
      </c>
      <c r="O97" s="381">
        <f t="shared" si="8"/>
        <v>548000000</v>
      </c>
      <c r="P97" s="8">
        <f t="shared" si="9"/>
        <v>0</v>
      </c>
      <c r="Q97" s="381">
        <f t="shared" si="10"/>
        <v>6.30346E+23</v>
      </c>
      <c r="R97">
        <f t="shared" si="11"/>
        <v>165454931.3</v>
      </c>
      <c r="S97" s="471" t="str">
        <f t="shared" si="12"/>
        <v>+46,400,000</v>
      </c>
      <c r="T97" s="472"/>
      <c r="U97" t="s">
        <v>929</v>
      </c>
      <c r="V97" s="1" t="s">
        <v>931</v>
      </c>
      <c r="X97">
        <f t="shared" si="14"/>
        <v>6.30346E+20</v>
      </c>
      <c r="Y97" s="475" t="str">
        <f t="shared" si="15"/>
        <v>#VALUE!</v>
      </c>
      <c r="Z97" s="475">
        <f t="shared" si="16"/>
        <v>46489275.66</v>
      </c>
      <c r="AA97">
        <f t="shared" si="17"/>
        <v>46400000</v>
      </c>
      <c r="AB97" s="381">
        <f t="shared" si="27"/>
        <v>92889275.66</v>
      </c>
      <c r="AC97" s="8">
        <f t="shared" si="18"/>
        <v>1.61087E+23</v>
      </c>
      <c r="AD97" s="8">
        <f t="shared" si="19"/>
        <v>7.91432E+23</v>
      </c>
      <c r="AE97" s="70">
        <f t="shared" si="20"/>
        <v>181442792.6</v>
      </c>
      <c r="AF97" s="478">
        <f t="shared" si="21"/>
        <v>1.377787153</v>
      </c>
      <c r="AG97" s="70">
        <f t="shared" si="22"/>
        <v>3.566666667</v>
      </c>
      <c r="AH97" s="8">
        <f t="shared" si="23"/>
        <v>0</v>
      </c>
      <c r="AI97">
        <f t="shared" si="24"/>
        <v>11</v>
      </c>
      <c r="AJ97" s="381">
        <f t="shared" si="25"/>
        <v>594400000</v>
      </c>
    </row>
    <row r="98">
      <c r="A98" s="5"/>
      <c r="B98" s="6">
        <f>1 +'2.9 Artifact Optimizer'!D181 *F265 ^ ((1 + ('2.9 Artifact Optimizer'!J181 - 1) * min(('2.9 Artifact Optimizer'!F181 * B13),'2.9 Artifact Optimizer'!E181)) ^ '2.9 Artifact Optimizer'!G181)</f>
        <v>138554165</v>
      </c>
      <c r="C98" s="6">
        <f>(1 + '2.9 Artifact Optimizer'!D181 * ($F265+$C$90) ^ ((1 + ('2.9 Artifact Optimizer'!J181 - 1) * min(('2.9 Artifact Optimizer'!F181 * ($F265+$C$90)), '2.9 Artifact Optimizer'!E181)) ^ '2.9 Artifact Optimizer'!G181))</f>
        <v>1665547249</v>
      </c>
      <c r="D98" s="439">
        <f>'2.9 Artifact Optimizer'!I181*F265^'2.9 Artifact Optimizer'!J181</f>
        <v>1.84755E+15</v>
      </c>
      <c r="E98" s="466">
        <f>'2.9 Artifact Optimizer'!I181*($F265+$E$90)^'2.9 Artifact Optimizer'!J181</f>
        <v>1.84755E+15</v>
      </c>
      <c r="F98" s="467">
        <f>('2.9 Artifact Optimizer'!H181*$F265*$B$100+$K$172)/($K$172)</f>
        <v>1.03327566</v>
      </c>
      <c r="G98" t="b">
        <f t="shared" si="4"/>
        <v>1</v>
      </c>
      <c r="H98" s="128">
        <f>'2.9 Artifact Optimizer'!H181*$F265</f>
        <v>121200000</v>
      </c>
      <c r="I98" s="294">
        <f t="shared" si="5"/>
        <v>1.99932E+23</v>
      </c>
      <c r="J98" s="468"/>
      <c r="K98" s="5"/>
      <c r="L98">
        <v>5.0</v>
      </c>
      <c r="M98" t="str">
        <f t="shared" si="6"/>
        <v/>
      </c>
      <c r="N98" t="str">
        <f t="shared" si="7"/>
        <v>Stone of the Valrunes</v>
      </c>
      <c r="O98" s="381">
        <f t="shared" si="8"/>
        <v>537000000</v>
      </c>
      <c r="P98" s="8">
        <f t="shared" si="9"/>
        <v>0</v>
      </c>
      <c r="Q98" s="381">
        <f t="shared" si="10"/>
        <v>5.95554E+23</v>
      </c>
      <c r="R98">
        <f t="shared" si="11"/>
        <v>80845430.14</v>
      </c>
      <c r="S98" s="471" t="str">
        <f t="shared" si="12"/>
        <v>+45,500,000</v>
      </c>
      <c r="T98" s="472"/>
      <c r="U98">
        <v>1.0</v>
      </c>
      <c r="V98" s="1">
        <v>1.0</v>
      </c>
      <c r="X98">
        <f t="shared" si="14"/>
        <v>5.95554E+20</v>
      </c>
      <c r="Y98" s="475" t="str">
        <f t="shared" si="15"/>
        <v>#VALUE!</v>
      </c>
      <c r="Z98" s="475">
        <f t="shared" si="16"/>
        <v>45556098.47</v>
      </c>
      <c r="AA98">
        <f t="shared" si="17"/>
        <v>45500000</v>
      </c>
      <c r="AB98" s="381">
        <f t="shared" si="27"/>
        <v>91056098.47</v>
      </c>
      <c r="AC98" s="8">
        <f t="shared" si="18"/>
        <v>1.52309E+23</v>
      </c>
      <c r="AD98" s="8">
        <f t="shared" si="19"/>
        <v>7.47863E+23</v>
      </c>
      <c r="AE98" s="70">
        <f t="shared" si="20"/>
        <v>88662922.08</v>
      </c>
      <c r="AF98" s="478">
        <f t="shared" si="21"/>
        <v>1.370331494</v>
      </c>
      <c r="AG98" s="70">
        <f t="shared" si="22"/>
        <v>3.2</v>
      </c>
      <c r="AH98" s="8">
        <f t="shared" si="23"/>
        <v>0</v>
      </c>
      <c r="AI98">
        <f t="shared" si="24"/>
        <v>17</v>
      </c>
      <c r="AJ98" s="381">
        <f t="shared" si="25"/>
        <v>582500000</v>
      </c>
    </row>
    <row r="99">
      <c r="A99" s="5"/>
      <c r="B99" s="6">
        <f>1 +'2.9 Artifact Optimizer'!D182 *F266 ^ ((1 + ('2.9 Artifact Optimizer'!J182 - 1) * min(('2.9 Artifact Optimizer'!F182 * B14),'2.9 Artifact Optimizer'!E182)) ^ '2.9 Artifact Optimizer'!G182)</f>
        <v>136025659.6</v>
      </c>
      <c r="C99" s="6">
        <f>(1 + '2.9 Artifact Optimizer'!D182 * ($F266+$C$90) ^ ((1 + ('2.9 Artifact Optimizer'!J182 - 1) * min(('2.9 Artifact Optimizer'!F182 * ($F266+$C$90)), '2.9 Artifact Optimizer'!E182)) ^ '2.9 Artifact Optimizer'!G182))</f>
        <v>1583712493</v>
      </c>
      <c r="D99" s="439">
        <f>'2.9 Artifact Optimizer'!I182*F266^'2.9 Artifact Optimizer'!J182</f>
        <v>1.19513E+15</v>
      </c>
      <c r="E99" s="466">
        <f>'2.9 Artifact Optimizer'!I182*($F266+$E$90)^'2.9 Artifact Optimizer'!J182</f>
        <v>1.19513E+15</v>
      </c>
      <c r="F99" s="467">
        <f>('2.9 Artifact Optimizer'!H182*$F266*$B$100+$K$172)/($K$172)</f>
        <v>1.03980999</v>
      </c>
      <c r="G99" t="b">
        <f t="shared" si="4"/>
        <v>0</v>
      </c>
      <c r="H99" s="128">
        <f>'2.9 Artifact Optimizer'!H182*$F266</f>
        <v>145000000</v>
      </c>
      <c r="I99" s="294">
        <f t="shared" si="5"/>
        <v>1.23781E+23</v>
      </c>
      <c r="J99" s="468"/>
      <c r="K99" s="5"/>
      <c r="L99">
        <v>8.0</v>
      </c>
      <c r="M99" t="str">
        <f t="shared" si="6"/>
        <v/>
      </c>
      <c r="N99" t="str">
        <f t="shared" si="7"/>
        <v>Heart of Storms</v>
      </c>
      <c r="O99" s="381">
        <f t="shared" si="8"/>
        <v>50480000</v>
      </c>
      <c r="P99" s="8">
        <f t="shared" si="9"/>
        <v>0</v>
      </c>
      <c r="Q99" s="381">
        <f t="shared" si="10"/>
        <v>9.7708E+23</v>
      </c>
      <c r="R99">
        <f t="shared" si="11"/>
        <v>5770209.072</v>
      </c>
      <c r="S99" s="471" t="str">
        <f t="shared" si="12"/>
        <v>+5,800,000</v>
      </c>
      <c r="T99" s="472"/>
      <c r="U99">
        <v>4.0</v>
      </c>
      <c r="V99" s="1">
        <v>2.0</v>
      </c>
      <c r="X99">
        <f t="shared" si="14"/>
        <v>9.7708E+20</v>
      </c>
      <c r="Y99" s="475" t="str">
        <f t="shared" si="15"/>
        <v>#VALUE!</v>
      </c>
      <c r="Z99" s="475">
        <f t="shared" si="16"/>
        <v>5829454.934</v>
      </c>
      <c r="AA99">
        <f t="shared" si="17"/>
        <v>5800000</v>
      </c>
      <c r="AB99" s="381">
        <f t="shared" si="27"/>
        <v>11629454.93</v>
      </c>
      <c r="AC99" s="8">
        <f t="shared" si="18"/>
        <v>4.06745E+23</v>
      </c>
      <c r="AD99" s="8">
        <f t="shared" si="19"/>
        <v>1.38382E+24</v>
      </c>
      <c r="AE99" s="70">
        <f t="shared" si="20"/>
        <v>6557830.064</v>
      </c>
      <c r="AF99" s="478">
        <f t="shared" si="21"/>
        <v>1.118244508</v>
      </c>
      <c r="AG99" s="70">
        <f t="shared" si="22"/>
        <v>6</v>
      </c>
      <c r="AH99" s="8">
        <f t="shared" si="23"/>
        <v>0</v>
      </c>
      <c r="AI99">
        <f t="shared" si="24"/>
        <v>21</v>
      </c>
      <c r="AJ99" s="381">
        <f t="shared" si="25"/>
        <v>56280000</v>
      </c>
    </row>
    <row r="100">
      <c r="A100" s="5"/>
      <c r="B100" s="6">
        <f>1 +'2.9 Artifact Optimizer'!D183 *F267 ^ ((1 + ('2.9 Artifact Optimizer'!J183 - 1) * min(('2.9 Artifact Optimizer'!F183 * B15),'2.9 Artifact Optimizer'!E183)) ^ '2.9 Artifact Optimizer'!G183)</f>
        <v>1836509.972</v>
      </c>
      <c r="C100" s="6">
        <f>(1 + '2.9 Artifact Optimizer'!D183 * ($F267+$C$90) ^ ((1 + ('2.9 Artifact Optimizer'!J183 - 1) * min(('2.9 Artifact Optimizer'!F183 * ($F267+$C$90)), '2.9 Artifact Optimizer'!E183)) ^ '2.9 Artifact Optimizer'!G183))</f>
        <v>71795883.85</v>
      </c>
      <c r="D100" s="439">
        <f>'2.9 Artifact Optimizer'!I183*F267^'2.9 Artifact Optimizer'!J183</f>
        <v>2.53951E+16</v>
      </c>
      <c r="E100" s="466">
        <f>'2.9 Artifact Optimizer'!I183*($F267+$E$90)^'2.9 Artifact Optimizer'!J183</f>
        <v>2.53951E+16</v>
      </c>
      <c r="F100" s="467">
        <f>('2.9 Artifact Optimizer'!H183*$F267*$B$100+$K$172)/($K$172)</f>
        <v>1.009241409</v>
      </c>
      <c r="G100" t="b">
        <f t="shared" si="4"/>
        <v>1</v>
      </c>
      <c r="H100" s="128">
        <f>'2.9 Artifact Optimizer'!H183*$F267</f>
        <v>33660000</v>
      </c>
      <c r="I100" s="294">
        <f t="shared" si="5"/>
        <v>2.67124E+23</v>
      </c>
      <c r="J100" s="468"/>
      <c r="K100" s="5"/>
      <c r="L100">
        <v>11.0</v>
      </c>
      <c r="M100" t="str">
        <f t="shared" si="6"/>
        <v/>
      </c>
      <c r="N100" t="str">
        <f t="shared" si="7"/>
        <v>Royal Toxin</v>
      </c>
      <c r="O100" s="381">
        <f t="shared" si="8"/>
        <v>680000000</v>
      </c>
      <c r="P100" s="8">
        <f t="shared" si="9"/>
        <v>0</v>
      </c>
      <c r="Q100" s="381">
        <f t="shared" si="10"/>
        <v>1.56517E+23</v>
      </c>
      <c r="R100">
        <f t="shared" si="11"/>
        <v>983655706.4</v>
      </c>
      <c r="S100" s="471" t="str">
        <f t="shared" si="12"/>
        <v>+52,600,000</v>
      </c>
      <c r="T100" s="472"/>
      <c r="U100">
        <v>7.0</v>
      </c>
      <c r="V100" s="1">
        <v>3.0</v>
      </c>
      <c r="X100">
        <f t="shared" si="14"/>
        <v>1.56517E+20</v>
      </c>
      <c r="Y100" s="475" t="str">
        <f t="shared" si="15"/>
        <v>#VALUE!</v>
      </c>
      <c r="Z100" s="475">
        <f t="shared" si="16"/>
        <v>52650007.85</v>
      </c>
      <c r="AA100">
        <f t="shared" si="17"/>
        <v>52600000</v>
      </c>
      <c r="AB100" s="381">
        <f t="shared" si="27"/>
        <v>105250007.8</v>
      </c>
      <c r="AC100" s="8">
        <f t="shared" si="18"/>
        <v>3.48769E+22</v>
      </c>
      <c r="AD100" s="8">
        <f t="shared" si="19"/>
        <v>1.91394E+23</v>
      </c>
      <c r="AE100" s="70">
        <f t="shared" si="20"/>
        <v>1070168135</v>
      </c>
      <c r="AF100" s="478">
        <f t="shared" si="21"/>
        <v>1.428059112</v>
      </c>
      <c r="AG100" s="70">
        <f t="shared" si="22"/>
        <v>0.6666666667</v>
      </c>
      <c r="AH100" s="8">
        <f t="shared" si="23"/>
        <v>0</v>
      </c>
      <c r="AI100">
        <f t="shared" si="24"/>
        <v>20</v>
      </c>
      <c r="AJ100" s="381">
        <f t="shared" si="25"/>
        <v>732600000</v>
      </c>
    </row>
    <row r="101">
      <c r="A101" s="5"/>
      <c r="B101" s="6">
        <f>1 +'2.9 Artifact Optimizer'!D184 *F268 ^ ((1 + ('2.9 Artifact Optimizer'!J184 - 1) * min(('2.9 Artifact Optimizer'!F184 * B16),'2.9 Artifact Optimizer'!E184)) ^ '2.9 Artifact Optimizer'!G184)</f>
        <v>8920047.503</v>
      </c>
      <c r="C101" s="6">
        <f>(1 + '2.9 Artifact Optimizer'!D184 * ($F268+$C$90) ^ ((1 + ('2.9 Artifact Optimizer'!J184 - 1) * min(('2.9 Artifact Optimizer'!F184 * ($F268+$C$90)), '2.9 Artifact Optimizer'!E184)) ^ '2.9 Artifact Optimizer'!G184))</f>
        <v>120215124.3</v>
      </c>
      <c r="D101" s="439">
        <f>'2.9 Artifact Optimizer'!I184*F268^'2.9 Artifact Optimizer'!J184</f>
        <v>6.4E+15</v>
      </c>
      <c r="E101" s="466">
        <f>'2.9 Artifact Optimizer'!I184*($F268+$E$90)^'2.9 Artifact Optimizer'!J184</f>
        <v>6.4E+15</v>
      </c>
      <c r="F101" s="467">
        <f>('2.9 Artifact Optimizer'!H184*$F268*$B$100+$K$172)/($K$172)</f>
        <v>1.021964132</v>
      </c>
      <c r="G101" t="b">
        <f t="shared" si="4"/>
        <v>1</v>
      </c>
      <c r="H101" s="128">
        <f>'2.9 Artifact Optimizer'!H184*$F268</f>
        <v>80000000</v>
      </c>
      <c r="I101" s="294">
        <f t="shared" si="5"/>
        <v>1.70667E+23</v>
      </c>
      <c r="J101" s="468"/>
      <c r="K101" s="5"/>
      <c r="L101">
        <v>14.0</v>
      </c>
      <c r="M101" t="str">
        <f t="shared" si="6"/>
        <v/>
      </c>
      <c r="N101" t="str">
        <f t="shared" si="7"/>
        <v>Helmet of Madness</v>
      </c>
      <c r="O101" s="381">
        <f t="shared" si="8"/>
        <v>100000000</v>
      </c>
      <c r="P101" s="8">
        <f t="shared" si="9"/>
        <v>0</v>
      </c>
      <c r="Q101" s="381">
        <f t="shared" si="10"/>
        <v>2.16667E+23</v>
      </c>
      <c r="R101">
        <f t="shared" si="11"/>
        <v>124276846.6</v>
      </c>
      <c r="S101" s="471" t="str">
        <f t="shared" si="12"/>
        <v>+10,000,000</v>
      </c>
      <c r="T101" s="472"/>
      <c r="U101">
        <v>10.0</v>
      </c>
      <c r="V101" s="1">
        <v>4.0</v>
      </c>
      <c r="X101">
        <f t="shared" si="14"/>
        <v>2.16667E+20</v>
      </c>
      <c r="Y101" s="475" t="str">
        <f t="shared" si="15"/>
        <v>#VALUE!</v>
      </c>
      <c r="Z101" s="475">
        <f t="shared" si="16"/>
        <v>10000100</v>
      </c>
      <c r="AA101">
        <f t="shared" si="17"/>
        <v>10000000</v>
      </c>
      <c r="AB101" s="381">
        <f t="shared" si="27"/>
        <v>20000100</v>
      </c>
      <c r="AC101" s="8">
        <f t="shared" si="18"/>
        <v>7.17167E+22</v>
      </c>
      <c r="AD101" s="8">
        <f t="shared" si="19"/>
        <v>2.88383E+23</v>
      </c>
      <c r="AE101" s="70">
        <f t="shared" si="20"/>
        <v>138658596.3</v>
      </c>
      <c r="AF101" s="478">
        <f t="shared" si="21"/>
        <v>1.203354499</v>
      </c>
      <c r="AG101" s="70">
        <f t="shared" si="22"/>
        <v>1</v>
      </c>
      <c r="AH101" s="8">
        <f t="shared" si="23"/>
        <v>0</v>
      </c>
      <c r="AI101">
        <f t="shared" si="24"/>
        <v>23</v>
      </c>
      <c r="AJ101" s="381">
        <f t="shared" si="25"/>
        <v>110000000</v>
      </c>
    </row>
    <row r="102">
      <c r="A102" s="5"/>
      <c r="B102" s="6">
        <f>1 +'2.9 Artifact Optimizer'!D185 *F269 ^ ((1 + ('2.9 Artifact Optimizer'!J185 - 1) * min(('2.9 Artifact Optimizer'!F185 * B17),'2.9 Artifact Optimizer'!E185)) ^ '2.9 Artifact Optimizer'!G185)</f>
        <v>244587344</v>
      </c>
      <c r="C102" s="6">
        <f>(1 + '2.9 Artifact Optimizer'!D185 * ($F269+$C$90) ^ ((1 + ('2.9 Artifact Optimizer'!J185 - 1) * min(('2.9 Artifact Optimizer'!F185 * ($F269+$C$90)), '2.9 Artifact Optimizer'!E185)) ^ '2.9 Artifact Optimizer'!G185))</f>
        <v>1182215055</v>
      </c>
      <c r="D102" s="439">
        <f>'2.9 Artifact Optimizer'!I185*F269^'2.9 Artifact Optimizer'!J185</f>
        <v>819226945237724</v>
      </c>
      <c r="E102" s="466">
        <f>'2.9 Artifact Optimizer'!I185*($F269+$E$90)^'2.9 Artifact Optimizer'!J185</f>
        <v>819226945237724</v>
      </c>
      <c r="F102" s="467">
        <f>('2.9 Artifact Optimizer'!H185*$F269*$B$100+$K$172)/($K$172)</f>
        <v>1.065892397</v>
      </c>
      <c r="G102" t="b">
        <f t="shared" si="4"/>
        <v>1</v>
      </c>
      <c r="H102" s="128">
        <f>'2.9 Artifact Optimizer'!H185*$F269</f>
        <v>240000000</v>
      </c>
      <c r="I102" s="294">
        <f t="shared" si="5"/>
        <v>2.42734E+23</v>
      </c>
      <c r="J102" s="468"/>
      <c r="K102" s="5"/>
      <c r="L102">
        <v>17.0</v>
      </c>
      <c r="M102" t="str">
        <f t="shared" si="6"/>
        <v/>
      </c>
      <c r="N102" t="str">
        <f t="shared" si="7"/>
        <v>The Retaliator</v>
      </c>
      <c r="O102" s="381">
        <f t="shared" si="8"/>
        <v>818000000</v>
      </c>
      <c r="P102" s="8">
        <f t="shared" si="9"/>
        <v>0</v>
      </c>
      <c r="Q102" s="381">
        <f t="shared" si="10"/>
        <v>2.57763E+23</v>
      </c>
      <c r="R102">
        <f t="shared" si="11"/>
        <v>1212353528</v>
      </c>
      <c r="S102" s="471" t="str">
        <f t="shared" si="12"/>
        <v>+63,300,000</v>
      </c>
      <c r="T102" s="472"/>
      <c r="U102">
        <v>13.0</v>
      </c>
      <c r="V102" s="1">
        <v>5.0</v>
      </c>
      <c r="X102">
        <f t="shared" si="14"/>
        <v>2.57763E+20</v>
      </c>
      <c r="Y102" s="475" t="str">
        <f t="shared" si="15"/>
        <v>#VALUE!</v>
      </c>
      <c r="Z102" s="475">
        <f t="shared" si="16"/>
        <v>63334846.67</v>
      </c>
      <c r="AA102">
        <f t="shared" si="17"/>
        <v>63300000</v>
      </c>
      <c r="AB102" s="381">
        <f t="shared" si="27"/>
        <v>126634846.7</v>
      </c>
      <c r="AC102" s="8">
        <f t="shared" si="18"/>
        <v>5.74622E+22</v>
      </c>
      <c r="AD102" s="8">
        <f t="shared" si="19"/>
        <v>3.15226E+23</v>
      </c>
      <c r="AE102" s="70">
        <f t="shared" si="20"/>
        <v>1319022739</v>
      </c>
      <c r="AF102" s="478">
        <f t="shared" si="21"/>
        <v>1.51503274</v>
      </c>
      <c r="AG102" s="70">
        <f t="shared" si="22"/>
        <v>1</v>
      </c>
      <c r="AH102" s="8">
        <f t="shared" si="23"/>
        <v>0</v>
      </c>
      <c r="AI102">
        <f t="shared" si="24"/>
        <v>22</v>
      </c>
      <c r="AJ102" s="381">
        <f t="shared" si="25"/>
        <v>881300000</v>
      </c>
    </row>
    <row r="103">
      <c r="A103" s="5"/>
      <c r="B103" s="6">
        <f>1 +'2.9 Artifact Optimizer'!D186 *F270 ^ ((1 + ('2.9 Artifact Optimizer'!J186 - 1) * min(('2.9 Artifact Optimizer'!F186 * B18),'2.9 Artifact Optimizer'!E186)) ^ '2.9 Artifact Optimizer'!G186)</f>
        <v>10730013.63</v>
      </c>
      <c r="C103" s="6">
        <f>(1 + '2.9 Artifact Optimizer'!D186 * ($F270+$C$90) ^ ((1 + ('2.9 Artifact Optimizer'!J186 - 1) * min(('2.9 Artifact Optimizer'!F186 * ($F270+$C$90)), '2.9 Artifact Optimizer'!E186)) ^ '2.9 Artifact Optimizer'!G186))</f>
        <v>146455811.1</v>
      </c>
      <c r="D103" s="439">
        <f>'2.9 Artifact Optimizer'!I186*F270^'2.9 Artifact Optimizer'!J186</f>
        <v>6.3175E+15</v>
      </c>
      <c r="E103" s="466">
        <f>'2.9 Artifact Optimizer'!I186*($F270+$E$90)^'2.9 Artifact Optimizer'!J186</f>
        <v>6.3175E+15</v>
      </c>
      <c r="F103" s="467">
        <f>('2.9 Artifact Optimizer'!H186*$F270*$B$100+$K$172)/($K$172)</f>
        <v>1.013041204</v>
      </c>
      <c r="G103" t="b">
        <f t="shared" si="4"/>
        <v>1</v>
      </c>
      <c r="H103" s="128">
        <f>'2.9 Artifact Optimizer'!H186*$F270</f>
        <v>47500000</v>
      </c>
      <c r="I103" s="294">
        <f t="shared" si="5"/>
        <v>2.00054E+23</v>
      </c>
      <c r="J103" s="468"/>
      <c r="K103" s="5"/>
      <c r="L103">
        <v>3.0</v>
      </c>
      <c r="M103" t="str">
        <f t="shared" si="6"/>
        <v/>
      </c>
      <c r="N103" t="str">
        <f t="shared" si="7"/>
        <v>Bringer of Ragnarok</v>
      </c>
      <c r="O103" s="381">
        <f t="shared" si="8"/>
        <v>750000000</v>
      </c>
      <c r="P103" s="8">
        <f t="shared" si="9"/>
        <v>0</v>
      </c>
      <c r="Q103" s="381">
        <f t="shared" si="10"/>
        <v>2.03917E+23</v>
      </c>
      <c r="R103">
        <f t="shared" si="11"/>
        <v>1098969412</v>
      </c>
      <c r="S103" s="471" t="str">
        <f t="shared" si="12"/>
        <v>+58,000,000</v>
      </c>
      <c r="T103" s="472"/>
      <c r="U103">
        <v>16.0</v>
      </c>
      <c r="V103" s="1">
        <v>6.0</v>
      </c>
      <c r="X103">
        <f t="shared" si="14"/>
        <v>2.03917E+20</v>
      </c>
      <c r="Y103" s="475" t="str">
        <f t="shared" si="15"/>
        <v>#VALUE!</v>
      </c>
      <c r="Z103" s="475">
        <f t="shared" si="16"/>
        <v>58069853.63</v>
      </c>
      <c r="AA103">
        <f t="shared" si="17"/>
        <v>58000000</v>
      </c>
      <c r="AB103" s="381">
        <f t="shared" si="27"/>
        <v>116069853.6</v>
      </c>
      <c r="AC103" s="8">
        <f t="shared" si="18"/>
        <v>4.54268E+22</v>
      </c>
      <c r="AD103" s="8">
        <f t="shared" si="19"/>
        <v>2.49344E+23</v>
      </c>
      <c r="AE103" s="70">
        <f t="shared" si="20"/>
        <v>1195599052</v>
      </c>
      <c r="AF103" s="478">
        <f t="shared" si="21"/>
        <v>1.472064178</v>
      </c>
      <c r="AG103" s="70">
        <f t="shared" si="22"/>
        <v>1</v>
      </c>
      <c r="AH103" s="8">
        <f t="shared" si="23"/>
        <v>0</v>
      </c>
      <c r="AI103">
        <f t="shared" si="24"/>
        <v>15</v>
      </c>
      <c r="AJ103" s="381">
        <f t="shared" si="25"/>
        <v>808000000</v>
      </c>
    </row>
    <row r="104">
      <c r="A104" s="5"/>
      <c r="B104" s="6">
        <f>1 +'2.9 Artifact Optimizer'!D187 *F271 ^ ((1 + ('2.9 Artifact Optimizer'!J187 - 1) * min(('2.9 Artifact Optimizer'!F187 * B19),'2.9 Artifact Optimizer'!E187)) ^ '2.9 Artifact Optimizer'!G187)</f>
        <v>256606455.7</v>
      </c>
      <c r="C104" s="6">
        <f>(1 + '2.9 Artifact Optimizer'!D187 * ($F271+$C$90) ^ ((1 + ('2.9 Artifact Optimizer'!J187 - 1) * min(('2.9 Artifact Optimizer'!F187 * ($F271+$C$90)), '2.9 Artifact Optimizer'!E187)) ^ '2.9 Artifact Optimizer'!G187))</f>
        <v>1212353528</v>
      </c>
      <c r="D104" s="439">
        <f>'2.9 Artifact Optimizer'!I187*F271^'2.9 Artifact Optimizer'!J187</f>
        <v>850808591203387</v>
      </c>
      <c r="E104" s="466">
        <f>'2.9 Artifact Optimizer'!I187*($F271+$E$90)^'2.9 Artifact Optimizer'!J187</f>
        <v>850808591203387</v>
      </c>
      <c r="F104" s="467">
        <f>('2.9 Artifact Optimizer'!H187*$F271*$B$100+$K$172)/($K$172)</f>
        <v>1.044916651</v>
      </c>
      <c r="G104" t="b">
        <f t="shared" si="4"/>
        <v>1</v>
      </c>
      <c r="H104" s="128">
        <f>'2.9 Artifact Optimizer'!H187*$F271</f>
        <v>163600000</v>
      </c>
      <c r="I104" s="294">
        <f t="shared" si="5"/>
        <v>2.57763E+23</v>
      </c>
      <c r="J104" s="468"/>
      <c r="K104" s="5"/>
      <c r="L104">
        <v>6.0</v>
      </c>
      <c r="M104" t="str">
        <f t="shared" si="6"/>
        <v/>
      </c>
      <c r="N104" t="str">
        <f t="shared" si="7"/>
        <v>Laborer's Pendant</v>
      </c>
      <c r="O104" s="381">
        <f t="shared" si="8"/>
        <v>540000000</v>
      </c>
      <c r="P104" s="8">
        <f t="shared" si="9"/>
        <v>0</v>
      </c>
      <c r="Q104" s="381">
        <f t="shared" si="10"/>
        <v>8.39945E+22</v>
      </c>
      <c r="R104">
        <f t="shared" si="11"/>
        <v>757836904.3</v>
      </c>
      <c r="S104" s="471" t="str">
        <f t="shared" si="12"/>
        <v>+41,800,000</v>
      </c>
      <c r="T104" s="472"/>
      <c r="U104">
        <v>2.0</v>
      </c>
      <c r="V104" s="1">
        <v>7.0</v>
      </c>
      <c r="X104">
        <f t="shared" si="14"/>
        <v>8.39945E+19</v>
      </c>
      <c r="Y104" s="475" t="str">
        <f t="shared" si="15"/>
        <v>#VALUE!</v>
      </c>
      <c r="Z104" s="475">
        <f t="shared" si="16"/>
        <v>41810316.29</v>
      </c>
      <c r="AA104">
        <f t="shared" si="17"/>
        <v>41800000</v>
      </c>
      <c r="AB104" s="381">
        <f t="shared" si="27"/>
        <v>83610316.29</v>
      </c>
      <c r="AC104" s="8">
        <f t="shared" si="18"/>
        <v>1.87306E+22</v>
      </c>
      <c r="AD104" s="8">
        <f t="shared" si="19"/>
        <v>1.02725E+23</v>
      </c>
      <c r="AE104" s="70">
        <f t="shared" si="20"/>
        <v>824535748.8</v>
      </c>
      <c r="AF104" s="478">
        <f t="shared" si="21"/>
        <v>1.340048979</v>
      </c>
      <c r="AG104" s="70">
        <f t="shared" si="22"/>
        <v>0.4</v>
      </c>
      <c r="AH104" s="8">
        <f t="shared" si="23"/>
        <v>0</v>
      </c>
      <c r="AI104">
        <f t="shared" si="24"/>
        <v>17</v>
      </c>
      <c r="AJ104" s="381">
        <f t="shared" si="25"/>
        <v>581800000</v>
      </c>
    </row>
    <row r="105">
      <c r="A105" s="5"/>
      <c r="B105" s="6">
        <f>1 +'2.9 Artifact Optimizer'!D188 *F272 ^ ((1 + ('2.9 Artifact Optimizer'!J188 - 1) * min(('2.9 Artifact Optimizer'!F188 * B20),'2.9 Artifact Optimizer'!E188)) ^ '2.9 Artifact Optimizer'!G188)</f>
        <v>240581695.5</v>
      </c>
      <c r="C105" s="6">
        <f>(1 + '2.9 Artifact Optimizer'!D188 * ($F272+$C$90) ^ ((1 + ('2.9 Artifact Optimizer'!J188 - 1) * min(('2.9 Artifact Optimizer'!F188 * ($F272+$C$90)), '2.9 Artifact Optimizer'!E188)) ^ '2.9 Artifact Optimizer'!G188))</f>
        <v>1402053332</v>
      </c>
      <c r="D105" s="439">
        <f>'2.9 Artifact Optimizer'!I188*F272^'2.9 Artifact Optimizer'!J188</f>
        <v>671507312420419</v>
      </c>
      <c r="E105" s="466">
        <f>'2.9 Artifact Optimizer'!I188*($F272+$E$90)^'2.9 Artifact Optimizer'!J188</f>
        <v>671507312420419</v>
      </c>
      <c r="F105" s="467">
        <f>('2.9 Artifact Optimizer'!H188*$F272*$B$100+$K$172)/($K$172)</f>
        <v>1.089229287</v>
      </c>
      <c r="G105" t="b">
        <f t="shared" si="4"/>
        <v>1</v>
      </c>
      <c r="H105" s="128">
        <f>'2.9 Artifact Optimizer'!H188*$F272</f>
        <v>325000000</v>
      </c>
      <c r="I105" s="294">
        <f t="shared" si="5"/>
        <v>1.61659E+23</v>
      </c>
      <c r="J105" s="468"/>
      <c r="K105" s="5"/>
      <c r="L105">
        <v>9.0</v>
      </c>
      <c r="M105" t="str">
        <f t="shared" si="6"/>
        <v/>
      </c>
      <c r="N105" t="str">
        <f t="shared" si="7"/>
        <v>Samosek Sword</v>
      </c>
      <c r="O105" s="381">
        <f t="shared" si="8"/>
        <v>95000000</v>
      </c>
      <c r="P105" s="8">
        <f t="shared" si="9"/>
        <v>0</v>
      </c>
      <c r="Q105" s="381">
        <f t="shared" si="10"/>
        <v>2.00054E+23</v>
      </c>
      <c r="R105">
        <f t="shared" si="11"/>
        <v>146455811.1</v>
      </c>
      <c r="S105" s="471" t="str">
        <f t="shared" si="12"/>
        <v>+9,500,000</v>
      </c>
      <c r="T105" s="472"/>
      <c r="U105">
        <v>5.0</v>
      </c>
      <c r="V105" s="1">
        <v>8.0</v>
      </c>
      <c r="X105">
        <f t="shared" si="14"/>
        <v>2.00054E+20</v>
      </c>
      <c r="Y105" s="475" t="str">
        <f t="shared" si="15"/>
        <v>#VALUE!</v>
      </c>
      <c r="Z105" s="475">
        <f t="shared" si="16"/>
        <v>9500099.999</v>
      </c>
      <c r="AA105">
        <f t="shared" si="17"/>
        <v>9500000</v>
      </c>
      <c r="AB105" s="381">
        <f t="shared" si="27"/>
        <v>19000100</v>
      </c>
      <c r="AC105" s="8">
        <f t="shared" si="18"/>
        <v>6.62179E+22</v>
      </c>
      <c r="AD105" s="8">
        <f t="shared" si="19"/>
        <v>2.66272E+23</v>
      </c>
      <c r="AE105" s="70">
        <f t="shared" si="20"/>
        <v>163404187.8</v>
      </c>
      <c r="AF105" s="478">
        <f t="shared" si="21"/>
        <v>1.193186825</v>
      </c>
      <c r="AG105" s="70">
        <f t="shared" si="22"/>
        <v>1</v>
      </c>
      <c r="AH105" s="8">
        <f t="shared" si="23"/>
        <v>0</v>
      </c>
      <c r="AI105">
        <f t="shared" si="24"/>
        <v>20</v>
      </c>
      <c r="AJ105" s="381">
        <f t="shared" si="25"/>
        <v>104500000</v>
      </c>
    </row>
    <row r="106">
      <c r="A106" s="5"/>
      <c r="B106" s="6">
        <f>1 +'2.9 Artifact Optimizer'!D189 *F273 ^ ((1 + ('2.9 Artifact Optimizer'!J189 - 1) * min(('2.9 Artifact Optimizer'!F189 * B21),'2.9 Artifact Optimizer'!E189)) ^ '2.9 Artifact Optimizer'!G189)</f>
        <v>306468.0384</v>
      </c>
      <c r="C106" s="6">
        <f>(1 + '2.9 Artifact Optimizer'!D189 * ($F273+$C$90) ^ ((1 + ('2.9 Artifact Optimizer'!J189 - 1) * min(('2.9 Artifact Optimizer'!F189 * ($F273+$C$90)), '2.9 Artifact Optimizer'!E189)) ^ '2.9 Artifact Optimizer'!G189))</f>
        <v>1987054.664</v>
      </c>
      <c r="D106" s="439">
        <f>'2.9 Artifact Optimizer'!I189*F273^'2.9 Artifact Optimizer'!J189</f>
        <v>22859855056</v>
      </c>
      <c r="E106" s="466">
        <f>'2.9 Artifact Optimizer'!I189*($F273+$E$90)^'2.9 Artifact Optimizer'!J189</f>
        <v>22859855056</v>
      </c>
      <c r="F106" s="467">
        <f>('2.9 Artifact Optimizer'!H189*$F273*$B$100+$K$172)/($K$172)</f>
        <v>1.000126019</v>
      </c>
      <c r="G106" t="b">
        <f t="shared" si="4"/>
        <v>0</v>
      </c>
      <c r="H106" s="128">
        <f>'2.9 Artifact Optimizer'!H189*$F273</f>
        <v>459000</v>
      </c>
      <c r="I106" s="294">
        <f t="shared" si="5"/>
        <v>1.29539E+16</v>
      </c>
      <c r="J106" s="468"/>
      <c r="K106" s="5"/>
      <c r="L106">
        <v>12.0</v>
      </c>
      <c r="M106" t="str">
        <f t="shared" si="6"/>
        <v/>
      </c>
      <c r="N106" t="str">
        <f t="shared" si="7"/>
        <v>Helheim Skull</v>
      </c>
      <c r="O106" s="381">
        <f t="shared" si="8"/>
        <v>86720000</v>
      </c>
      <c r="P106" s="8">
        <f t="shared" si="9"/>
        <v>0</v>
      </c>
      <c r="Q106" s="381">
        <f t="shared" si="10"/>
        <v>2.17388E+23</v>
      </c>
      <c r="R106">
        <f t="shared" si="11"/>
        <v>158265384.2</v>
      </c>
      <c r="S106" s="471" t="str">
        <f t="shared" si="12"/>
        <v>+8,600,000</v>
      </c>
      <c r="T106" s="472"/>
      <c r="U106">
        <v>8.0</v>
      </c>
      <c r="V106" s="1">
        <v>9.0</v>
      </c>
      <c r="X106">
        <f t="shared" si="14"/>
        <v>2.17388E+20</v>
      </c>
      <c r="Y106" s="475" t="str">
        <f t="shared" si="15"/>
        <v>#VALUE!</v>
      </c>
      <c r="Z106" s="475">
        <f t="shared" si="16"/>
        <v>8672099.999</v>
      </c>
      <c r="AA106">
        <f t="shared" si="17"/>
        <v>8600000</v>
      </c>
      <c r="AB106" s="381">
        <f t="shared" si="27"/>
        <v>17272100</v>
      </c>
      <c r="AC106" s="8">
        <f t="shared" si="18"/>
        <v>7.13009E+22</v>
      </c>
      <c r="AD106" s="8">
        <f t="shared" si="19"/>
        <v>2.88689E+23</v>
      </c>
      <c r="AE106" s="70">
        <f t="shared" si="20"/>
        <v>176427288.1</v>
      </c>
      <c r="AF106" s="478">
        <f t="shared" si="21"/>
        <v>1.351234168</v>
      </c>
      <c r="AG106" s="70">
        <f t="shared" si="22"/>
        <v>1</v>
      </c>
      <c r="AH106" s="8">
        <f t="shared" si="23"/>
        <v>0</v>
      </c>
      <c r="AI106">
        <f t="shared" si="24"/>
        <v>23</v>
      </c>
      <c r="AJ106" s="381">
        <f t="shared" si="25"/>
        <v>95320000</v>
      </c>
    </row>
    <row r="107">
      <c r="A107" s="5"/>
      <c r="B107" s="6">
        <f>1 +'2.9 Artifact Optimizer'!D190 *F274 ^ ((1 + ('2.9 Artifact Optimizer'!J190 - 1) * min(('2.9 Artifact Optimizer'!F190 * B22),'2.9 Artifact Optimizer'!E190)) ^ '2.9 Artifact Optimizer'!G190)</f>
        <v>22742351.88</v>
      </c>
      <c r="C107" s="6">
        <f>(1 + '2.9 Artifact Optimizer'!D190 * ($F274+$C$90) ^ ((1 + ('2.9 Artifact Optimizer'!J190 - 1) * min(('2.9 Artifact Optimizer'!F190 * ($F274+$C$90)), '2.9 Artifact Optimizer'!E190)) ^ '2.9 Artifact Optimizer'!G190))</f>
        <v>224903801.8</v>
      </c>
      <c r="D107" s="439">
        <f>'2.9 Artifact Optimizer'!I190*F274^'2.9 Artifact Optimizer'!J190</f>
        <v>27867501938745</v>
      </c>
      <c r="E107" s="466">
        <f>'2.9 Artifact Optimizer'!I190*($F274+$E$90)^'2.9 Artifact Optimizer'!J190</f>
        <v>27867501938745</v>
      </c>
      <c r="F107" s="467">
        <f>('2.9 Artifact Optimizer'!H190*$F274*$B$100+$K$172)/($K$172)</f>
        <v>1.00823655</v>
      </c>
      <c r="G107" t="b">
        <f t="shared" si="4"/>
        <v>0</v>
      </c>
      <c r="H107" s="128">
        <f>'2.9 Artifact Optimizer'!H190*$F274</f>
        <v>30000000</v>
      </c>
      <c r="I107" s="294">
        <f t="shared" si="5"/>
        <v>1.03213E+21</v>
      </c>
      <c r="J107" s="468"/>
      <c r="K107" s="5"/>
      <c r="L107">
        <v>15.0</v>
      </c>
      <c r="M107" t="str">
        <f t="shared" si="6"/>
        <v/>
      </c>
      <c r="N107" t="str">
        <f t="shared" si="7"/>
        <v>Blade of Damocles</v>
      </c>
      <c r="O107" s="381">
        <f t="shared" si="8"/>
        <v>100000000</v>
      </c>
      <c r="P107" s="8">
        <f t="shared" si="9"/>
        <v>0</v>
      </c>
      <c r="Q107" s="381">
        <f t="shared" si="10"/>
        <v>2.16667E+23</v>
      </c>
      <c r="R107">
        <f t="shared" si="11"/>
        <v>124276846.6</v>
      </c>
      <c r="S107" s="471" t="str">
        <f t="shared" si="12"/>
        <v>+10,000,000</v>
      </c>
      <c r="T107" s="472"/>
      <c r="U107">
        <v>11.0</v>
      </c>
      <c r="V107" s="1">
        <v>10.0</v>
      </c>
      <c r="X107">
        <f t="shared" si="14"/>
        <v>2.16667E+20</v>
      </c>
      <c r="Y107" s="475" t="str">
        <f t="shared" si="15"/>
        <v>#VALUE!</v>
      </c>
      <c r="Z107" s="475">
        <f t="shared" si="16"/>
        <v>10000100</v>
      </c>
      <c r="AA107">
        <f t="shared" si="17"/>
        <v>10000000</v>
      </c>
      <c r="AB107" s="381">
        <f t="shared" si="27"/>
        <v>20000100</v>
      </c>
      <c r="AC107" s="8">
        <f t="shared" si="18"/>
        <v>7.17167E+22</v>
      </c>
      <c r="AD107" s="8">
        <f t="shared" si="19"/>
        <v>2.88383E+23</v>
      </c>
      <c r="AE107" s="70">
        <f t="shared" si="20"/>
        <v>138658596.3</v>
      </c>
      <c r="AF107" s="478">
        <f t="shared" si="21"/>
        <v>1.203354499</v>
      </c>
      <c r="AG107" s="70">
        <f t="shared" si="22"/>
        <v>1</v>
      </c>
      <c r="AH107" s="8">
        <f t="shared" si="23"/>
        <v>0</v>
      </c>
      <c r="AI107">
        <f t="shared" si="24"/>
        <v>23</v>
      </c>
      <c r="AJ107" s="381">
        <f t="shared" si="25"/>
        <v>110000000</v>
      </c>
    </row>
    <row r="108">
      <c r="A108" s="5"/>
      <c r="B108" s="6">
        <f>1 +'2.9 Artifact Optimizer'!D191 *F275 ^ ((1 + ('2.9 Artifact Optimizer'!J191 - 1) * min(('2.9 Artifact Optimizer'!F191 * B23),'2.9 Artifact Optimizer'!E191)) ^ '2.9 Artifact Optimizer'!G191)</f>
        <v>371030641.4</v>
      </c>
      <c r="C108" s="6">
        <f>(1 + '2.9 Artifact Optimizer'!D191 * ($F275+$C$90) ^ ((1 + ('2.9 Artifact Optimizer'!J191 - 1) * min(('2.9 Artifact Optimizer'!F191 * ($F275+$C$90)), '2.9 Artifact Optimizer'!E191)) ^ '2.9 Artifact Optimizer'!G191))</f>
        <v>2032900314</v>
      </c>
      <c r="D108" s="439">
        <f>'2.9 Artifact Optimizer'!I191*F275^'2.9 Artifact Optimizer'!J191</f>
        <v>761666242864466</v>
      </c>
      <c r="E108" s="466">
        <f>'2.9 Artifact Optimizer'!I191*($F275+$E$90)^'2.9 Artifact Optimizer'!J191</f>
        <v>761666242864466</v>
      </c>
      <c r="F108" s="467">
        <f>('2.9 Artifact Optimizer'!H191*$F275*$B$100+$K$172)/($K$172)</f>
        <v>1.057655847</v>
      </c>
      <c r="G108" t="b">
        <f t="shared" si="4"/>
        <v>1</v>
      </c>
      <c r="H108" s="128">
        <f>'2.9 Artifact Optimizer'!H191*$F275</f>
        <v>210000000</v>
      </c>
      <c r="I108" s="294">
        <f t="shared" si="5"/>
        <v>1.97469E+23</v>
      </c>
      <c r="J108" s="468"/>
      <c r="K108" s="5"/>
      <c r="L108">
        <v>18.0</v>
      </c>
      <c r="M108" t="str">
        <f t="shared" si="6"/>
        <v/>
      </c>
      <c r="N108" t="str">
        <f t="shared" si="7"/>
        <v>Apollo Orb</v>
      </c>
      <c r="O108" s="381">
        <f t="shared" si="8"/>
        <v>36000000</v>
      </c>
      <c r="P108" s="8">
        <f t="shared" si="9"/>
        <v>0</v>
      </c>
      <c r="Q108" s="381">
        <f t="shared" si="10"/>
        <v>3.3122E+23</v>
      </c>
      <c r="R108">
        <f t="shared" si="11"/>
        <v>15507113.82</v>
      </c>
      <c r="S108" s="471" t="str">
        <f t="shared" si="12"/>
        <v>+4,100,000</v>
      </c>
      <c r="T108" s="472"/>
      <c r="U108">
        <v>14.0</v>
      </c>
      <c r="V108" s="1">
        <f t="shared" ref="V108:V136" si="28">V107+1</f>
        <v>11</v>
      </c>
      <c r="X108">
        <f t="shared" si="14"/>
        <v>3.3122E+20</v>
      </c>
      <c r="Y108" s="475" t="str">
        <f t="shared" si="15"/>
        <v>#VALUE!</v>
      </c>
      <c r="Z108" s="475">
        <f t="shared" si="16"/>
        <v>4157330.62</v>
      </c>
      <c r="AA108">
        <f t="shared" si="17"/>
        <v>4100000</v>
      </c>
      <c r="AB108" s="381">
        <f t="shared" si="27"/>
        <v>8257330.62</v>
      </c>
      <c r="AC108" s="8">
        <f t="shared" si="18"/>
        <v>1.36526E+23</v>
      </c>
      <c r="AD108" s="8">
        <f t="shared" si="19"/>
        <v>4.67746E+23</v>
      </c>
      <c r="AE108" s="70">
        <f t="shared" si="20"/>
        <v>17605055.66</v>
      </c>
      <c r="AF108" s="478">
        <f t="shared" si="21"/>
        <v>1.083957847</v>
      </c>
      <c r="AG108" s="70">
        <f t="shared" si="22"/>
        <v>1.58</v>
      </c>
      <c r="AH108" s="8">
        <f t="shared" si="23"/>
        <v>0</v>
      </c>
      <c r="AI108">
        <f t="shared" si="24"/>
        <v>25</v>
      </c>
      <c r="AJ108" s="381">
        <f t="shared" si="25"/>
        <v>40100000</v>
      </c>
    </row>
    <row r="109">
      <c r="A109" s="5"/>
      <c r="B109" s="6">
        <f>1 +'2.9 Artifact Optimizer'!D192 *F276 ^ ((1 + ('2.9 Artifact Optimizer'!J192 - 1) * min(('2.9 Artifact Optimizer'!F192 * B24),'2.9 Artifact Optimizer'!E192)) ^ '2.9 Artifact Optimizer'!G192)</f>
        <v>339235902.6</v>
      </c>
      <c r="C109" s="6">
        <f>(1 + '2.9 Artifact Optimizer'!D192 * ($F276+$C$90) ^ ((1 + ('2.9 Artifact Optimizer'!J192 - 1) * min(('2.9 Artifact Optimizer'!F192 * ($F276+$C$90)), '2.9 Artifact Optimizer'!E192)) ^ '2.9 Artifact Optimizer'!G192))</f>
        <v>1931344928</v>
      </c>
      <c r="D109" s="439">
        <f>'2.9 Artifact Optimizer'!I192*F276^'2.9 Artifact Optimizer'!J192</f>
        <v>705216459818373</v>
      </c>
      <c r="E109" s="466">
        <f>'2.9 Artifact Optimizer'!I192*($F276+$E$90)^'2.9 Artifact Optimizer'!J192</f>
        <v>705216459818373</v>
      </c>
      <c r="F109" s="467">
        <f>('2.9 Artifact Optimizer'!H192*$F276*$B$100+$K$172)/($K$172)</f>
        <v>1.055102517</v>
      </c>
      <c r="G109" t="b">
        <f t="shared" si="4"/>
        <v>1</v>
      </c>
      <c r="H109" s="128">
        <f>'2.9 Artifact Optimizer'!H192*$F276</f>
        <v>200700000</v>
      </c>
      <c r="I109" s="294">
        <f t="shared" si="5"/>
        <v>1.74737E+23</v>
      </c>
      <c r="J109" s="468"/>
      <c r="K109" s="5"/>
      <c r="L109">
        <v>19.0</v>
      </c>
      <c r="M109" t="str">
        <f t="shared" si="6"/>
        <v/>
      </c>
      <c r="N109" t="str">
        <f t="shared" si="7"/>
        <v>Titan's Mask</v>
      </c>
      <c r="O109" s="381">
        <f t="shared" si="8"/>
        <v>845000000</v>
      </c>
      <c r="P109" s="8">
        <f t="shared" si="9"/>
        <v>0</v>
      </c>
      <c r="Q109" s="381">
        <f t="shared" si="10"/>
        <v>2.81385E+23</v>
      </c>
      <c r="R109">
        <f t="shared" si="11"/>
        <v>1257724330</v>
      </c>
      <c r="S109" s="471" t="str">
        <f t="shared" si="12"/>
        <v>+65,400,000</v>
      </c>
      <c r="T109" s="472"/>
      <c r="U109">
        <v>17.0</v>
      </c>
      <c r="V109" s="1">
        <f t="shared" si="28"/>
        <v>12</v>
      </c>
      <c r="X109">
        <f t="shared" si="14"/>
        <v>2.81385E+20</v>
      </c>
      <c r="Y109" s="475" t="str">
        <f t="shared" si="15"/>
        <v>#VALUE!</v>
      </c>
      <c r="Z109" s="475">
        <f t="shared" si="16"/>
        <v>65425358.61</v>
      </c>
      <c r="AA109">
        <f t="shared" si="17"/>
        <v>65400000</v>
      </c>
      <c r="AB109" s="381">
        <f t="shared" si="27"/>
        <v>130825358.6</v>
      </c>
      <c r="AC109" s="8">
        <f t="shared" si="18"/>
        <v>6.27389E+22</v>
      </c>
      <c r="AD109" s="8">
        <f t="shared" si="19"/>
        <v>3.44124E+23</v>
      </c>
      <c r="AE109" s="70">
        <f t="shared" si="20"/>
        <v>1368403588</v>
      </c>
      <c r="AF109" s="478">
        <f t="shared" si="21"/>
        <v>1.532075844</v>
      </c>
      <c r="AG109" s="70">
        <f t="shared" si="22"/>
        <v>1</v>
      </c>
      <c r="AH109" s="8">
        <f t="shared" si="23"/>
        <v>0</v>
      </c>
      <c r="AI109">
        <f t="shared" si="24"/>
        <v>24</v>
      </c>
      <c r="AJ109" s="381">
        <f t="shared" si="25"/>
        <v>910400000</v>
      </c>
    </row>
    <row r="110">
      <c r="A110" s="5"/>
      <c r="B110" s="6">
        <f>1 +'2.9 Artifact Optimizer'!D193 *F277 ^ ((1 + ('2.9 Artifact Optimizer'!J193 - 1) * min(('2.9 Artifact Optimizer'!F193 * B25),'2.9 Artifact Optimizer'!E193)) ^ '2.9 Artifact Optimizer'!G193)</f>
        <v>803412.9831</v>
      </c>
      <c r="C110" s="6">
        <f>(1 + '2.9 Artifact Optimizer'!D193 * ($F277+$C$90) ^ ((1 + ('2.9 Artifact Optimizer'!J193 - 1) * min(('2.9 Artifact Optimizer'!F193 * ($F277+$C$90)), '2.9 Artifact Optimizer'!E193)) ^ '2.9 Artifact Optimizer'!G193))</f>
        <v>5893975.046</v>
      </c>
      <c r="D110" s="439">
        <f>'2.9 Artifact Optimizer'!I193*F277^'2.9 Artifact Optimizer'!J193</f>
        <v>117111629890</v>
      </c>
      <c r="E110" s="466">
        <f>'2.9 Artifact Optimizer'!I193*($F277+$E$90)^'2.9 Artifact Optimizer'!J193</f>
        <v>117111629890</v>
      </c>
      <c r="F110" s="467">
        <f>('2.9 Artifact Optimizer'!H193*$F277*$B$100+$K$172)/($K$172)</f>
        <v>1.000329462</v>
      </c>
      <c r="G110" t="b">
        <f t="shared" si="4"/>
        <v>0</v>
      </c>
      <c r="H110" s="128">
        <f>'2.9 Artifact Optimizer'!H193*$F277</f>
        <v>1200000</v>
      </c>
      <c r="I110" s="294">
        <f t="shared" si="5"/>
        <v>1.73499E+17</v>
      </c>
      <c r="J110" s="468"/>
      <c r="K110" s="5"/>
      <c r="L110">
        <v>20.0</v>
      </c>
      <c r="M110" t="str">
        <f t="shared" si="6"/>
        <v/>
      </c>
      <c r="N110" t="str">
        <f t="shared" si="7"/>
        <v>Book of Prophecy</v>
      </c>
      <c r="O110" s="381">
        <f t="shared" si="8"/>
        <v>31000000</v>
      </c>
      <c r="P110" s="8">
        <f t="shared" si="9"/>
        <v>0</v>
      </c>
      <c r="Q110" s="381">
        <f t="shared" si="10"/>
        <v>2.05261E+23</v>
      </c>
      <c r="R110">
        <f t="shared" si="11"/>
        <v>259815370.3</v>
      </c>
      <c r="S110" s="471" t="str">
        <f t="shared" si="12"/>
        <v>+3,500,000</v>
      </c>
      <c r="T110" s="472"/>
      <c r="U110">
        <v>3.0</v>
      </c>
      <c r="V110" s="1">
        <f t="shared" si="28"/>
        <v>13</v>
      </c>
      <c r="X110">
        <f t="shared" si="14"/>
        <v>2.05261E+20</v>
      </c>
      <c r="Y110" s="475" t="str">
        <f t="shared" si="15"/>
        <v>#VALUE!</v>
      </c>
      <c r="Z110" s="475">
        <f t="shared" si="16"/>
        <v>3579939.627</v>
      </c>
      <c r="AA110">
        <f t="shared" si="17"/>
        <v>3500000</v>
      </c>
      <c r="AB110" s="381">
        <f t="shared" si="27"/>
        <v>7079939.627</v>
      </c>
      <c r="AC110" s="8">
        <f t="shared" si="18"/>
        <v>8.37869E+22</v>
      </c>
      <c r="AD110" s="8">
        <f t="shared" si="19"/>
        <v>2.89047E+23</v>
      </c>
      <c r="AE110" s="70">
        <f t="shared" si="20"/>
        <v>295925716.3</v>
      </c>
      <c r="AF110" s="478">
        <f t="shared" si="21"/>
        <v>1.043191911</v>
      </c>
      <c r="AG110" s="70">
        <f t="shared" si="22"/>
        <v>0.79</v>
      </c>
      <c r="AH110" s="8">
        <f t="shared" si="23"/>
        <v>0</v>
      </c>
      <c r="AI110">
        <f t="shared" si="24"/>
        <v>26</v>
      </c>
      <c r="AJ110" s="381">
        <f t="shared" si="25"/>
        <v>34500000</v>
      </c>
    </row>
    <row r="111">
      <c r="A111" s="5"/>
      <c r="B111" s="6">
        <f>1 +'2.9 Artifact Optimizer'!D194 *F278 ^ ((1 + ('2.9 Artifact Optimizer'!J194 - 1) * min(('2.9 Artifact Optimizer'!F194 * B26),'2.9 Artifact Optimizer'!E194)) ^ '2.9 Artifact Optimizer'!G194)</f>
        <v>401829.1078</v>
      </c>
      <c r="C111" s="6">
        <f>(1 + '2.9 Artifact Optimizer'!D194 * ($F278+$C$90) ^ ((1 + ('2.9 Artifact Optimizer'!J194 - 1) * min(('2.9 Artifact Optimizer'!F194 * ($F278+$C$90)), '2.9 Artifact Optimizer'!E194)) ^ '2.9 Artifact Optimizer'!G194))</f>
        <v>6481310.017</v>
      </c>
      <c r="D111" s="439">
        <f>'2.9 Artifact Optimizer'!I194*F278^'2.9 Artifact Optimizer'!J194</f>
        <v>11200000000000</v>
      </c>
      <c r="E111" s="466">
        <f>'2.9 Artifact Optimizer'!I194*($F278+$E$90)^'2.9 Artifact Optimizer'!J194</f>
        <v>11200000000000</v>
      </c>
      <c r="F111" s="467">
        <f>('2.9 Artifact Optimizer'!H194*$F278*$B$100+$K$172)/($K$172)</f>
        <v>1.000549103</v>
      </c>
      <c r="G111" t="b">
        <f t="shared" si="4"/>
        <v>1</v>
      </c>
      <c r="H111" s="128">
        <f>'2.9 Artifact Optimizer'!H194*$F278</f>
        <v>2000000</v>
      </c>
      <c r="I111" s="294">
        <f t="shared" si="5"/>
        <v>1.49333E+19</v>
      </c>
      <c r="J111" s="468"/>
      <c r="K111" s="5"/>
      <c r="L111">
        <v>21.0</v>
      </c>
      <c r="M111" t="str">
        <f t="shared" si="6"/>
        <v/>
      </c>
      <c r="N111" t="str">
        <f t="shared" si="7"/>
        <v>Parchment of Foresight</v>
      </c>
      <c r="O111" s="381">
        <f t="shared" si="8"/>
        <v>670000000</v>
      </c>
      <c r="P111" s="8">
        <f t="shared" si="9"/>
        <v>0</v>
      </c>
      <c r="Q111" s="381">
        <f t="shared" si="10"/>
        <v>1.5038E+23</v>
      </c>
      <c r="R111">
        <f t="shared" si="11"/>
        <v>967305709.6</v>
      </c>
      <c r="S111" s="471" t="str">
        <f t="shared" si="12"/>
        <v>+51,800,000</v>
      </c>
      <c r="T111" s="472"/>
      <c r="U111">
        <v>6.0</v>
      </c>
      <c r="V111" s="1">
        <f t="shared" si="28"/>
        <v>14</v>
      </c>
      <c r="X111">
        <f t="shared" si="14"/>
        <v>1.5038E+20</v>
      </c>
      <c r="Y111" s="475" t="str">
        <f t="shared" si="15"/>
        <v>#VALUE!</v>
      </c>
      <c r="Z111" s="475">
        <f t="shared" si="16"/>
        <v>51875744.17</v>
      </c>
      <c r="AA111">
        <f t="shared" si="17"/>
        <v>51800000</v>
      </c>
      <c r="AB111" s="381">
        <f t="shared" si="27"/>
        <v>103675744.2</v>
      </c>
      <c r="AC111" s="8">
        <f t="shared" si="18"/>
        <v>3.34911E+22</v>
      </c>
      <c r="AD111" s="8">
        <f t="shared" si="19"/>
        <v>1.83871E+23</v>
      </c>
      <c r="AE111" s="70">
        <f t="shared" si="20"/>
        <v>1052336495</v>
      </c>
      <c r="AF111" s="478">
        <f t="shared" si="21"/>
        <v>1.421656472</v>
      </c>
      <c r="AG111" s="70">
        <f t="shared" si="22"/>
        <v>0.5</v>
      </c>
      <c r="AH111" s="8">
        <f t="shared" si="23"/>
        <v>0</v>
      </c>
      <c r="AI111">
        <f t="shared" si="24"/>
        <v>25</v>
      </c>
      <c r="AJ111" s="381">
        <f t="shared" si="25"/>
        <v>721800000</v>
      </c>
    </row>
    <row r="112">
      <c r="A112" s="5"/>
      <c r="B112" s="6">
        <f>1 +'2.9 Artifact Optimizer'!D195 *F279 ^ ((1 + ('2.9 Artifact Optimizer'!J195 - 1) * min(('2.9 Artifact Optimizer'!F195 * B27),'2.9 Artifact Optimizer'!E195)) ^ '2.9 Artifact Optimizer'!G195)</f>
        <v>140581175.8</v>
      </c>
      <c r="C112" s="6">
        <f>(1 + '2.9 Artifact Optimizer'!D195 * ($F279+$C$90) ^ ((1 + ('2.9 Artifact Optimizer'!J195 - 1) * min(('2.9 Artifact Optimizer'!F195 * ($F279+$C$90)), '2.9 Artifact Optimizer'!E195)) ^ '2.9 Artifact Optimizer'!G195))</f>
        <v>991842586.9</v>
      </c>
      <c r="D112" s="439">
        <f>'2.9 Artifact Optimizer'!I195*F279^'2.9 Artifact Optimizer'!J195</f>
        <v>734128376891063</v>
      </c>
      <c r="E112" s="466">
        <f>'2.9 Artifact Optimizer'!I195*($F279+$E$90)^'2.9 Artifact Optimizer'!J195</f>
        <v>734128376891063</v>
      </c>
      <c r="F112" s="467">
        <f>('2.9 Artifact Optimizer'!H195*$F279*$B$100+$K$172)/($K$172)</f>
        <v>1.094033941</v>
      </c>
      <c r="G112" t="b">
        <f t="shared" si="4"/>
        <v>1</v>
      </c>
      <c r="H112" s="128">
        <f>'2.9 Artifact Optimizer'!H195*$F279</f>
        <v>342500000</v>
      </c>
      <c r="I112" s="294">
        <f t="shared" si="5"/>
        <v>1.86251E+23</v>
      </c>
      <c r="J112" s="468"/>
      <c r="K112" s="5"/>
      <c r="L112">
        <v>22.0</v>
      </c>
      <c r="M112" t="str">
        <f t="shared" si="6"/>
        <v/>
      </c>
      <c r="N112" t="str">
        <f t="shared" si="7"/>
        <v>Titanium Plating</v>
      </c>
      <c r="O112" s="381">
        <f t="shared" si="8"/>
        <v>100000000</v>
      </c>
      <c r="P112" s="8">
        <f t="shared" si="9"/>
        <v>0</v>
      </c>
      <c r="Q112" s="381">
        <f t="shared" si="10"/>
        <v>2.16667E+23</v>
      </c>
      <c r="R112">
        <f t="shared" si="11"/>
        <v>124276846.6</v>
      </c>
      <c r="S112" s="471" t="str">
        <f t="shared" si="12"/>
        <v>+10,000,000</v>
      </c>
      <c r="T112" s="472"/>
      <c r="U112">
        <v>9.0</v>
      </c>
      <c r="V112" s="1">
        <f t="shared" si="28"/>
        <v>15</v>
      </c>
      <c r="X112">
        <f t="shared" si="14"/>
        <v>2.16667E+20</v>
      </c>
      <c r="Y112" s="475" t="str">
        <f t="shared" si="15"/>
        <v>#VALUE!</v>
      </c>
      <c r="Z112" s="475">
        <f t="shared" si="16"/>
        <v>10000100</v>
      </c>
      <c r="AA112">
        <f t="shared" si="17"/>
        <v>10000000</v>
      </c>
      <c r="AB112" s="381">
        <f t="shared" si="27"/>
        <v>20000100</v>
      </c>
      <c r="AC112" s="8">
        <f t="shared" si="18"/>
        <v>7.17167E+22</v>
      </c>
      <c r="AD112" s="8">
        <f t="shared" si="19"/>
        <v>2.88383E+23</v>
      </c>
      <c r="AE112" s="70">
        <f t="shared" si="20"/>
        <v>138658596.3</v>
      </c>
      <c r="AF112" s="478">
        <f t="shared" si="21"/>
        <v>1.203354499</v>
      </c>
      <c r="AG112" s="70">
        <f t="shared" si="22"/>
        <v>0.79</v>
      </c>
      <c r="AH112" s="8">
        <f t="shared" si="23"/>
        <v>0</v>
      </c>
      <c r="AI112">
        <f t="shared" si="24"/>
        <v>26</v>
      </c>
      <c r="AJ112" s="381">
        <f t="shared" si="25"/>
        <v>110000000</v>
      </c>
    </row>
    <row r="113">
      <c r="A113" s="5"/>
      <c r="B113" s="6">
        <f>1 +'2.9 Artifact Optimizer'!D196 *F280 ^ ((1 + ('2.9 Artifact Optimizer'!J196 - 1) * min(('2.9 Artifact Optimizer'!F196 * B28),'2.9 Artifact Optimizer'!E196)) ^ '2.9 Artifact Optimizer'!G196)</f>
        <v>42884189.67</v>
      </c>
      <c r="C113" s="6">
        <f>(1 + '2.9 Artifact Optimizer'!D196 * ($F280+$C$90) ^ ((1 + ('2.9 Artifact Optimizer'!J196 - 1) * min(('2.9 Artifact Optimizer'!F196 * ($F280+$C$90)), '2.9 Artifact Optimizer'!E196)) ^ '2.9 Artifact Optimizer'!G196))</f>
        <v>553077799.4</v>
      </c>
      <c r="D113" s="439">
        <f>'2.9 Artifact Optimizer'!I196*F280^'2.9 Artifact Optimizer'!J196</f>
        <v>1.28561E+15</v>
      </c>
      <c r="E113" s="466">
        <f>'2.9 Artifact Optimizer'!I196*($F280+$E$90)^'2.9 Artifact Optimizer'!J196</f>
        <v>1.28561E+15</v>
      </c>
      <c r="F113" s="467">
        <f>('2.9 Artifact Optimizer'!H196*$F280*$B$100+$K$172)/($K$172)</f>
        <v>1.0414573</v>
      </c>
      <c r="G113" t="b">
        <f t="shared" si="4"/>
        <v>1</v>
      </c>
      <c r="H113" s="128">
        <f>'2.9 Artifact Optimizer'!H196*$F280</f>
        <v>151000000</v>
      </c>
      <c r="I113" s="294">
        <f t="shared" si="5"/>
        <v>1.38663E+23</v>
      </c>
      <c r="J113" s="468"/>
      <c r="K113" s="5"/>
      <c r="L113">
        <v>23.0</v>
      </c>
      <c r="M113" t="str">
        <f t="shared" si="6"/>
        <v/>
      </c>
      <c r="N113" t="str">
        <f t="shared" si="7"/>
        <v>Heavenly Sword</v>
      </c>
      <c r="O113" s="381">
        <f t="shared" si="8"/>
        <v>33660000</v>
      </c>
      <c r="P113" s="8">
        <f t="shared" si="9"/>
        <v>0</v>
      </c>
      <c r="Q113" s="381">
        <f t="shared" si="10"/>
        <v>2.67124E+23</v>
      </c>
      <c r="R113">
        <f t="shared" si="11"/>
        <v>71795883.85</v>
      </c>
      <c r="S113" s="471" t="str">
        <f t="shared" si="12"/>
        <v>+3,800,000</v>
      </c>
      <c r="T113" s="472"/>
      <c r="U113">
        <v>12.0</v>
      </c>
      <c r="V113" s="1">
        <f t="shared" si="28"/>
        <v>16</v>
      </c>
      <c r="X113">
        <f t="shared" si="14"/>
        <v>2.67124E+20</v>
      </c>
      <c r="Y113" s="475" t="str">
        <f t="shared" si="15"/>
        <v>#VALUE!</v>
      </c>
      <c r="Z113" s="475">
        <f t="shared" si="16"/>
        <v>3887111.635</v>
      </c>
      <c r="AA113">
        <f t="shared" si="17"/>
        <v>3800000</v>
      </c>
      <c r="AB113" s="381">
        <f t="shared" si="27"/>
        <v>7687111.635</v>
      </c>
      <c r="AC113" s="8">
        <f t="shared" si="18"/>
        <v>1.09029E+23</v>
      </c>
      <c r="AD113" s="8">
        <f t="shared" si="19"/>
        <v>3.76153E+23</v>
      </c>
      <c r="AE113" s="70">
        <f t="shared" si="20"/>
        <v>81773552.21</v>
      </c>
      <c r="AF113" s="478">
        <f t="shared" si="21"/>
        <v>1.156320092</v>
      </c>
      <c r="AG113" s="70">
        <f t="shared" si="22"/>
        <v>1</v>
      </c>
      <c r="AH113" s="8">
        <f t="shared" si="23"/>
        <v>0</v>
      </c>
      <c r="AI113">
        <f t="shared" si="24"/>
        <v>26</v>
      </c>
      <c r="AJ113" s="381">
        <f t="shared" si="25"/>
        <v>37460000</v>
      </c>
    </row>
    <row r="114">
      <c r="A114" s="5"/>
      <c r="B114" s="6">
        <f>1 +'2.9 Artifact Optimizer'!D197 *F281 ^ ((1 + ('2.9 Artifact Optimizer'!J197 - 1) * min(('2.9 Artifact Optimizer'!F197 * B29),'2.9 Artifact Optimizer'!E197)) ^ '2.9 Artifact Optimizer'!G197)</f>
        <v>273532.2957</v>
      </c>
      <c r="C114" s="6">
        <f>(1 + '2.9 Artifact Optimizer'!D197 * ($F281+$C$90) ^ ((1 + ('2.9 Artifact Optimizer'!J197 - 1) * min(('2.9 Artifact Optimizer'!F197 * ($F281+$C$90)), '2.9 Artifact Optimizer'!E197)) ^ '2.9 Artifact Optimizer'!G197))</f>
        <v>5770209.072</v>
      </c>
      <c r="D114" s="439">
        <f>'2.9 Artifact Optimizer'!I197*F281^'2.9 Artifact Optimizer'!J197</f>
        <v>6.19385E+16</v>
      </c>
      <c r="E114" s="466">
        <f>'2.9 Artifact Optimizer'!I197*($F281+$E$90)^'2.9 Artifact Optimizer'!J197</f>
        <v>6.19385E+16</v>
      </c>
      <c r="F114" s="467">
        <f>('2.9 Artifact Optimizer'!H197*$F281*$B$100+$K$172)/($K$172)</f>
        <v>1.006929684</v>
      </c>
      <c r="G114" t="b">
        <f t="shared" si="4"/>
        <v>1</v>
      </c>
      <c r="H114" s="128">
        <f>'2.9 Artifact Optimizer'!H197*$F281</f>
        <v>25240000</v>
      </c>
      <c r="I114" s="294">
        <f t="shared" si="5"/>
        <v>9.7708E+23</v>
      </c>
      <c r="J114" s="468"/>
      <c r="K114" s="5"/>
      <c r="L114">
        <v>24.0</v>
      </c>
      <c r="M114" t="str">
        <f t="shared" si="6"/>
        <v/>
      </c>
      <c r="N114" t="str">
        <f t="shared" si="7"/>
        <v>Hero's Blade</v>
      </c>
      <c r="O114" s="381">
        <f t="shared" si="8"/>
        <v>650000000</v>
      </c>
      <c r="P114" s="8">
        <f t="shared" si="9"/>
        <v>0</v>
      </c>
      <c r="Q114" s="381">
        <f t="shared" si="10"/>
        <v>1.61659E+23</v>
      </c>
      <c r="R114">
        <f t="shared" si="11"/>
        <v>1402053332</v>
      </c>
      <c r="S114" s="471" t="str">
        <f t="shared" si="12"/>
        <v>+50,300,000</v>
      </c>
      <c r="T114" s="472"/>
      <c r="U114">
        <v>15.0</v>
      </c>
      <c r="V114" s="1">
        <f t="shared" si="28"/>
        <v>17</v>
      </c>
      <c r="X114">
        <f t="shared" si="14"/>
        <v>1.61659E+20</v>
      </c>
      <c r="Y114" s="475" t="str">
        <f t="shared" si="15"/>
        <v>#VALUE!</v>
      </c>
      <c r="Z114" s="475">
        <f t="shared" si="16"/>
        <v>50327216.8</v>
      </c>
      <c r="AA114">
        <f t="shared" si="17"/>
        <v>50300000</v>
      </c>
      <c r="AB114" s="381">
        <f t="shared" si="27"/>
        <v>100627216.8</v>
      </c>
      <c r="AC114" s="8">
        <f t="shared" si="18"/>
        <v>3.60384E+22</v>
      </c>
      <c r="AD114" s="8">
        <f t="shared" si="19"/>
        <v>1.97698E+23</v>
      </c>
      <c r="AE114" s="70">
        <f t="shared" si="20"/>
        <v>1525414530</v>
      </c>
      <c r="AF114" s="478">
        <f t="shared" si="21"/>
        <v>2.023144746</v>
      </c>
      <c r="AG114" s="70">
        <f t="shared" si="22"/>
        <v>0.5</v>
      </c>
      <c r="AH114" s="8">
        <f t="shared" si="23"/>
        <v>0</v>
      </c>
      <c r="AI114">
        <f t="shared" si="24"/>
        <v>25</v>
      </c>
      <c r="AJ114" s="381">
        <f t="shared" si="25"/>
        <v>700300000</v>
      </c>
    </row>
    <row r="115">
      <c r="A115" s="5"/>
      <c r="B115" s="6">
        <f>1 +'2.9 Artifact Optimizer'!D198 *F282 ^ ((1 + ('2.9 Artifact Optimizer'!J198 - 1) * min(('2.9 Artifact Optimizer'!F198 * B30),'2.9 Artifact Optimizer'!E198)) ^ '2.9 Artifact Optimizer'!G198)</f>
        <v>761685.9649</v>
      </c>
      <c r="C115" s="6">
        <f>(1 + '2.9 Artifact Optimizer'!D198 * ($F282+$C$90) ^ ((1 + ('2.9 Artifact Optimizer'!J198 - 1) * min(('2.9 Artifact Optimizer'!F198 * ($F282+$C$90)), '2.9 Artifact Optimizer'!E198)) ^ '2.9 Artifact Optimizer'!G198))</f>
        <v>15507113.82</v>
      </c>
      <c r="D115" s="439">
        <f>'2.9 Artifact Optimizer'!I198*F282^'2.9 Artifact Optimizer'!J198</f>
        <v>2.94417E+16</v>
      </c>
      <c r="E115" s="466">
        <f>'2.9 Artifact Optimizer'!I198*($F282+$E$90)^'2.9 Artifact Optimizer'!J198</f>
        <v>2.94417E+16</v>
      </c>
      <c r="F115" s="467">
        <f>('2.9 Artifact Optimizer'!H198*$F282*$B$100+$K$172)/($K$172)</f>
        <v>1.00494193</v>
      </c>
      <c r="G115" t="b">
        <f t="shared" si="4"/>
        <v>1</v>
      </c>
      <c r="H115" s="128">
        <f>'2.9 Artifact Optimizer'!H198*$F282</f>
        <v>18000000</v>
      </c>
      <c r="I115" s="294">
        <f t="shared" si="5"/>
        <v>3.3122E+23</v>
      </c>
      <c r="J115" s="468"/>
      <c r="K115" s="5"/>
      <c r="L115">
        <v>25.0</v>
      </c>
      <c r="M115" t="str">
        <f t="shared" si="6"/>
        <v/>
      </c>
      <c r="N115" t="str">
        <f t="shared" si="7"/>
        <v>Tiny Titan Tree</v>
      </c>
      <c r="O115" s="381">
        <f t="shared" si="8"/>
        <v>669000000</v>
      </c>
      <c r="P115" s="8">
        <f t="shared" si="9"/>
        <v>0</v>
      </c>
      <c r="Q115" s="381">
        <f t="shared" si="10"/>
        <v>1.74737E+23</v>
      </c>
      <c r="R115">
        <f t="shared" si="11"/>
        <v>1931344928</v>
      </c>
      <c r="S115" s="471" t="str">
        <f t="shared" si="12"/>
        <v>+51,700,000</v>
      </c>
      <c r="T115" s="472"/>
      <c r="U115" s="1">
        <v>18.0</v>
      </c>
      <c r="V115" s="1">
        <f t="shared" si="28"/>
        <v>18</v>
      </c>
      <c r="X115">
        <f t="shared" si="14"/>
        <v>1.74737E+20</v>
      </c>
      <c r="Y115" s="475" t="str">
        <f t="shared" si="15"/>
        <v>#VALUE!</v>
      </c>
      <c r="Z115" s="475">
        <f t="shared" si="16"/>
        <v>51798317.8</v>
      </c>
      <c r="AA115">
        <f t="shared" si="17"/>
        <v>51700000</v>
      </c>
      <c r="AB115" s="381">
        <f t="shared" si="27"/>
        <v>103498317.8</v>
      </c>
      <c r="AC115" s="8">
        <f t="shared" si="18"/>
        <v>3.88976E+22</v>
      </c>
      <c r="AD115" s="8">
        <f t="shared" si="19"/>
        <v>2.13635E+23</v>
      </c>
      <c r="AE115" s="70">
        <f t="shared" si="20"/>
        <v>2101044533</v>
      </c>
      <c r="AF115" s="478">
        <f t="shared" si="21"/>
        <v>1.631402299</v>
      </c>
      <c r="AG115" s="70">
        <f t="shared" si="22"/>
        <v>0.5</v>
      </c>
      <c r="AH115" s="8">
        <f t="shared" si="23"/>
        <v>0</v>
      </c>
      <c r="AI115">
        <f t="shared" si="24"/>
        <v>26</v>
      </c>
      <c r="AJ115" s="381">
        <f t="shared" si="25"/>
        <v>720700000</v>
      </c>
    </row>
    <row r="116">
      <c r="A116" s="5"/>
      <c r="B116" s="6">
        <f>1 +'2.9 Artifact Optimizer'!D199 *F283 ^ ((1 + ('2.9 Artifact Optimizer'!J199 - 1) * min(('2.9 Artifact Optimizer'!F199 * B31),'2.9 Artifact Optimizer'!E199)) ^ '2.9 Artifact Optimizer'!G199)</f>
        <v>1426933.855</v>
      </c>
      <c r="C116" s="6">
        <f>(1 + '2.9 Artifact Optimizer'!D199 * ($F283+$C$90) ^ ((1 + ('2.9 Artifact Optimizer'!J199 - 1) * min(('2.9 Artifact Optimizer'!F199 * ($F283+$C$90)), '2.9 Artifact Optimizer'!E199)) ^ '2.9 Artifact Optimizer'!G199))</f>
        <v>13669191.65</v>
      </c>
      <c r="D116" s="439">
        <f>'2.9 Artifact Optimizer'!I199*F283^'2.9 Artifact Optimizer'!J199</f>
        <v>6146282585723</v>
      </c>
      <c r="E116" s="466">
        <f>'2.9 Artifact Optimizer'!I199*($F283+$E$90)^'2.9 Artifact Optimizer'!J199</f>
        <v>6146282585723</v>
      </c>
      <c r="F116" s="467">
        <f>('2.9 Artifact Optimizer'!H199*$F283*$B$100+$K$172)/($K$172)</f>
        <v>1.003706447</v>
      </c>
      <c r="G116" t="b">
        <f t="shared" si="4"/>
        <v>0</v>
      </c>
      <c r="H116" s="128">
        <f>'2.9 Artifact Optimizer'!H199*$F283</f>
        <v>13500000</v>
      </c>
      <c r="I116" s="294">
        <f t="shared" si="5"/>
        <v>1.02438E+20</v>
      </c>
      <c r="J116" s="468"/>
      <c r="K116" s="5"/>
      <c r="L116">
        <v>26.0</v>
      </c>
      <c r="M116" t="str">
        <f t="shared" si="6"/>
        <v/>
      </c>
      <c r="N116" t="str">
        <f t="shared" si="7"/>
        <v>Charm of the Ancient</v>
      </c>
      <c r="O116" s="381">
        <f t="shared" si="8"/>
        <v>700000000</v>
      </c>
      <c r="P116" s="8">
        <f t="shared" si="9"/>
        <v>0</v>
      </c>
      <c r="Q116" s="381">
        <f t="shared" si="10"/>
        <v>1.97469E+23</v>
      </c>
      <c r="R116">
        <f t="shared" si="11"/>
        <v>2032900314</v>
      </c>
      <c r="S116" s="471" t="str">
        <f t="shared" si="12"/>
        <v>+54,100,000</v>
      </c>
      <c r="T116" s="472"/>
      <c r="U116" s="1">
        <v>19.0</v>
      </c>
      <c r="V116" s="1">
        <f t="shared" si="28"/>
        <v>19</v>
      </c>
      <c r="X116">
        <f t="shared" si="14"/>
        <v>1.97469E+20</v>
      </c>
      <c r="Y116" s="475" t="str">
        <f t="shared" si="15"/>
        <v>#VALUE!</v>
      </c>
      <c r="Z116" s="475">
        <f t="shared" si="16"/>
        <v>54198535.21</v>
      </c>
      <c r="AA116">
        <f t="shared" si="17"/>
        <v>54100000</v>
      </c>
      <c r="AB116" s="381">
        <f t="shared" si="27"/>
        <v>108298535.2</v>
      </c>
      <c r="AC116" s="8">
        <f t="shared" si="18"/>
        <v>4.39616E+22</v>
      </c>
      <c r="AD116" s="8">
        <f t="shared" si="19"/>
        <v>2.41431E+23</v>
      </c>
      <c r="AE116" s="70">
        <f t="shared" si="20"/>
        <v>2211537569</v>
      </c>
      <c r="AF116" s="478">
        <f t="shared" si="21"/>
        <v>1.660686527</v>
      </c>
      <c r="AG116" s="70">
        <f t="shared" si="22"/>
        <v>0.5</v>
      </c>
      <c r="AH116" s="8">
        <f t="shared" si="23"/>
        <v>0</v>
      </c>
      <c r="AI116">
        <f t="shared" si="24"/>
        <v>26</v>
      </c>
      <c r="AJ116" s="381">
        <f t="shared" si="25"/>
        <v>754100000</v>
      </c>
    </row>
    <row r="117">
      <c r="A117" s="5"/>
      <c r="B117" s="6">
        <f>1 +'2.9 Artifact Optimizer'!D200 *F284 ^ ((1 + ('2.9 Artifact Optimizer'!J200 - 1) * min(('2.9 Artifact Optimizer'!F200 * B32),'2.9 Artifact Optimizer'!E200)) ^ '2.9 Artifact Optimizer'!G200)</f>
        <v>61.00000241</v>
      </c>
      <c r="C117" s="6">
        <f>(1 + '2.9 Artifact Optimizer'!D200 * ($F284+$C$90) ^ ((1 + ('2.9 Artifact Optimizer'!J200 - 1) * min(('2.9 Artifact Optimizer'!F200 * ($F284+$C$90)), '2.9 Artifact Optimizer'!E200)) ^ '2.9 Artifact Optimizer'!G200))</f>
        <v>63.45160859</v>
      </c>
      <c r="D117" s="439">
        <f>'2.9 Artifact Optimizer'!I200*F284^'2.9 Artifact Optimizer'!J200</f>
        <v>2054.751796</v>
      </c>
      <c r="E117" s="466">
        <f>'2.9 Artifact Optimizer'!I200*($F284+$E$90)^'2.9 Artifact Optimizer'!J200</f>
        <v>2054.751796</v>
      </c>
      <c r="F117" s="467">
        <f>('2.9 Artifact Optimizer'!H200*$F284*$B$100+$K$172)/($K$172)</f>
        <v>1.00000001</v>
      </c>
      <c r="G117" t="b">
        <f t="shared" si="4"/>
        <v>0</v>
      </c>
      <c r="H117" s="128">
        <f>'2.9 Artifact Optimizer'!H200*$F284</f>
        <v>36</v>
      </c>
      <c r="I117" s="294">
        <f t="shared" si="5"/>
        <v>91322.30203</v>
      </c>
      <c r="J117" s="468"/>
      <c r="K117" s="5"/>
      <c r="L117">
        <v>27.0</v>
      </c>
      <c r="M117" t="str">
        <f t="shared" si="6"/>
        <v/>
      </c>
      <c r="N117" t="str">
        <f t="shared" si="7"/>
        <v>Book of Shadows</v>
      </c>
      <c r="O117" s="381">
        <f t="shared" si="8"/>
        <v>33130000</v>
      </c>
      <c r="P117" s="8">
        <f t="shared" si="9"/>
        <v>0</v>
      </c>
      <c r="Q117" s="381">
        <f t="shared" si="10"/>
        <v>4.18606E+25</v>
      </c>
      <c r="R117">
        <f t="shared" si="11"/>
        <v>7379408.183</v>
      </c>
      <c r="S117" s="471" t="str">
        <f t="shared" si="12"/>
        <v>+4,600,000</v>
      </c>
      <c r="T117" s="472"/>
      <c r="U117" s="1">
        <v>20.0</v>
      </c>
      <c r="V117" s="1">
        <f t="shared" si="28"/>
        <v>20</v>
      </c>
      <c r="X117">
        <f t="shared" si="14"/>
        <v>4.18606E+22</v>
      </c>
      <c r="Y117" s="475" t="str">
        <f t="shared" si="15"/>
        <v>#VALUE!</v>
      </c>
      <c r="Z117" s="475">
        <f t="shared" si="16"/>
        <v>4603537.517</v>
      </c>
      <c r="AA117">
        <f t="shared" si="17"/>
        <v>4600000</v>
      </c>
      <c r="AB117" s="381">
        <f t="shared" si="27"/>
        <v>9203537.517</v>
      </c>
      <c r="AC117" s="8">
        <f t="shared" si="18"/>
        <v>2.41227E+25</v>
      </c>
      <c r="AD117" s="8">
        <f t="shared" si="19"/>
        <v>6.59833E+25</v>
      </c>
      <c r="AE117" s="70">
        <f t="shared" si="20"/>
        <v>8498819.721</v>
      </c>
      <c r="AF117" s="478">
        <f t="shared" si="21"/>
        <v>1.056147142</v>
      </c>
      <c r="AG117" s="70">
        <f t="shared" si="22"/>
        <v>1</v>
      </c>
      <c r="AH117" s="8">
        <f t="shared" si="23"/>
        <v>0</v>
      </c>
      <c r="AI117">
        <f t="shared" si="24"/>
        <v>27</v>
      </c>
      <c r="AJ117" s="381">
        <f t="shared" si="25"/>
        <v>37730000</v>
      </c>
    </row>
    <row r="118">
      <c r="A118" s="5"/>
      <c r="B118" s="6">
        <f>1 +'2.9 Artifact Optimizer'!D201 *F285 ^ ((1 + ('2.9 Artifact Optimizer'!J201 - 1) * min(('2.9 Artifact Optimizer'!F201 * B33),'2.9 Artifact Optimizer'!E201)) ^ '2.9 Artifact Optimizer'!G201)</f>
        <v>151.0838412</v>
      </c>
      <c r="C118" s="6">
        <f>(1 + '2.9 Artifact Optimizer'!D201 * ($F285+$C$90) ^ ((1 + ('2.9 Artifact Optimizer'!J201 - 1) * min(('2.9 Artifact Optimizer'!F201 * ($F285+$C$90)), '2.9 Artifact Optimizer'!E201)) ^ '2.9 Artifact Optimizer'!G201))</f>
        <v>862.3346127</v>
      </c>
      <c r="D118" s="439">
        <f>'2.9 Artifact Optimizer'!I201*F285^'2.9 Artifact Optimizer'!J201</f>
        <v>3990325982</v>
      </c>
      <c r="E118" s="466">
        <f>'2.9 Artifact Optimizer'!I201*($F285+$E$90)^'2.9 Artifact Optimizer'!J201</f>
        <v>3990325982</v>
      </c>
      <c r="F118" s="467">
        <f>('2.9 Artifact Optimizer'!H201*$F285*$B$100+$K$172)/($K$172)</f>
        <v>1.000049419</v>
      </c>
      <c r="G118" t="b">
        <f t="shared" si="4"/>
        <v>0</v>
      </c>
      <c r="H118" s="128">
        <f>'2.9 Artifact Optimizer'!H201*$F285</f>
        <v>180000</v>
      </c>
      <c r="I118" s="294">
        <f t="shared" si="5"/>
        <v>886739107209344</v>
      </c>
      <c r="J118" s="468"/>
      <c r="K118" s="5"/>
      <c r="L118">
        <v>28.0</v>
      </c>
      <c r="M118" t="str">
        <f t="shared" si="6"/>
        <v/>
      </c>
      <c r="N118" t="str">
        <f t="shared" si="7"/>
        <v>Elixir of Eden</v>
      </c>
      <c r="O118" s="381">
        <f t="shared" si="8"/>
        <v>70590000</v>
      </c>
      <c r="P118" s="8">
        <f t="shared" si="9"/>
        <v>0</v>
      </c>
      <c r="Q118" s="381">
        <f t="shared" si="10"/>
        <v>3.45457E+20</v>
      </c>
      <c r="R118">
        <f t="shared" si="11"/>
        <v>75829684.68</v>
      </c>
      <c r="S118" s="471" t="str">
        <f t="shared" si="12"/>
        <v>+5,400,000</v>
      </c>
      <c r="T118" s="472"/>
      <c r="U118" s="1">
        <v>21.0</v>
      </c>
      <c r="V118" s="1">
        <f t="shared" si="28"/>
        <v>21</v>
      </c>
      <c r="X118">
        <f t="shared" si="14"/>
        <v>3.45457E+17</v>
      </c>
      <c r="Y118" s="475" t="str">
        <f t="shared" si="15"/>
        <v>#VALUE!</v>
      </c>
      <c r="Z118" s="475">
        <f t="shared" si="16"/>
        <v>5465604.761</v>
      </c>
      <c r="AA118">
        <f t="shared" si="17"/>
        <v>5400000</v>
      </c>
      <c r="AB118" s="381">
        <f t="shared" si="27"/>
        <v>10865604.76</v>
      </c>
      <c r="AC118" s="8">
        <f t="shared" si="18"/>
        <v>7.60743E+19</v>
      </c>
      <c r="AD118" s="8">
        <f t="shared" si="19"/>
        <v>4.21531E+20</v>
      </c>
      <c r="AE118" s="70">
        <f t="shared" si="20"/>
        <v>82424841.7</v>
      </c>
      <c r="AF118" s="478">
        <f t="shared" si="21"/>
        <v>1.044191171</v>
      </c>
      <c r="AG118" s="70">
        <f t="shared" si="22"/>
        <v>0</v>
      </c>
      <c r="AH118" s="8">
        <f t="shared" si="23"/>
        <v>0</v>
      </c>
      <c r="AI118">
        <f t="shared" si="24"/>
        <v>27</v>
      </c>
      <c r="AJ118" s="381">
        <f t="shared" si="25"/>
        <v>75990000</v>
      </c>
    </row>
    <row r="119">
      <c r="A119" s="5"/>
      <c r="B119" s="6">
        <f>1 +'2.9 Artifact Optimizer'!D202 *F286 ^ ((1 + ('2.9 Artifact Optimizer'!J202 - 1) * min(('2.9 Artifact Optimizer'!F202 * B34),'2.9 Artifact Optimizer'!E202)) ^ '2.9 Artifact Optimizer'!G202)</f>
        <v>120060.0641</v>
      </c>
      <c r="C119" s="6">
        <f>(1 + '2.9 Artifact Optimizer'!D202 * ($F286+$C$90) ^ ((1 + ('2.9 Artifact Optimizer'!J202 - 1) * min(('2.9 Artifact Optimizer'!F202 * ($F286+$C$90)), '2.9 Artifact Optimizer'!E202)) ^ '2.9 Artifact Optimizer'!G202))</f>
        <v>846895.4443</v>
      </c>
      <c r="D119" s="439">
        <f>'2.9 Artifact Optimizer'!I202*F286^'2.9 Artifact Optimizer'!J202</f>
        <v>250000000000</v>
      </c>
      <c r="E119" s="466">
        <f>'2.9 Artifact Optimizer'!I202*($F286+$E$90)^'2.9 Artifact Optimizer'!J202</f>
        <v>250000000000</v>
      </c>
      <c r="F119" s="467">
        <f>('2.9 Artifact Optimizer'!H202*$F286*$B$100+$K$172)/($K$172)</f>
        <v>1.000137276</v>
      </c>
      <c r="G119" t="b">
        <f t="shared" si="4"/>
        <v>0</v>
      </c>
      <c r="H119" s="128">
        <f>'2.9 Artifact Optimizer'!H202*$F286</f>
        <v>500000</v>
      </c>
      <c r="I119" s="294">
        <f t="shared" si="5"/>
        <v>4.16667E+16</v>
      </c>
      <c r="J119" s="468"/>
      <c r="K119" s="5"/>
      <c r="L119">
        <v>29.0</v>
      </c>
      <c r="M119" t="str">
        <f t="shared" si="6"/>
        <v/>
      </c>
      <c r="N119" t="str">
        <f t="shared" si="7"/>
        <v>Amethyst Staff</v>
      </c>
      <c r="O119" s="381">
        <f t="shared" si="8"/>
        <v>85000000</v>
      </c>
      <c r="P119" s="8">
        <f t="shared" si="9"/>
        <v>0</v>
      </c>
      <c r="Q119" s="381">
        <f t="shared" si="10"/>
        <v>1.3306E+23</v>
      </c>
      <c r="R119">
        <f t="shared" si="11"/>
        <v>103109515.2</v>
      </c>
      <c r="S119" s="471" t="str">
        <f t="shared" si="12"/>
        <v>+8,500,000</v>
      </c>
      <c r="T119" s="472"/>
      <c r="U119" s="1">
        <v>22.0</v>
      </c>
      <c r="V119" s="1">
        <f t="shared" si="28"/>
        <v>22</v>
      </c>
      <c r="X119">
        <f t="shared" si="14"/>
        <v>1.3306E+20</v>
      </c>
      <c r="Y119" s="475" t="str">
        <f t="shared" si="15"/>
        <v>#VALUE!</v>
      </c>
      <c r="Z119" s="475">
        <f t="shared" si="16"/>
        <v>8500099.999</v>
      </c>
      <c r="AA119">
        <f t="shared" si="17"/>
        <v>8500000</v>
      </c>
      <c r="AB119" s="381">
        <f t="shared" si="27"/>
        <v>17000100</v>
      </c>
      <c r="AC119" s="8">
        <f t="shared" si="18"/>
        <v>4.4043E+22</v>
      </c>
      <c r="AD119" s="8">
        <f t="shared" si="19"/>
        <v>1.77103E+23</v>
      </c>
      <c r="AE119" s="70">
        <f t="shared" si="20"/>
        <v>115041707.5</v>
      </c>
      <c r="AF119" s="478">
        <f t="shared" si="21"/>
        <v>1.172851476</v>
      </c>
      <c r="AG119" s="70">
        <f t="shared" si="22"/>
        <v>0</v>
      </c>
      <c r="AH119" s="8">
        <f t="shared" si="23"/>
        <v>0</v>
      </c>
      <c r="AI119">
        <f t="shared" si="24"/>
        <v>27</v>
      </c>
      <c r="AJ119" s="381">
        <f t="shared" si="25"/>
        <v>93500000</v>
      </c>
    </row>
    <row r="120">
      <c r="A120" s="5"/>
      <c r="B120" s="6">
        <f>1 +'2.9 Artifact Optimizer'!D203 *F287 ^ ((1 + ('2.9 Artifact Optimizer'!J203 - 1) * min(('2.9 Artifact Optimizer'!F203 * B35),'2.9 Artifact Optimizer'!E203)) ^ '2.9 Artifact Optimizer'!G203)</f>
        <v>11715565.7</v>
      </c>
      <c r="C120" s="6">
        <f>(1 + '2.9 Artifact Optimizer'!D203 * ($F287+$C$90) ^ ((1 + ('2.9 Artifact Optimizer'!J203 - 1) * min(('2.9 Artifact Optimizer'!F203 * ($F287+$C$90)), '2.9 Artifact Optimizer'!E203)) ^ '2.9 Artifact Optimizer'!G203))</f>
        <v>158265384.2</v>
      </c>
      <c r="D120" s="439">
        <f>'2.9 Artifact Optimizer'!I203*F287^'2.9 Artifact Optimizer'!J203</f>
        <v>7.52036E+15</v>
      </c>
      <c r="E120" s="466">
        <f>'2.9 Artifact Optimizer'!I203*($F287+$E$90)^'2.9 Artifact Optimizer'!J203</f>
        <v>7.52036E+15</v>
      </c>
      <c r="F120" s="467">
        <f>('2.9 Artifact Optimizer'!H203*$F287*$B$100+$K$172)/($K$172)</f>
        <v>1.023809119</v>
      </c>
      <c r="G120" t="b">
        <f t="shared" si="4"/>
        <v>1</v>
      </c>
      <c r="H120" s="128">
        <f>'2.9 Artifact Optimizer'!H203*$F287</f>
        <v>86720000</v>
      </c>
      <c r="I120" s="294">
        <f t="shared" si="5"/>
        <v>2.17388E+23</v>
      </c>
      <c r="J120" s="468"/>
      <c r="K120" s="5"/>
      <c r="L120">
        <v>30.0</v>
      </c>
      <c r="M120" t="str">
        <f t="shared" si="6"/>
        <v/>
      </c>
      <c r="N120" t="str">
        <f t="shared" si="7"/>
        <v>Fagin's Grip</v>
      </c>
      <c r="O120" s="381">
        <f t="shared" si="8"/>
        <v>0.01</v>
      </c>
      <c r="P120" s="8">
        <f t="shared" si="9"/>
        <v>0</v>
      </c>
      <c r="Q120" s="381">
        <f t="shared" si="10"/>
        <v>0.00000008086551902</v>
      </c>
      <c r="R120">
        <f t="shared" si="11"/>
        <v>1.000199999</v>
      </c>
      <c r="S120" s="471" t="str">
        <f t="shared" si="12"/>
        <v>+100,000</v>
      </c>
      <c r="T120" s="472"/>
      <c r="U120" s="1">
        <v>23.0</v>
      </c>
      <c r="V120" s="1">
        <f t="shared" si="28"/>
        <v>23</v>
      </c>
      <c r="X120">
        <f t="shared" si="14"/>
        <v>0</v>
      </c>
      <c r="Y120" s="475" t="str">
        <f t="shared" si="15"/>
        <v>#VALUE!</v>
      </c>
      <c r="Z120" s="475">
        <f t="shared" si="16"/>
        <v>0.06065404824</v>
      </c>
      <c r="AA120">
        <f t="shared" si="17"/>
        <v>100000</v>
      </c>
      <c r="AB120" s="381">
        <f t="shared" si="27"/>
        <v>100000.0607</v>
      </c>
      <c r="AC120" s="8">
        <f t="shared" si="18"/>
        <v>2.03125E+15</v>
      </c>
      <c r="AD120" s="8">
        <f t="shared" si="19"/>
        <v>2.03125E+15</v>
      </c>
      <c r="AE120" s="70">
        <f t="shared" si="20"/>
        <v>2001.020923</v>
      </c>
      <c r="AF120" s="478">
        <f t="shared" si="21"/>
        <v>1.001016768</v>
      </c>
      <c r="AG120" s="70">
        <f t="shared" si="22"/>
        <v>0.6666666667</v>
      </c>
      <c r="AH120" s="8">
        <f t="shared" si="23"/>
        <v>0</v>
      </c>
      <c r="AI120">
        <f t="shared" si="24"/>
        <v>0</v>
      </c>
      <c r="AJ120" s="381">
        <f t="shared" si="25"/>
        <v>100000.01</v>
      </c>
    </row>
    <row r="121">
      <c r="A121" s="5"/>
      <c r="B121" s="6">
        <f>1 +'2.9 Artifact Optimizer'!D204 *F288 ^ ((1 + ('2.9 Artifact Optimizer'!J204 - 1) * min(('2.9 Artifact Optimizer'!F204 * B36),'2.9 Artifact Optimizer'!E204)) ^ '2.9 Artifact Optimizer'!G204)</f>
        <v>20025.88227</v>
      </c>
      <c r="C121" s="6">
        <f>(1 + '2.9 Artifact Optimizer'!D204 * ($F288+$C$90) ^ ((1 + ('2.9 Artifact Optimizer'!J204 - 1) * min(('2.9 Artifact Optimizer'!F204 * ($F288+$C$90)), '2.9 Artifact Optimizer'!E204)) ^ '2.9 Artifact Optimizer'!G204))</f>
        <v>228898.8731</v>
      </c>
      <c r="D121" s="439">
        <f>'2.9 Artifact Optimizer'!I204*F288^'2.9 Artifact Optimizer'!J204</f>
        <v>10301805750997</v>
      </c>
      <c r="E121" s="466">
        <f>'2.9 Artifact Optimizer'!I204*($F288+$E$90)^'2.9 Artifact Optimizer'!J204</f>
        <v>10301805750997</v>
      </c>
      <c r="F121" s="467">
        <f>('2.9 Artifact Optimizer'!H204*$F288*$B$100+$K$172)/($K$172)</f>
        <v>1.000137276</v>
      </c>
      <c r="G121" t="b">
        <f t="shared" si="4"/>
        <v>0</v>
      </c>
      <c r="H121" s="128">
        <f>'2.9 Artifact Optimizer'!H204*$F288</f>
        <v>500000</v>
      </c>
      <c r="I121" s="294">
        <f t="shared" si="5"/>
        <v>3.21931E+18</v>
      </c>
      <c r="J121" s="468"/>
      <c r="K121" s="5"/>
      <c r="L121">
        <v>31.0</v>
      </c>
      <c r="M121" t="str">
        <f t="shared" si="6"/>
        <v/>
      </c>
      <c r="N121" t="str">
        <f t="shared" si="7"/>
        <v>Titania's Sceptre</v>
      </c>
      <c r="O121" s="381">
        <f t="shared" si="8"/>
        <v>1000000</v>
      </c>
      <c r="P121" s="8">
        <f t="shared" si="9"/>
        <v>0</v>
      </c>
      <c r="Q121" s="381">
        <f t="shared" si="10"/>
        <v>3.21931E+18</v>
      </c>
      <c r="R121">
        <f t="shared" si="11"/>
        <v>228898.8731</v>
      </c>
      <c r="S121" s="471" t="str">
        <f t="shared" si="12"/>
        <v>+100,000</v>
      </c>
      <c r="T121" s="472"/>
      <c r="U121" s="1">
        <v>24.0</v>
      </c>
      <c r="V121" s="1">
        <f t="shared" si="28"/>
        <v>24</v>
      </c>
      <c r="X121">
        <f t="shared" si="14"/>
        <v>3.21931E+15</v>
      </c>
      <c r="Y121" s="475" t="str">
        <f t="shared" si="15"/>
        <v>#VALUE!</v>
      </c>
      <c r="Z121" s="475">
        <f t="shared" si="16"/>
        <v>115593.5499</v>
      </c>
      <c r="AA121">
        <f t="shared" si="17"/>
        <v>100000</v>
      </c>
      <c r="AB121" s="381">
        <f t="shared" si="27"/>
        <v>215593.5499</v>
      </c>
      <c r="AC121" s="8">
        <f t="shared" si="18"/>
        <v>1.14806E+18</v>
      </c>
      <c r="AD121" s="8">
        <f t="shared" si="19"/>
        <v>4.36737E+18</v>
      </c>
      <c r="AE121" s="70">
        <f t="shared" si="20"/>
        <v>256058.5424</v>
      </c>
      <c r="AF121" s="478">
        <f t="shared" si="21"/>
        <v>1.002192085</v>
      </c>
      <c r="AG121" s="70">
        <f t="shared" si="22"/>
        <v>1.4</v>
      </c>
      <c r="AH121" s="8">
        <f t="shared" si="23"/>
        <v>0</v>
      </c>
      <c r="AI121">
        <f t="shared" si="24"/>
        <v>0</v>
      </c>
      <c r="AJ121" s="381">
        <f t="shared" si="25"/>
        <v>1100000</v>
      </c>
    </row>
    <row r="122">
      <c r="A122" s="5"/>
      <c r="B122" s="6">
        <f>1 +'2.9 Artifact Optimizer'!D205 *F289 ^ ((1 + ('2.9 Artifact Optimizer'!J205 - 1) * min(('2.9 Artifact Optimizer'!F205 * B37),'2.9 Artifact Optimizer'!E205)) ^ '2.9 Artifact Optimizer'!G205)</f>
        <v>20025.88227</v>
      </c>
      <c r="C122" s="6">
        <f>(1 + '2.9 Artifact Optimizer'!D205 * ($F289+$C$90) ^ ((1 + ('2.9 Artifact Optimizer'!J205 - 1) * min(('2.9 Artifact Optimizer'!F205 * ($F289+$C$90)), '2.9 Artifact Optimizer'!E205)) ^ '2.9 Artifact Optimizer'!G205))</f>
        <v>228898.8731</v>
      </c>
      <c r="D122" s="439">
        <f>'2.9 Artifact Optimizer'!I205*F289^'2.9 Artifact Optimizer'!J205</f>
        <v>10301805750997</v>
      </c>
      <c r="E122" s="466">
        <f>'2.9 Artifact Optimizer'!I205*($F289+$E$90)^'2.9 Artifact Optimizer'!J205</f>
        <v>10301805750997</v>
      </c>
      <c r="F122" s="467">
        <f>('2.9 Artifact Optimizer'!H205*$F289*$B$100+$K$172)/($K$172)</f>
        <v>1.000137276</v>
      </c>
      <c r="G122" t="b">
        <f t="shared" si="4"/>
        <v>0</v>
      </c>
      <c r="H122" s="128">
        <f>'2.9 Artifact Optimizer'!H205*$F289</f>
        <v>500000</v>
      </c>
      <c r="I122" s="294">
        <f t="shared" si="5"/>
        <v>3.21931E+18</v>
      </c>
      <c r="J122" s="468"/>
      <c r="K122" s="5"/>
      <c r="L122">
        <v>32.0</v>
      </c>
      <c r="M122" t="str">
        <f t="shared" si="6"/>
        <v/>
      </c>
      <c r="N122" t="str">
        <f t="shared" si="7"/>
        <v>Crown of the Constellation</v>
      </c>
      <c r="O122" s="381">
        <f t="shared" si="8"/>
        <v>1000000</v>
      </c>
      <c r="P122" s="8">
        <f t="shared" si="9"/>
        <v>0</v>
      </c>
      <c r="Q122" s="381">
        <f t="shared" si="10"/>
        <v>3.21931E+18</v>
      </c>
      <c r="R122">
        <f t="shared" si="11"/>
        <v>228898.8731</v>
      </c>
      <c r="S122" s="471" t="str">
        <f t="shared" si="12"/>
        <v>+100,000</v>
      </c>
      <c r="T122" s="472"/>
      <c r="U122" s="1">
        <v>25.0</v>
      </c>
      <c r="V122" s="1">
        <f t="shared" si="28"/>
        <v>25</v>
      </c>
      <c r="X122">
        <f t="shared" si="14"/>
        <v>3.21931E+15</v>
      </c>
      <c r="Y122" s="475" t="str">
        <f t="shared" si="15"/>
        <v>#VALUE!</v>
      </c>
      <c r="Z122" s="475">
        <f t="shared" si="16"/>
        <v>115593.5499</v>
      </c>
      <c r="AA122">
        <f t="shared" si="17"/>
        <v>100000</v>
      </c>
      <c r="AB122" s="381">
        <f t="shared" si="27"/>
        <v>215593.5499</v>
      </c>
      <c r="AC122" s="8">
        <f t="shared" si="18"/>
        <v>1.14806E+18</v>
      </c>
      <c r="AD122" s="8">
        <f t="shared" si="19"/>
        <v>4.36737E+18</v>
      </c>
      <c r="AE122" s="70">
        <f t="shared" si="20"/>
        <v>256058.5424</v>
      </c>
      <c r="AF122" s="478">
        <f t="shared" si="21"/>
        <v>1.002192085</v>
      </c>
      <c r="AG122" s="70">
        <f t="shared" si="22"/>
        <v>1</v>
      </c>
      <c r="AH122" s="8">
        <f t="shared" si="23"/>
        <v>0</v>
      </c>
      <c r="AI122">
        <f t="shared" si="24"/>
        <v>0</v>
      </c>
      <c r="AJ122" s="381">
        <f t="shared" si="25"/>
        <v>1100000</v>
      </c>
    </row>
    <row r="123">
      <c r="A123" s="5"/>
      <c r="B123" s="6">
        <f>1 +'2.9 Artifact Optimizer'!D206 *F290 ^ ((1 + ('2.9 Artifact Optimizer'!J206 - 1) * min(('2.9 Artifact Optimizer'!F206 * B38),'2.9 Artifact Optimizer'!E206)) ^ '2.9 Artifact Optimizer'!G206)</f>
        <v>20025.88227</v>
      </c>
      <c r="C123" s="6">
        <f>(1 + '2.9 Artifact Optimizer'!D206 * ($F290+$C$90) ^ ((1 + ('2.9 Artifact Optimizer'!J206 - 1) * min(('2.9 Artifact Optimizer'!F206 * ($F290+$C$90)), '2.9 Artifact Optimizer'!E206)) ^ '2.9 Artifact Optimizer'!G206))</f>
        <v>228898.8731</v>
      </c>
      <c r="D123" s="439">
        <f>'2.9 Artifact Optimizer'!I206*F290^'2.9 Artifact Optimizer'!J206</f>
        <v>10301805750997</v>
      </c>
      <c r="E123" s="466">
        <f>'2.9 Artifact Optimizer'!I206*($F290+$E$90)^'2.9 Artifact Optimizer'!J206</f>
        <v>10301805750997</v>
      </c>
      <c r="F123" s="467">
        <f>('2.9 Artifact Optimizer'!H206*$F290*$B$100+$K$172)/($K$172)</f>
        <v>1.000137276</v>
      </c>
      <c r="G123" t="b">
        <f t="shared" si="4"/>
        <v>0</v>
      </c>
      <c r="H123" s="128">
        <f>'2.9 Artifact Optimizer'!H206*$F290</f>
        <v>500000</v>
      </c>
      <c r="I123" s="294">
        <f t="shared" si="5"/>
        <v>3.21931E+18</v>
      </c>
      <c r="J123" s="468"/>
      <c r="K123" s="5"/>
      <c r="L123">
        <v>33.0</v>
      </c>
      <c r="M123" t="str">
        <f t="shared" si="6"/>
        <v/>
      </c>
      <c r="N123" t="str">
        <f t="shared" si="7"/>
        <v>Oath's Burden</v>
      </c>
      <c r="O123" s="381">
        <f t="shared" si="8"/>
        <v>1000000</v>
      </c>
      <c r="P123" s="8">
        <f t="shared" si="9"/>
        <v>0</v>
      </c>
      <c r="Q123" s="381">
        <f t="shared" si="10"/>
        <v>3.21931E+18</v>
      </c>
      <c r="R123">
        <f t="shared" si="11"/>
        <v>228898.8731</v>
      </c>
      <c r="S123" s="471" t="str">
        <f t="shared" si="12"/>
        <v>+100,000</v>
      </c>
      <c r="T123" s="472"/>
      <c r="U123" s="1">
        <v>26.0</v>
      </c>
      <c r="V123" s="1">
        <f t="shared" si="28"/>
        <v>26</v>
      </c>
      <c r="X123">
        <f t="shared" si="14"/>
        <v>3.21931E+15</v>
      </c>
      <c r="Y123" s="475" t="str">
        <f t="shared" si="15"/>
        <v>#VALUE!</v>
      </c>
      <c r="Z123" s="475">
        <f t="shared" si="16"/>
        <v>115593.5499</v>
      </c>
      <c r="AA123">
        <f t="shared" si="17"/>
        <v>100000</v>
      </c>
      <c r="AB123" s="381">
        <f t="shared" si="27"/>
        <v>215593.5499</v>
      </c>
      <c r="AC123" s="8">
        <f t="shared" si="18"/>
        <v>1.14806E+18</v>
      </c>
      <c r="AD123" s="8">
        <f t="shared" si="19"/>
        <v>4.36737E+18</v>
      </c>
      <c r="AE123" s="70">
        <f t="shared" si="20"/>
        <v>256058.5424</v>
      </c>
      <c r="AF123" s="478">
        <f t="shared" si="21"/>
        <v>1.002192085</v>
      </c>
      <c r="AG123" s="70">
        <f t="shared" si="22"/>
        <v>2</v>
      </c>
      <c r="AH123" s="8">
        <f t="shared" si="23"/>
        <v>0</v>
      </c>
      <c r="AI123">
        <f t="shared" si="24"/>
        <v>0</v>
      </c>
      <c r="AJ123" s="381">
        <f t="shared" si="25"/>
        <v>1100000</v>
      </c>
    </row>
    <row r="124">
      <c r="A124" s="5"/>
      <c r="B124" s="6">
        <f>1 +'2.9 Artifact Optimizer'!D207 *F291 ^ ((1 + ('2.9 Artifact Optimizer'!J207 - 1) * min(('2.9 Artifact Optimizer'!F207 * B39),'2.9 Artifact Optimizer'!E207)) ^ '2.9 Artifact Optimizer'!G207)</f>
        <v>1.0002</v>
      </c>
      <c r="C124" s="6">
        <f>(1 + '2.9 Artifact Optimizer'!D207 * ($F291+$C$90) ^ ((1 + ('2.9 Artifact Optimizer'!J207 - 1) * min(('2.9 Artifact Optimizer'!F207 * ($F291+$C$90)), '2.9 Artifact Optimizer'!E207)) ^ '2.9 Artifact Optimizer'!G207))</f>
        <v>1.000199999</v>
      </c>
      <c r="D124" s="439">
        <f>'2.9 Artifact Optimizer'!I207*F291^'2.9 Artifact Optimizer'!J207</f>
        <v>0.00002587696609</v>
      </c>
      <c r="E124" s="466">
        <f>'2.9 Artifact Optimizer'!I207*($F291+$E$90)^'2.9 Artifact Optimizer'!J207</f>
        <v>0.00002587696609</v>
      </c>
      <c r="F124" s="467">
        <f>('2.9 Artifact Optimizer'!H207*$F291*$B$100+$K$172)/($K$172)</f>
        <v>1</v>
      </c>
      <c r="G124" t="b">
        <f t="shared" si="4"/>
        <v>0</v>
      </c>
      <c r="H124" s="128">
        <f>'2.9 Artifact Optimizer'!H207*$F291</f>
        <v>0.005</v>
      </c>
      <c r="I124" s="294">
        <f t="shared" si="5"/>
        <v>0.00000008086551902</v>
      </c>
      <c r="J124" s="468"/>
      <c r="K124" s="5"/>
      <c r="L124">
        <v>34.0</v>
      </c>
      <c r="M124" t="str">
        <f t="shared" si="6"/>
        <v/>
      </c>
      <c r="N124" t="str">
        <f t="shared" si="7"/>
        <v>Durendal Sword</v>
      </c>
      <c r="O124" s="381">
        <f t="shared" si="8"/>
        <v>500000</v>
      </c>
      <c r="P124" s="8">
        <f t="shared" si="9"/>
        <v>0</v>
      </c>
      <c r="Q124" s="381">
        <f t="shared" si="10"/>
        <v>4.16667E+16</v>
      </c>
      <c r="R124">
        <f t="shared" si="11"/>
        <v>846895.4443</v>
      </c>
      <c r="S124" s="471" t="str">
        <f t="shared" si="12"/>
        <v>+100,000</v>
      </c>
      <c r="T124" s="472"/>
      <c r="U124" s="1">
        <v>27.0</v>
      </c>
      <c r="V124" s="1">
        <f t="shared" si="28"/>
        <v>27</v>
      </c>
      <c r="X124">
        <f t="shared" si="14"/>
        <v>41666666666667</v>
      </c>
      <c r="Y124" s="475" t="str">
        <f t="shared" si="15"/>
        <v>#VALUE!</v>
      </c>
      <c r="Z124" s="475">
        <f t="shared" si="16"/>
        <v>50099.80066</v>
      </c>
      <c r="AA124">
        <f t="shared" si="17"/>
        <v>100000</v>
      </c>
      <c r="AB124" s="381">
        <f t="shared" si="27"/>
        <v>150099.8007</v>
      </c>
      <c r="AC124" s="8">
        <f t="shared" si="18"/>
        <v>3.03333E+16</v>
      </c>
      <c r="AD124" s="8">
        <f t="shared" si="19"/>
        <v>7.2E+16</v>
      </c>
      <c r="AE124" s="70">
        <f t="shared" si="20"/>
        <v>1044244.089</v>
      </c>
      <c r="AF124" s="478">
        <f t="shared" si="21"/>
        <v>1.003052332</v>
      </c>
      <c r="AG124" s="70">
        <f t="shared" si="22"/>
        <v>0.2</v>
      </c>
      <c r="AH124" s="8">
        <f t="shared" si="23"/>
        <v>0</v>
      </c>
      <c r="AI124">
        <f t="shared" si="24"/>
        <v>0</v>
      </c>
      <c r="AJ124" s="381">
        <f t="shared" si="25"/>
        <v>600000</v>
      </c>
    </row>
    <row r="125">
      <c r="A125" s="5"/>
      <c r="B125" s="6">
        <f>1 +'2.9 Artifact Optimizer'!D208 *F292 ^ ((1 + ('2.9 Artifact Optimizer'!J208 - 1) * min(('2.9 Artifact Optimizer'!F208 * B40),'2.9 Artifact Optimizer'!E208)) ^ '2.9 Artifact Optimizer'!G208)</f>
        <v>482990.7881</v>
      </c>
      <c r="C125" s="6">
        <f>(1 + '2.9 Artifact Optimizer'!D208 * ($F292+$C$90) ^ ((1 + ('2.9 Artifact Optimizer'!J208 - 1) * min(('2.9 Artifact Optimizer'!F208 * ($F292+$C$90)), '2.9 Artifact Optimizer'!E208)) ^ '2.9 Artifact Optimizer'!G208))</f>
        <v>10075862.4</v>
      </c>
      <c r="D125" s="439">
        <f>'2.9 Artifact Optimizer'!I208*F292^'2.9 Artifact Optimizer'!J208</f>
        <v>4.46227E+16</v>
      </c>
      <c r="E125" s="466">
        <f>'2.9 Artifact Optimizer'!I208*($F292+$E$90)^'2.9 Artifact Optimizer'!J208</f>
        <v>4.46227E+16</v>
      </c>
      <c r="F125" s="467">
        <f>('2.9 Artifact Optimizer'!H208*$F292*$B$100+$K$172)/($K$172)</f>
        <v>1.006174667</v>
      </c>
      <c r="G125" t="b">
        <f t="shared" si="4"/>
        <v>1</v>
      </c>
      <c r="H125" s="128">
        <f>'2.9 Artifact Optimizer'!H208*$F292</f>
        <v>22490000</v>
      </c>
      <c r="I125" s="294">
        <f t="shared" si="5"/>
        <v>6.27228E+23</v>
      </c>
      <c r="J125" s="468"/>
      <c r="K125" s="5"/>
      <c r="L125">
        <v>35.0</v>
      </c>
      <c r="M125" t="str">
        <f t="shared" si="6"/>
        <v/>
      </c>
      <c r="N125" t="str">
        <f t="shared" si="7"/>
        <v>Corrupted Rune Heart</v>
      </c>
      <c r="O125" s="381">
        <f t="shared" si="8"/>
        <v>600000</v>
      </c>
      <c r="P125" s="8">
        <f t="shared" si="9"/>
        <v>0</v>
      </c>
      <c r="Q125" s="381">
        <f t="shared" si="10"/>
        <v>886739107209344</v>
      </c>
      <c r="R125">
        <f t="shared" si="11"/>
        <v>862.3346127</v>
      </c>
      <c r="S125" s="471" t="str">
        <f t="shared" si="12"/>
        <v>+100,000</v>
      </c>
      <c r="T125" s="472"/>
      <c r="U125" s="1">
        <v>28.0</v>
      </c>
      <c r="V125" s="1">
        <f t="shared" si="28"/>
        <v>28</v>
      </c>
      <c r="X125">
        <f t="shared" si="14"/>
        <v>886739107209</v>
      </c>
      <c r="Y125" s="475" t="str">
        <f t="shared" si="15"/>
        <v>#VALUE!</v>
      </c>
      <c r="Z125" s="475">
        <f t="shared" si="16"/>
        <v>46533.13791</v>
      </c>
      <c r="AA125">
        <f t="shared" si="17"/>
        <v>100000</v>
      </c>
      <c r="AB125" s="381">
        <f t="shared" si="27"/>
        <v>146533.1379</v>
      </c>
      <c r="AC125" s="8">
        <f t="shared" si="18"/>
        <v>457734230887565</v>
      </c>
      <c r="AD125" s="8">
        <f t="shared" si="19"/>
        <v>1.34447E+15</v>
      </c>
      <c r="AE125" s="70">
        <f t="shared" si="20"/>
        <v>1026.447772</v>
      </c>
      <c r="AF125" s="478">
        <f t="shared" si="21"/>
        <v>1.000893941</v>
      </c>
      <c r="AG125" s="70">
        <f t="shared" si="22"/>
        <v>0.2</v>
      </c>
      <c r="AH125" s="8">
        <f t="shared" si="23"/>
        <v>0</v>
      </c>
      <c r="AI125">
        <f t="shared" si="24"/>
        <v>0</v>
      </c>
      <c r="AJ125" s="381">
        <f t="shared" si="25"/>
        <v>700000</v>
      </c>
    </row>
    <row r="126">
      <c r="A126" s="5"/>
      <c r="B126" s="6">
        <f>1 +'2.9 Artifact Optimizer'!D209 *F293 ^ ((1 + ('2.9 Artifact Optimizer'!J209 - 1) * min(('2.9 Artifact Optimizer'!F209 * B41),'2.9 Artifact Optimizer'!E209)) ^ '2.9 Artifact Optimizer'!G209)</f>
        <v>9180507.847</v>
      </c>
      <c r="C126" s="6">
        <f>(1 + '2.9 Artifact Optimizer'!D209 * ($F293+$C$90) ^ ((1 + ('2.9 Artifact Optimizer'!J209 - 1) * min(('2.9 Artifact Optimizer'!F209 * ($F293+$C$90)), '2.9 Artifact Optimizer'!E209)) ^ '2.9 Artifact Optimizer'!G209))</f>
        <v>124276846.6</v>
      </c>
      <c r="D126" s="439">
        <f>'2.9 Artifact Optimizer'!I209*F293^'2.9 Artifact Optimizer'!J209</f>
        <v>6.5E+15</v>
      </c>
      <c r="E126" s="466">
        <f>'2.9 Artifact Optimizer'!I209*($F293+$E$90)^'2.9 Artifact Optimizer'!J209</f>
        <v>6.5E+15</v>
      </c>
      <c r="F126" s="467">
        <f>('2.9 Artifact Optimizer'!H209*$F293*$B$100+$K$172)/($K$172)</f>
        <v>1.013727583</v>
      </c>
      <c r="G126" t="b">
        <f t="shared" si="4"/>
        <v>1</v>
      </c>
      <c r="H126" s="128">
        <f>'2.9 Artifact Optimizer'!H209*$F293</f>
        <v>50000000</v>
      </c>
      <c r="I126" s="294">
        <f t="shared" si="5"/>
        <v>2.16667E+23</v>
      </c>
      <c r="J126" s="468"/>
      <c r="K126" s="5"/>
      <c r="L126">
        <v>36.0</v>
      </c>
      <c r="M126" t="str">
        <f t="shared" si="6"/>
        <v/>
      </c>
      <c r="N126" t="str">
        <f t="shared" si="7"/>
        <v>Avian Feather</v>
      </c>
      <c r="O126" s="381">
        <f t="shared" si="8"/>
        <v>120</v>
      </c>
      <c r="P126" s="8">
        <f t="shared" si="9"/>
        <v>0</v>
      </c>
      <c r="Q126" s="381">
        <f t="shared" si="10"/>
        <v>91322.30203</v>
      </c>
      <c r="R126">
        <f t="shared" si="11"/>
        <v>63.45160859</v>
      </c>
      <c r="S126" s="471" t="str">
        <f t="shared" si="12"/>
        <v>+100,000</v>
      </c>
      <c r="T126" s="472"/>
      <c r="U126" s="1">
        <v>29.0</v>
      </c>
      <c r="V126" s="1">
        <f t="shared" si="28"/>
        <v>29</v>
      </c>
      <c r="X126">
        <f t="shared" si="14"/>
        <v>91.32230203</v>
      </c>
      <c r="Y126" s="475" t="str">
        <f t="shared" si="15"/>
        <v>#VALUE!</v>
      </c>
      <c r="Z126" s="475">
        <f t="shared" si="16"/>
        <v>29.91390065</v>
      </c>
      <c r="AA126">
        <f t="shared" si="17"/>
        <v>100000</v>
      </c>
      <c r="AB126" s="381">
        <f t="shared" si="27"/>
        <v>100029.9139</v>
      </c>
      <c r="AC126" s="8">
        <f t="shared" si="18"/>
        <v>7050075227363</v>
      </c>
      <c r="AD126" s="8">
        <f t="shared" si="19"/>
        <v>7050075318686</v>
      </c>
      <c r="AE126" s="70">
        <f t="shared" si="20"/>
        <v>55122.40369</v>
      </c>
      <c r="AF126" s="478">
        <f t="shared" si="21"/>
        <v>1.000610243</v>
      </c>
      <c r="AG126" s="70">
        <f t="shared" si="22"/>
        <v>1</v>
      </c>
      <c r="AH126" s="8">
        <f t="shared" si="23"/>
        <v>0</v>
      </c>
      <c r="AI126">
        <f t="shared" si="24"/>
        <v>0</v>
      </c>
      <c r="AJ126" s="381">
        <f t="shared" si="25"/>
        <v>100120</v>
      </c>
    </row>
    <row r="127">
      <c r="A127" s="5"/>
      <c r="B127" s="6">
        <f>1 +'2.9 Artifact Optimizer'!D210 *F294 ^ ((1 + ('2.9 Artifact Optimizer'!J210 - 1) * min(('2.9 Artifact Optimizer'!F210 * B42),'2.9 Artifact Optimizer'!E210)) ^ '2.9 Artifact Optimizer'!G210)</f>
        <v>9180507.847</v>
      </c>
      <c r="C127" s="6">
        <f>(1 + '2.9 Artifact Optimizer'!D210 * ($F294+$C$90) ^ ((1 + ('2.9 Artifact Optimizer'!J210 - 1) * min(('2.9 Artifact Optimizer'!F210 * ($F294+$C$90)), '2.9 Artifact Optimizer'!E210)) ^ '2.9 Artifact Optimizer'!G210))</f>
        <v>124276846.6</v>
      </c>
      <c r="D127" s="439">
        <f>'2.9 Artifact Optimizer'!I210*F294^'2.9 Artifact Optimizer'!J210</f>
        <v>6.5E+15</v>
      </c>
      <c r="E127" s="466">
        <f>'2.9 Artifact Optimizer'!I210*($F294+$E$90)^'2.9 Artifact Optimizer'!J210</f>
        <v>6.5E+15</v>
      </c>
      <c r="F127" s="467">
        <f>('2.9 Artifact Optimizer'!H210*$F294*$B$100+$K$172)/($K$172)</f>
        <v>1.013727583</v>
      </c>
      <c r="G127" t="b">
        <f t="shared" si="4"/>
        <v>1</v>
      </c>
      <c r="H127" s="128">
        <f>'2.9 Artifact Optimizer'!H210*$F294</f>
        <v>50000000</v>
      </c>
      <c r="I127" s="294">
        <f t="shared" si="5"/>
        <v>2.16667E+23</v>
      </c>
      <c r="J127" s="468"/>
      <c r="K127" s="5"/>
      <c r="L127">
        <v>37.0</v>
      </c>
      <c r="M127" t="str">
        <f t="shared" si="6"/>
        <v/>
      </c>
      <c r="N127" t="str">
        <f t="shared" si="7"/>
        <v>Earrings of Portara</v>
      </c>
      <c r="O127" s="381">
        <f t="shared" si="8"/>
        <v>45000000</v>
      </c>
      <c r="P127" s="8">
        <f t="shared" si="9"/>
        <v>0</v>
      </c>
      <c r="Q127" s="381">
        <f t="shared" si="10"/>
        <v>1.02438E+20</v>
      </c>
      <c r="R127">
        <f t="shared" si="11"/>
        <v>13669191.65</v>
      </c>
      <c r="S127" s="471" t="str">
        <f t="shared" si="12"/>
        <v>+3,400,000</v>
      </c>
      <c r="T127" s="472"/>
      <c r="U127" s="1">
        <v>30.0</v>
      </c>
      <c r="V127" s="1">
        <f t="shared" si="28"/>
        <v>30</v>
      </c>
      <c r="X127">
        <f t="shared" si="14"/>
        <v>1.02438E+17</v>
      </c>
      <c r="Y127" s="475" t="str">
        <f t="shared" si="15"/>
        <v>#VALUE!</v>
      </c>
      <c r="Z127" s="475">
        <f t="shared" si="16"/>
        <v>3484263.997</v>
      </c>
      <c r="AA127">
        <f t="shared" si="17"/>
        <v>3400000</v>
      </c>
      <c r="AB127" s="381">
        <f t="shared" si="27"/>
        <v>6884263.997</v>
      </c>
      <c r="AC127" s="8">
        <f t="shared" si="18"/>
        <v>2.2263E+19</v>
      </c>
      <c r="AD127" s="8">
        <f t="shared" si="19"/>
        <v>1.24701E+20</v>
      </c>
      <c r="AE127" s="70">
        <f t="shared" si="20"/>
        <v>14843328.95</v>
      </c>
      <c r="AF127" s="478">
        <f t="shared" si="21"/>
        <v>1.041998172</v>
      </c>
      <c r="AG127" s="70">
        <f t="shared" si="22"/>
        <v>1</v>
      </c>
      <c r="AH127" s="8">
        <f t="shared" si="23"/>
        <v>0</v>
      </c>
      <c r="AI127">
        <f t="shared" si="24"/>
        <v>0</v>
      </c>
      <c r="AJ127" s="381">
        <f t="shared" si="25"/>
        <v>48400000</v>
      </c>
    </row>
    <row r="128">
      <c r="A128" s="5"/>
      <c r="B128" s="6">
        <f>1 +'2.9 Artifact Optimizer'!D211 *F295 ^ ((1 + ('2.9 Artifact Optimizer'!J211 - 1) * min(('2.9 Artifact Optimizer'!F211 * B43),'2.9 Artifact Optimizer'!E211)) ^ '2.9 Artifact Optimizer'!G211)</f>
        <v>9180507.847</v>
      </c>
      <c r="C128" s="6">
        <f>(1 + '2.9 Artifact Optimizer'!D211 * ($F295+$C$90) ^ ((1 + ('2.9 Artifact Optimizer'!J211 - 1) * min(('2.9 Artifact Optimizer'!F211 * ($F295+$C$90)), '2.9 Artifact Optimizer'!E211)) ^ '2.9 Artifact Optimizer'!G211))</f>
        <v>124276846.6</v>
      </c>
      <c r="D128" s="439">
        <f>'2.9 Artifact Optimizer'!I211*F295^'2.9 Artifact Optimizer'!J211</f>
        <v>6.5E+15</v>
      </c>
      <c r="E128" s="466">
        <f>'2.9 Artifact Optimizer'!I211*($F295+$E$90)^'2.9 Artifact Optimizer'!J211</f>
        <v>6.5E+15</v>
      </c>
      <c r="F128" s="467">
        <f>('2.9 Artifact Optimizer'!H211*$F295*$B$100+$K$172)/($K$172)</f>
        <v>1.013727583</v>
      </c>
      <c r="G128" t="b">
        <f t="shared" si="4"/>
        <v>1</v>
      </c>
      <c r="H128" s="128">
        <f>'2.9 Artifact Optimizer'!H211*$F295</f>
        <v>50000000</v>
      </c>
      <c r="I128" s="294">
        <f t="shared" si="5"/>
        <v>2.16667E+23</v>
      </c>
      <c r="J128" s="468"/>
      <c r="K128" s="5"/>
      <c r="L128">
        <v>38.0</v>
      </c>
      <c r="M128" t="str">
        <f t="shared" si="6"/>
        <v/>
      </c>
      <c r="N128" t="str">
        <f t="shared" si="7"/>
        <v>O'Ryan's Charm</v>
      </c>
      <c r="O128" s="381">
        <f t="shared" si="8"/>
        <v>302000000</v>
      </c>
      <c r="P128" s="8">
        <f t="shared" si="9"/>
        <v>0</v>
      </c>
      <c r="Q128" s="381">
        <f t="shared" si="10"/>
        <v>1.38663E+23</v>
      </c>
      <c r="R128">
        <f t="shared" si="11"/>
        <v>553077799.4</v>
      </c>
      <c r="S128" s="471" t="str">
        <f t="shared" si="12"/>
        <v>+25,600,000</v>
      </c>
      <c r="T128" s="472"/>
      <c r="U128" s="1">
        <v>31.0</v>
      </c>
      <c r="V128" s="1">
        <f t="shared" si="28"/>
        <v>31</v>
      </c>
      <c r="X128">
        <f t="shared" si="14"/>
        <v>1.38663E+20</v>
      </c>
      <c r="Y128" s="475" t="str">
        <f t="shared" si="15"/>
        <v>#VALUE!</v>
      </c>
      <c r="Z128" s="475">
        <f t="shared" si="16"/>
        <v>25620040.36</v>
      </c>
      <c r="AA128">
        <f t="shared" si="17"/>
        <v>25600000</v>
      </c>
      <c r="AB128" s="381">
        <f t="shared" si="27"/>
        <v>51220040.36</v>
      </c>
      <c r="AC128" s="8">
        <f t="shared" si="18"/>
        <v>3.54791E+22</v>
      </c>
      <c r="AD128" s="8">
        <f t="shared" si="19"/>
        <v>1.74142E+23</v>
      </c>
      <c r="AE128" s="70">
        <f t="shared" si="20"/>
        <v>607274843.6</v>
      </c>
      <c r="AF128" s="478">
        <f t="shared" si="21"/>
        <v>1.520788678</v>
      </c>
      <c r="AG128" s="70">
        <f t="shared" si="22"/>
        <v>0</v>
      </c>
      <c r="AH128" s="8">
        <f t="shared" si="23"/>
        <v>0</v>
      </c>
      <c r="AI128">
        <f t="shared" si="24"/>
        <v>27</v>
      </c>
      <c r="AJ128" s="381">
        <f t="shared" si="25"/>
        <v>327600000</v>
      </c>
    </row>
    <row r="129">
      <c r="A129" s="5"/>
      <c r="B129" s="6">
        <f>1 +'2.9 Artifact Optimizer'!D212 *F296 ^ ((1 + ('2.9 Artifact Optimizer'!J212 - 1) * min(('2.9 Artifact Optimizer'!F212 * B44),'2.9 Artifact Optimizer'!E212)) ^ '2.9 Artifact Optimizer'!G212)</f>
        <v>8658723.194</v>
      </c>
      <c r="C129" s="6">
        <f>(1 + '2.9 Artifact Optimizer'!D212 * ($F296+$C$90) ^ ((1 + ('2.9 Artifact Optimizer'!J212 - 1) * min(('2.9 Artifact Optimizer'!F212 * ($F296+$C$90)), '2.9 Artifact Optimizer'!E212)) ^ '2.9 Artifact Optimizer'!G212))</f>
        <v>117164649.1</v>
      </c>
      <c r="D129" s="439">
        <f>'2.9 Artifact Optimizer'!I212*F296^'2.9 Artifact Optimizer'!J212</f>
        <v>5.86625E+15</v>
      </c>
      <c r="E129" s="466">
        <f>'2.9 Artifact Optimizer'!I212*($F296+$E$90)^'2.9 Artifact Optimizer'!J212</f>
        <v>5.86625E+15</v>
      </c>
      <c r="F129" s="467">
        <f>('2.9 Artifact Optimizer'!H212*$F296*$B$100+$K$172)/($K$172)</f>
        <v>1.013041204</v>
      </c>
      <c r="G129" t="b">
        <f t="shared" si="4"/>
        <v>1</v>
      </c>
      <c r="H129" s="128">
        <f>'2.9 Artifact Optimizer'!H212*$F296</f>
        <v>47500000</v>
      </c>
      <c r="I129" s="294">
        <f t="shared" si="5"/>
        <v>1.85765E+23</v>
      </c>
      <c r="J129" s="468"/>
      <c r="K129" s="5"/>
      <c r="L129">
        <v>39.0</v>
      </c>
      <c r="M129" t="str">
        <f t="shared" si="6"/>
        <v/>
      </c>
      <c r="N129" t="str">
        <f t="shared" si="7"/>
        <v>Influential Elixir</v>
      </c>
      <c r="O129" s="381">
        <f t="shared" si="8"/>
        <v>685000000</v>
      </c>
      <c r="P129" s="8">
        <f t="shared" si="9"/>
        <v>0</v>
      </c>
      <c r="Q129" s="381">
        <f t="shared" si="10"/>
        <v>1.86251E+23</v>
      </c>
      <c r="R129">
        <f t="shared" si="11"/>
        <v>991842586.9</v>
      </c>
      <c r="S129" s="471" t="str">
        <f t="shared" si="12"/>
        <v>+53,000,000</v>
      </c>
      <c r="T129" s="472"/>
      <c r="U129" s="1">
        <v>32.0</v>
      </c>
      <c r="V129" s="1">
        <f t="shared" si="28"/>
        <v>32</v>
      </c>
      <c r="X129">
        <f t="shared" si="14"/>
        <v>1.86251E+20</v>
      </c>
      <c r="Y129" s="475" t="str">
        <f t="shared" si="15"/>
        <v>#VALUE!</v>
      </c>
      <c r="Z129" s="475">
        <f t="shared" si="16"/>
        <v>53037139.69</v>
      </c>
      <c r="AA129">
        <f t="shared" si="17"/>
        <v>53000000</v>
      </c>
      <c r="AB129" s="381">
        <f t="shared" si="27"/>
        <v>106037139.7</v>
      </c>
      <c r="AC129" s="8">
        <f t="shared" si="18"/>
        <v>4.15136E+22</v>
      </c>
      <c r="AD129" s="8">
        <f t="shared" si="19"/>
        <v>2.27765E+23</v>
      </c>
      <c r="AE129" s="70">
        <f t="shared" si="20"/>
        <v>1079096946</v>
      </c>
      <c r="AF129" s="478">
        <f t="shared" si="21"/>
        <v>2.078151079</v>
      </c>
      <c r="AG129" s="70">
        <f t="shared" si="22"/>
        <v>0</v>
      </c>
      <c r="AH129" s="8">
        <f t="shared" si="23"/>
        <v>0</v>
      </c>
      <c r="AI129">
        <f t="shared" si="24"/>
        <v>27</v>
      </c>
      <c r="AJ129" s="381">
        <f t="shared" si="25"/>
        <v>738000000</v>
      </c>
    </row>
    <row r="130">
      <c r="A130" s="5"/>
      <c r="B130" s="6">
        <f>1 +'2.9 Artifact Optimizer'!D213 *F297 ^ ((1 + ('2.9 Artifact Optimizer'!J213 - 1) * min(('2.9 Artifact Optimizer'!F213 * B45),'2.9 Artifact Optimizer'!E213)) ^ '2.9 Artifact Optimizer'!G213)</f>
        <v>7636580.005</v>
      </c>
      <c r="C130" s="6">
        <f>(1 + '2.9 Artifact Optimizer'!D213 * ($F297+$C$90) ^ ((1 + ('2.9 Artifact Optimizer'!J213 - 1) * min(('2.9 Artifact Optimizer'!F213 * ($F297+$C$90)), '2.9 Artifact Optimizer'!E213)) ^ '2.9 Artifact Optimizer'!G213))</f>
        <v>103109515.2</v>
      </c>
      <c r="D130" s="439">
        <f>'2.9 Artifact Optimizer'!I213*F297^'2.9 Artifact Optimizer'!J213</f>
        <v>4.69625E+15</v>
      </c>
      <c r="E130" s="466">
        <f>'2.9 Artifact Optimizer'!I213*($F297+$E$90)^'2.9 Artifact Optimizer'!J213</f>
        <v>4.69625E+15</v>
      </c>
      <c r="F130" s="467">
        <f>('2.9 Artifact Optimizer'!H213*$F297*$B$100+$K$172)/($K$172)</f>
        <v>1.011668445</v>
      </c>
      <c r="G130" t="b">
        <f t="shared" si="4"/>
        <v>1</v>
      </c>
      <c r="H130" s="128">
        <f>'2.9 Artifact Optimizer'!H213*$F297</f>
        <v>42500000</v>
      </c>
      <c r="I130" s="294">
        <f t="shared" si="5"/>
        <v>1.3306E+23</v>
      </c>
      <c r="J130" s="468"/>
      <c r="K130" s="5"/>
      <c r="M130" t="str">
        <f t="shared" si="6"/>
        <v>#N/A</v>
      </c>
      <c r="N130" t="str">
        <f t="shared" si="7"/>
        <v>#N/A</v>
      </c>
      <c r="P130" s="8"/>
      <c r="Q130" s="8">
        <f>SUM(Q91:Q115)</f>
        <v>7.1527E+24</v>
      </c>
      <c r="R130" s="8">
        <f>PRODUCT(R91:R115)</f>
        <v>1.21287E+210</v>
      </c>
      <c r="S130" s="551"/>
      <c r="T130" s="472"/>
      <c r="U130" s="1">
        <v>33.0</v>
      </c>
      <c r="V130" s="1">
        <f t="shared" si="28"/>
        <v>33</v>
      </c>
      <c r="Y130" s="475"/>
      <c r="Z130">
        <v>24104.0</v>
      </c>
      <c r="AA130">
        <f>ROUNDDOWN(Z130,-(FLOOR(LOG10(Z130))-1))</f>
        <v>24000</v>
      </c>
    </row>
    <row r="131">
      <c r="A131" s="5"/>
      <c r="B131" s="6">
        <f>1 +'2.9 Artifact Optimizer'!D214 *F298 ^ ((1 + ('2.9 Artifact Optimizer'!J214 - 1) * min(('2.9 Artifact Optimizer'!F214 * B46),'2.9 Artifact Optimizer'!E214)) ^ '2.9 Artifact Optimizer'!G214)</f>
        <v>23881498.61</v>
      </c>
      <c r="C131" s="6">
        <f>(1 + '2.9 Artifact Optimizer'!D214 * ($F298+$C$90) ^ ((1 + ('2.9 Artifact Optimizer'!J214 - 1) * min(('2.9 Artifact Optimizer'!F214 * ($F298+$C$90)), '2.9 Artifact Optimizer'!E214)) ^ '2.9 Artifact Optimizer'!G214))</f>
        <v>165454931.3</v>
      </c>
      <c r="D131" s="439">
        <f>'2.9 Artifact Optimizer'!I214*F298^'2.9 Artifact Optimizer'!J214</f>
        <v>3.22074E+15</v>
      </c>
      <c r="E131" s="466">
        <f>'2.9 Artifact Optimizer'!I214*($F298+$E$90)^'2.9 Artifact Optimizer'!J214</f>
        <v>3.22074E+15</v>
      </c>
      <c r="F131" s="467">
        <f>('2.9 Artifact Optimizer'!H214*$F298*$B$100+$K$172)/($K$172)</f>
        <v>1.030090861</v>
      </c>
      <c r="G131" t="b">
        <f t="shared" si="4"/>
        <v>1</v>
      </c>
      <c r="H131" s="128">
        <f>'2.9 Artifact Optimizer'!H214*$F298</f>
        <v>109600000</v>
      </c>
      <c r="I131" s="294">
        <f t="shared" si="5"/>
        <v>6.30346E+23</v>
      </c>
      <c r="J131" s="468"/>
      <c r="K131" s="5"/>
      <c r="P131" s="552"/>
      <c r="R131" s="249"/>
      <c r="S131" s="249"/>
      <c r="T131" s="249"/>
      <c r="U131" s="257">
        <v>34.0</v>
      </c>
      <c r="V131" s="1">
        <f t="shared" si="28"/>
        <v>34</v>
      </c>
      <c r="Y131" s="475"/>
    </row>
    <row r="132">
      <c r="A132" s="5"/>
      <c r="B132" s="6">
        <f>1 +'2.9 Artifact Optimizer'!D215 *F299 ^ ((1 + ('2.9 Artifact Optimizer'!J215 - 1) * min(('2.9 Artifact Optimizer'!F215 * B47),'2.9 Artifact Optimizer'!E215)) ^ '2.9 Artifact Optimizer'!G215)</f>
        <v>275501895.8</v>
      </c>
      <c r="C132" s="6">
        <f>(1 + '2.9 Artifact Optimizer'!D215 * ($F299+$C$90) ^ ((1 + ('2.9 Artifact Optimizer'!J215 - 1) * min(('2.9 Artifact Optimizer'!F215 * ($F299+$C$90)), '2.9 Artifact Optimizer'!E215)) ^ '2.9 Artifact Optimizer'!G215))</f>
        <v>1257724330</v>
      </c>
      <c r="D132" s="439">
        <f>'2.9 Artifact Optimizer'!I215*F299^'2.9 Artifact Optimizer'!J215</f>
        <v>899099291834229</v>
      </c>
      <c r="E132" s="466">
        <f>'2.9 Artifact Optimizer'!I215*($F299+$E$90)^'2.9 Artifact Optimizer'!J215</f>
        <v>899099291834229</v>
      </c>
      <c r="F132" s="467">
        <f>('2.9 Artifact Optimizer'!H215*$F299*$B$100+$K$172)/($K$172)</f>
        <v>1.046399229</v>
      </c>
      <c r="G132" t="b">
        <f t="shared" si="4"/>
        <v>1</v>
      </c>
      <c r="H132" s="128">
        <f>'2.9 Artifact Optimizer'!H215*$F299</f>
        <v>169000000</v>
      </c>
      <c r="I132" s="294">
        <f t="shared" si="5"/>
        <v>2.81385E+23</v>
      </c>
      <c r="J132" s="468"/>
      <c r="K132" s="5"/>
      <c r="R132" s="249"/>
      <c r="S132" s="249"/>
      <c r="T132" s="249"/>
      <c r="U132" s="257">
        <v>35.0</v>
      </c>
      <c r="V132" s="1">
        <f t="shared" si="28"/>
        <v>35</v>
      </c>
      <c r="Y132" s="301"/>
    </row>
    <row r="133">
      <c r="A133" s="5"/>
      <c r="B133" s="6">
        <f>1 +'2.9 Artifact Optimizer'!D216 *F300 ^ ((1 + ('2.9 Artifact Optimizer'!J216 - 1) * min(('2.9 Artifact Optimizer'!F216 * B48),'2.9 Artifact Optimizer'!E216)) ^ '2.9 Artifact Optimizer'!G216)</f>
        <v>175137797.6</v>
      </c>
      <c r="C133" s="6">
        <f>(1 + '2.9 Artifact Optimizer'!D216 * ($F300+$C$90) ^ ((1 + ('2.9 Artifact Optimizer'!J216 - 1) * min(('2.9 Artifact Optimizer'!F216 * ($F300+$C$90)), '2.9 Artifact Optimizer'!E216)) ^ '2.9 Artifact Optimizer'!G216))</f>
        <v>983655706.4</v>
      </c>
      <c r="D133" s="439">
        <f>'2.9 Artifact Optimizer'!I216*F300^'2.9 Artifact Optimizer'!J216</f>
        <v>621464609555439</v>
      </c>
      <c r="E133" s="466">
        <f>'2.9 Artifact Optimizer'!I216*($F300+$E$90)^'2.9 Artifact Optimizer'!J216</f>
        <v>621464609555439</v>
      </c>
      <c r="F133" s="467">
        <f>('2.9 Artifact Optimizer'!H216*$F300*$B$100+$K$172)/($K$172)</f>
        <v>1.037339025</v>
      </c>
      <c r="G133" t="b">
        <f t="shared" si="4"/>
        <v>1</v>
      </c>
      <c r="H133" s="128">
        <f>'2.9 Artifact Optimizer'!H216*$F300</f>
        <v>136000000</v>
      </c>
      <c r="I133" s="294">
        <f t="shared" si="5"/>
        <v>1.56517E+23</v>
      </c>
      <c r="J133" s="468"/>
      <c r="K133" s="5"/>
      <c r="R133" s="249"/>
      <c r="S133" s="249"/>
      <c r="T133" s="249"/>
      <c r="U133" s="257">
        <v>36.0</v>
      </c>
      <c r="V133" s="1">
        <f t="shared" si="28"/>
        <v>36</v>
      </c>
      <c r="Y133" s="301"/>
    </row>
    <row r="134">
      <c r="A134" s="5"/>
      <c r="B134" s="6">
        <f>1 +'2.9 Artifact Optimizer'!D217 *F301 ^ ((1 + ('2.9 Artifact Optimizer'!J217 - 1) * min(('2.9 Artifact Optimizer'!F217 * B49),'2.9 Artifact Optimizer'!E217)) ^ '2.9 Artifact Optimizer'!G217)</f>
        <v>113884569.8</v>
      </c>
      <c r="C134" s="6">
        <f>(1 + '2.9 Artifact Optimizer'!D217 * ($F301+$C$90) ^ ((1 + ('2.9 Artifact Optimizer'!J217 - 1) * min(('2.9 Artifact Optimizer'!F217 * ($F301+$C$90)), '2.9 Artifact Optimizer'!E217)) ^ '2.9 Artifact Optimizer'!G217))</f>
        <v>757836904.3</v>
      </c>
      <c r="D134" s="439">
        <f>'2.9 Artifact Optimizer'!I217*F301^'2.9 Artifact Optimizer'!J217</f>
        <v>419972295536687</v>
      </c>
      <c r="E134" s="466">
        <f>'2.9 Artifact Optimizer'!I217*($F301+$E$90)^'2.9 Artifact Optimizer'!J217</f>
        <v>419972295536687</v>
      </c>
      <c r="F134" s="467">
        <f>('2.9 Artifact Optimizer'!H217*$F301*$B$100+$K$172)/($K$172)</f>
        <v>1.029651579</v>
      </c>
      <c r="G134" t="b">
        <f t="shared" si="4"/>
        <v>1</v>
      </c>
      <c r="H134" s="128">
        <f>'2.9 Artifact Optimizer'!H217*$F301</f>
        <v>108000000</v>
      </c>
      <c r="I134" s="294">
        <f t="shared" si="5"/>
        <v>8.39945E+22</v>
      </c>
      <c r="J134" s="468"/>
      <c r="K134" s="5"/>
      <c r="R134" s="249"/>
      <c r="S134" s="249"/>
      <c r="T134" s="249"/>
      <c r="U134" s="257">
        <v>37.0</v>
      </c>
      <c r="V134" s="1">
        <f t="shared" si="28"/>
        <v>37</v>
      </c>
      <c r="W134" s="249"/>
      <c r="X134" s="249"/>
      <c r="AA134" s="301"/>
      <c r="AB134" s="301"/>
    </row>
    <row r="135">
      <c r="A135" s="5"/>
      <c r="B135" s="6">
        <f>1 +'2.9 Artifact Optimizer'!D218 *F302 ^ ((1 + ('2.9 Artifact Optimizer'!J218 - 1) * min(('2.9 Artifact Optimizer'!F218 * B50),'2.9 Artifact Optimizer'!E218)) ^ '2.9 Artifact Optimizer'!G218)</f>
        <v>213488209.5</v>
      </c>
      <c r="C135" s="6">
        <f>(1 + '2.9 Artifact Optimizer'!D218 * ($F302+$C$90) ^ ((1 + ('2.9 Artifact Optimizer'!J218 - 1) * min(('2.9 Artifact Optimizer'!F218 * ($F302+$C$90)), '2.9 Artifact Optimizer'!E218)) ^ '2.9 Artifact Optimizer'!G218))</f>
        <v>1098969412</v>
      </c>
      <c r="D135" s="439">
        <f>'2.9 Artifact Optimizer'!I218*F302^'2.9 Artifact Optimizer'!J218</f>
        <v>734100294249065</v>
      </c>
      <c r="E135" s="466">
        <f>'2.9 Artifact Optimizer'!I218*($F302+$E$90)^'2.9 Artifact Optimizer'!J218</f>
        <v>734100294249065</v>
      </c>
      <c r="F135" s="467">
        <f>('2.9 Artifact Optimizer'!H218*$F302*$B$100+$K$172)/($K$172)</f>
        <v>1.041182748</v>
      </c>
      <c r="G135" t="b">
        <f t="shared" si="4"/>
        <v>1</v>
      </c>
      <c r="H135" s="128">
        <f>'2.9 Artifact Optimizer'!H218*$F302</f>
        <v>150000000</v>
      </c>
      <c r="I135" s="294">
        <f t="shared" si="5"/>
        <v>2.03917E+23</v>
      </c>
      <c r="J135" s="468"/>
      <c r="K135" s="5"/>
      <c r="R135" s="249"/>
      <c r="S135" s="249"/>
      <c r="T135" s="249"/>
      <c r="U135" s="257">
        <v>38.0</v>
      </c>
      <c r="V135" s="1">
        <f t="shared" si="28"/>
        <v>38</v>
      </c>
      <c r="W135" s="249"/>
      <c r="X135" s="249"/>
      <c r="Y135" s="249"/>
      <c r="AC135" s="301"/>
    </row>
    <row r="136">
      <c r="A136" s="5"/>
      <c r="B136" s="6">
        <f>1 +'2.9 Artifact Optimizer'!D219 *F303 ^ ((1 + ('2.9 Artifact Optimizer'!J219 - 1) * min(('2.9 Artifact Optimizer'!F219 * B51),'2.9 Artifact Optimizer'!E219)) ^ '2.9 Artifact Optimizer'!G219)</f>
        <v>170114352.7</v>
      </c>
      <c r="C136" s="6">
        <f>(1 + '2.9 Artifact Optimizer'!D219 * ($F303+$C$90) ^ ((1 + ('2.9 Artifact Optimizer'!J219 - 1) * min(('2.9 Artifact Optimizer'!F219 * ($F303+$C$90)), '2.9 Artifact Optimizer'!E219)) ^ '2.9 Artifact Optimizer'!G219))</f>
        <v>967305709.6</v>
      </c>
      <c r="D136" s="439">
        <f>'2.9 Artifact Optimizer'!I219*F303^'2.9 Artifact Optimizer'!J219</f>
        <v>606008080354810</v>
      </c>
      <c r="E136" s="466">
        <f>'2.9 Artifact Optimizer'!I219*($F303+$E$90)^'2.9 Artifact Optimizer'!J219</f>
        <v>606008080354810</v>
      </c>
      <c r="F136" s="467">
        <f>('2.9 Artifact Optimizer'!H219*$F303*$B$100+$K$172)/($K$172)</f>
        <v>1.036789922</v>
      </c>
      <c r="G136" t="b">
        <f t="shared" si="4"/>
        <v>1</v>
      </c>
      <c r="H136" s="128">
        <f>'2.9 Artifact Optimizer'!H219*$F303</f>
        <v>134000000</v>
      </c>
      <c r="I136" s="294">
        <f t="shared" si="5"/>
        <v>1.5038E+23</v>
      </c>
      <c r="J136" s="468"/>
      <c r="K136" s="5"/>
      <c r="R136" s="249"/>
      <c r="S136" s="249"/>
      <c r="T136" s="249"/>
      <c r="U136" s="257">
        <v>39.0</v>
      </c>
      <c r="V136" s="1">
        <f t="shared" si="28"/>
        <v>39</v>
      </c>
      <c r="W136" s="249"/>
      <c r="X136" s="249"/>
      <c r="Y136" s="249"/>
      <c r="AC136" s="301"/>
    </row>
    <row r="137">
      <c r="A137" s="5"/>
      <c r="B137" s="6">
        <f>1 +'2.9 Artifact Optimizer'!D220 *F304 ^ ((1 + ('2.9 Artifact Optimizer'!J220 - 1) * min(('2.9 Artifact Optimizer'!F220 * B52),'2.9 Artifact Optimizer'!E220)) ^ '2.9 Artifact Optimizer'!G220)</f>
        <v>7716686.986</v>
      </c>
      <c r="C137" s="6">
        <f>(1 + '2.9 Artifact Optimizer'!D220 * ($F304+$C$90) ^ ((1 + ('2.9 Artifact Optimizer'!J220 - 1) * min(('2.9 Artifact Optimizer'!F220 * ($F304+$C$90)), '2.9 Artifact Optimizer'!E220)) ^ '2.9 Artifact Optimizer'!G220))</f>
        <v>75829684.68</v>
      </c>
      <c r="D137" s="439">
        <f>'2.9 Artifact Optimizer'!I220*F304^'2.9 Artifact Optimizer'!J220</f>
        <v>13213402352615</v>
      </c>
      <c r="E137" s="466">
        <f>'2.9 Artifact Optimizer'!I220*($F304+$E$90)^'2.9 Artifact Optimizer'!J220</f>
        <v>13213402352615</v>
      </c>
      <c r="F137" s="467">
        <f>('2.9 Artifact Optimizer'!H220*$F304*$B$100+$K$172)/($K$172)</f>
        <v>1.00387612</v>
      </c>
      <c r="G137" t="b">
        <f t="shared" si="4"/>
        <v>1</v>
      </c>
      <c r="H137" s="128">
        <f>'2.9 Artifact Optimizer'!H220*$F304</f>
        <v>14118000</v>
      </c>
      <c r="I137" s="294">
        <f t="shared" si="5"/>
        <v>3.45457E+20</v>
      </c>
      <c r="J137" s="468"/>
      <c r="K137" s="5"/>
      <c r="L137" s="249"/>
      <c r="M137" s="249"/>
      <c r="N137" s="249"/>
      <c r="O137" s="249"/>
      <c r="P137" s="249"/>
      <c r="Q137" s="249"/>
      <c r="R137" s="249"/>
      <c r="S137" s="249"/>
      <c r="T137" s="249"/>
      <c r="U137" s="249"/>
      <c r="V137" s="249"/>
      <c r="W137" s="249"/>
      <c r="X137" s="249"/>
      <c r="Y137" s="249"/>
      <c r="Z137" s="249"/>
      <c r="AA137" s="249"/>
      <c r="AB137" s="249"/>
      <c r="AF137" s="301"/>
    </row>
    <row r="138">
      <c r="A138" s="5"/>
      <c r="B138" s="6">
        <f>1 +'2.9 Artifact Optimizer'!D221 *F305 ^ ((1 + ('2.9 Artifact Optimizer'!J221 - 1) * min(('2.9 Artifact Optimizer'!F221 * B53),'2.9 Artifact Optimizer'!E221)) ^ '2.9 Artifact Optimizer'!G221)</f>
        <v>1.8</v>
      </c>
      <c r="C138" s="6">
        <f>(1 + '2.9 Artifact Optimizer'!D221 * ($F305+$C$90) ^ ((1 + ('2.9 Artifact Optimizer'!J221 - 1) * min(('2.9 Artifact Optimizer'!F221 * ($F305+$C$90)), '2.9 Artifact Optimizer'!E221)) ^ '2.9 Artifact Optimizer'!G221))</f>
        <v>1.8</v>
      </c>
      <c r="D138" s="439">
        <f>'2.9 Artifact Optimizer'!I221*F305^'2.9 Artifact Optimizer'!J221</f>
        <v>7316.880831</v>
      </c>
      <c r="E138" s="466">
        <f>'2.9 Artifact Optimizer'!I221*($F305+$E$90)^'2.9 Artifact Optimizer'!J221</f>
        <v>7316.880831</v>
      </c>
      <c r="F138" s="467">
        <f>('2.9 Artifact Optimizer'!H221*$F305*$B$100+$K$172)/($K$172)</f>
        <v>1.000000009</v>
      </c>
      <c r="G138" t="b">
        <f t="shared" si="4"/>
        <v>1</v>
      </c>
      <c r="H138" s="128">
        <f>'2.9 Artifact Optimizer'!H221*$F305</f>
        <v>32</v>
      </c>
      <c r="I138" s="294">
        <f t="shared" si="5"/>
        <v>81298.6759</v>
      </c>
      <c r="J138" s="468"/>
      <c r="K138" s="5"/>
      <c r="L138" s="249"/>
      <c r="M138" s="249"/>
      <c r="N138" s="249"/>
      <c r="O138" s="249"/>
      <c r="P138" s="249"/>
      <c r="Q138" s="249"/>
      <c r="R138" s="249"/>
      <c r="S138" s="249"/>
      <c r="T138" s="249"/>
      <c r="U138" s="249"/>
      <c r="V138" s="249"/>
      <c r="W138" s="249"/>
      <c r="X138" s="249"/>
      <c r="Y138" s="249"/>
      <c r="Z138" s="249"/>
      <c r="AA138" s="249"/>
      <c r="AB138" s="249"/>
      <c r="AC138" s="249"/>
      <c r="AG138" s="301"/>
    </row>
    <row r="139">
      <c r="A139" s="5"/>
      <c r="B139" s="6">
        <f>1 +'2.9 Artifact Optimizer'!D222 *F306 ^ ((1 + ('2.9 Artifact Optimizer'!J222 - 1) * min(('2.9 Artifact Optimizer'!F222 * B54),'2.9 Artifact Optimizer'!E222)) ^ '2.9 Artifact Optimizer'!G222)</f>
        <v>31</v>
      </c>
      <c r="C139" s="6">
        <f>(1 + '2.9 Artifact Optimizer'!D222 * ($F306+$C$90) ^ ((1 + ('2.9 Artifact Optimizer'!J222 - 1) * min(('2.9 Artifact Optimizer'!F222 * ($F306+$C$90)), '2.9 Artifact Optimizer'!E222)) ^ '2.9 Artifact Optimizer'!G222))</f>
        <v>31</v>
      </c>
      <c r="D139" s="439">
        <f>'2.9 Artifact Optimizer'!I222*F306^'2.9 Artifact Optimizer'!J222</f>
        <v>27000</v>
      </c>
      <c r="E139" s="466">
        <f>'2.9 Artifact Optimizer'!I222*($F306+$E$90)^'2.9 Artifact Optimizer'!J222</f>
        <v>27000</v>
      </c>
      <c r="F139" s="467">
        <f>('2.9 Artifact Optimizer'!H222*$F306*$B$100+$K$172)/($K$172)</f>
        <v>1.000000007</v>
      </c>
      <c r="G139" t="b">
        <f t="shared" si="4"/>
        <v>1</v>
      </c>
      <c r="H139" s="128">
        <f>'2.9 Artifact Optimizer'!H222*$F306</f>
        <v>24</v>
      </c>
      <c r="I139" s="294">
        <f t="shared" si="5"/>
        <v>202500</v>
      </c>
      <c r="J139" s="468"/>
      <c r="K139" s="5"/>
      <c r="L139" s="249"/>
      <c r="M139" s="249"/>
      <c r="N139" s="249"/>
      <c r="O139" s="249"/>
      <c r="P139" s="249"/>
      <c r="Q139" s="249"/>
      <c r="R139" s="249"/>
      <c r="S139" s="249"/>
      <c r="T139" s="249"/>
      <c r="U139" s="249"/>
      <c r="V139" s="249"/>
      <c r="W139" s="249"/>
      <c r="X139" s="249"/>
      <c r="Y139" s="249"/>
      <c r="Z139" s="249"/>
      <c r="AA139" s="249"/>
      <c r="AB139" s="249"/>
      <c r="AC139" s="249"/>
      <c r="AG139" s="301"/>
    </row>
    <row r="140">
      <c r="A140" s="5"/>
      <c r="B140" s="6">
        <f>1 +'2.9 Artifact Optimizer'!D223 *F307 ^ ((1 + ('2.9 Artifact Optimizer'!J223 - 1) * min(('2.9 Artifact Optimizer'!F223 * B55),'2.9 Artifact Optimizer'!E223)) ^ '2.9 Artifact Optimizer'!G223)</f>
        <v>61</v>
      </c>
      <c r="C140" s="6">
        <f>(1 + '2.9 Artifact Optimizer'!D223 * ($F307+$C$90) ^ ((1 + ('2.9 Artifact Optimizer'!J223 - 1) * min(('2.9 Artifact Optimizer'!F223 * ($F307+$C$90)), '2.9 Artifact Optimizer'!E223)) ^ '2.9 Artifact Optimizer'!G223))</f>
        <v>61</v>
      </c>
      <c r="D140" s="439">
        <f>'2.9 Artifact Optimizer'!I223*F307^'2.9 Artifact Optimizer'!J223</f>
        <v>2104.952314</v>
      </c>
      <c r="E140" s="466">
        <f>'2.9 Artifact Optimizer'!I223*($F307+$E$90)^'2.9 Artifact Optimizer'!J223</f>
        <v>2104.952314</v>
      </c>
      <c r="F140" s="467">
        <f>('2.9 Artifact Optimizer'!H223*$F307*$B$100+$K$172)/($K$172)</f>
        <v>1.000000012</v>
      </c>
      <c r="G140" t="b">
        <f t="shared" si="4"/>
        <v>1</v>
      </c>
      <c r="H140" s="128">
        <f>'2.9 Artifact Optimizer'!H223*$F307</f>
        <v>45</v>
      </c>
      <c r="I140" s="294">
        <f t="shared" si="5"/>
        <v>18573.10865</v>
      </c>
      <c r="J140" s="468"/>
      <c r="K140" s="5"/>
      <c r="L140" s="249"/>
      <c r="M140" s="249"/>
      <c r="N140" s="249"/>
      <c r="O140" s="249"/>
      <c r="P140" s="249"/>
      <c r="Q140" s="249"/>
      <c r="R140" s="249"/>
      <c r="S140" s="249"/>
      <c r="T140" s="249"/>
      <c r="U140" s="249"/>
      <c r="V140" s="249"/>
      <c r="W140" s="249"/>
      <c r="X140" s="249"/>
      <c r="Y140" s="249"/>
      <c r="Z140" s="249"/>
      <c r="AA140" s="249"/>
      <c r="AB140" s="249"/>
      <c r="AC140" s="249"/>
      <c r="AG140" s="301"/>
    </row>
    <row r="141">
      <c r="A141" s="5"/>
      <c r="B141" s="6">
        <f>1 +'2.9 Artifact Optimizer'!D224 *F308 ^ ((1 + ('2.9 Artifact Optimizer'!J224 - 1) * min(('2.9 Artifact Optimizer'!F224 * B56),'2.9 Artifact Optimizer'!E224)) ^ '2.9 Artifact Optimizer'!G224)</f>
        <v>61</v>
      </c>
      <c r="C141" s="6">
        <f>(1 + '2.9 Artifact Optimizer'!D224 * ($F308+$C$90) ^ ((1 + ('2.9 Artifact Optimizer'!J224 - 1) * min(('2.9 Artifact Optimizer'!F224 * ($F308+$C$90)), '2.9 Artifact Optimizer'!E224)) ^ '2.9 Artifact Optimizer'!G224))</f>
        <v>61</v>
      </c>
      <c r="D141" s="439">
        <f>'2.9 Artifact Optimizer'!I224*F308^'2.9 Artifact Optimizer'!J224</f>
        <v>2104.952314</v>
      </c>
      <c r="E141" s="466">
        <f>'2.9 Artifact Optimizer'!I224*($F308+$E$90)^'2.9 Artifact Optimizer'!J224</f>
        <v>2104.952314</v>
      </c>
      <c r="F141" s="467">
        <f>('2.9 Artifact Optimizer'!H224*$F308*$B$100+$K$172)/($K$172)</f>
        <v>1.000000012</v>
      </c>
      <c r="G141" t="b">
        <f t="shared" si="4"/>
        <v>1</v>
      </c>
      <c r="H141" s="128">
        <f>'2.9 Artifact Optimizer'!H224*$F308</f>
        <v>45</v>
      </c>
      <c r="I141" s="294">
        <f t="shared" si="5"/>
        <v>18573.10865</v>
      </c>
      <c r="J141" s="468"/>
      <c r="K141" s="5"/>
      <c r="U141" s="249"/>
      <c r="V141" s="249"/>
      <c r="W141" s="249"/>
      <c r="X141" s="249"/>
      <c r="Y141" s="249"/>
      <c r="Z141" s="249"/>
      <c r="AA141" s="249"/>
      <c r="AB141" s="249"/>
      <c r="AC141" s="249"/>
      <c r="AG141" s="301"/>
    </row>
    <row r="142">
      <c r="A142" s="5"/>
      <c r="B142" s="6">
        <f>1 +'2.9 Artifact Optimizer'!D225 *F309 ^ ((1 + ('2.9 Artifact Optimizer'!J225 - 1) * min(('2.9 Artifact Optimizer'!F225 * B57),'2.9 Artifact Optimizer'!E225)) ^ '2.9 Artifact Optimizer'!G225)</f>
        <v>61</v>
      </c>
      <c r="C142" s="6">
        <f>(1 + '2.9 Artifact Optimizer'!D225 * ($F309+$C$90) ^ ((1 + ('2.9 Artifact Optimizer'!J225 - 1) * min(('2.9 Artifact Optimizer'!F225 * ($F309+$C$90)), '2.9 Artifact Optimizer'!E225)) ^ '2.9 Artifact Optimizer'!G225))</f>
        <v>61</v>
      </c>
      <c r="D142" s="439">
        <f>'2.9 Artifact Optimizer'!I225*F309^'2.9 Artifact Optimizer'!J225</f>
        <v>2104.952314</v>
      </c>
      <c r="E142" s="466">
        <f>'2.9 Artifact Optimizer'!I225*($F309+$E$90)^'2.9 Artifact Optimizer'!J225</f>
        <v>2104.952314</v>
      </c>
      <c r="F142" s="467">
        <f>('2.9 Artifact Optimizer'!H225*$F309*$B$100+$K$172)/($K$172)</f>
        <v>1.000000012</v>
      </c>
      <c r="G142" t="b">
        <f t="shared" si="4"/>
        <v>1</v>
      </c>
      <c r="H142" s="128">
        <f>'2.9 Artifact Optimizer'!H225*$F309</f>
        <v>45</v>
      </c>
      <c r="I142" s="294">
        <f t="shared" si="5"/>
        <v>18573.10865</v>
      </c>
      <c r="J142" s="468"/>
      <c r="K142" s="5"/>
      <c r="T142" s="249"/>
      <c r="U142" s="249"/>
      <c r="V142" s="249"/>
      <c r="W142" s="249"/>
      <c r="X142" s="249"/>
      <c r="Y142" s="249"/>
      <c r="Z142" s="249"/>
      <c r="AA142" s="249"/>
      <c r="AB142" s="249"/>
      <c r="AG142" s="301"/>
    </row>
    <row r="143">
      <c r="A143" s="5"/>
      <c r="B143" s="6">
        <f>1 +'2.9 Artifact Optimizer'!D226 *F310 ^ ((1 + ('2.9 Artifact Optimizer'!J226 - 1) * min(('2.9 Artifact Optimizer'!F226 * B58),'2.9 Artifact Optimizer'!E226)) ^ '2.9 Artifact Optimizer'!G226)</f>
        <v>61</v>
      </c>
      <c r="C143" s="6">
        <f>(1 + '2.9 Artifact Optimizer'!D226 * ($F310+$C$90) ^ ((1 + ('2.9 Artifact Optimizer'!J226 - 1) * min(('2.9 Artifact Optimizer'!F226 * ($F310+$C$90)), '2.9 Artifact Optimizer'!E226)) ^ '2.9 Artifact Optimizer'!G226))</f>
        <v>61</v>
      </c>
      <c r="D143" s="439">
        <f>'2.9 Artifact Optimizer'!I226*F310^'2.9 Artifact Optimizer'!J226</f>
        <v>2104.952314</v>
      </c>
      <c r="E143" s="466">
        <f>'2.9 Artifact Optimizer'!I226*($F310+$E$90)^'2.9 Artifact Optimizer'!J226</f>
        <v>2104.952314</v>
      </c>
      <c r="F143" s="467">
        <f>('2.9 Artifact Optimizer'!H226*$F310*$B$100+$K$172)/($K$172)</f>
        <v>1.000000012</v>
      </c>
      <c r="G143" t="b">
        <f t="shared" si="4"/>
        <v>1</v>
      </c>
      <c r="H143" s="128">
        <f>'2.9 Artifact Optimizer'!H226*$F310</f>
        <v>45</v>
      </c>
      <c r="I143" s="294">
        <f t="shared" si="5"/>
        <v>18573.10865</v>
      </c>
      <c r="J143" s="468"/>
      <c r="K143" s="5"/>
      <c r="T143" s="249"/>
      <c r="U143" s="249"/>
      <c r="V143" s="249"/>
      <c r="W143" s="249"/>
      <c r="X143" s="249"/>
      <c r="Y143" s="249"/>
      <c r="Z143" s="249"/>
      <c r="AA143" s="249"/>
      <c r="AB143" s="249"/>
      <c r="AG143" s="301"/>
    </row>
    <row r="144">
      <c r="A144" s="5"/>
      <c r="B144" s="6">
        <f>1 +'2.9 Artifact Optimizer'!D227 *F311 ^ ((1 + ('2.9 Artifact Optimizer'!J227 - 1) * min(('2.9 Artifact Optimizer'!F227 * B59),'2.9 Artifact Optimizer'!E227)) ^ '2.9 Artifact Optimizer'!G227)</f>
        <v>61</v>
      </c>
      <c r="C144" s="6">
        <f>(1 + '2.9 Artifact Optimizer'!D227 * ($F311+$C$90) ^ ((1 + ('2.9 Artifact Optimizer'!J227 - 1) * min(('2.9 Artifact Optimizer'!F227 * ($F311+$C$90)), '2.9 Artifact Optimizer'!E227)) ^ '2.9 Artifact Optimizer'!G227))</f>
        <v>61</v>
      </c>
      <c r="D144" s="439">
        <f>'2.9 Artifact Optimizer'!I227*F311^'2.9 Artifact Optimizer'!J227</f>
        <v>2104.952314</v>
      </c>
      <c r="E144" s="466">
        <f>'2.9 Artifact Optimizer'!I227*($F311+$E$90)^'2.9 Artifact Optimizer'!J227</f>
        <v>2104.952314</v>
      </c>
      <c r="F144" s="467">
        <f>('2.9 Artifact Optimizer'!H227*$F311*$B$100+$K$172)/($K$172)</f>
        <v>1.000000012</v>
      </c>
      <c r="G144" t="b">
        <f t="shared" si="4"/>
        <v>1</v>
      </c>
      <c r="H144" s="128">
        <f>'2.9 Artifact Optimizer'!H227*$F311</f>
        <v>45</v>
      </c>
      <c r="I144" s="294">
        <f t="shared" si="5"/>
        <v>18573.10865</v>
      </c>
      <c r="J144" s="468"/>
      <c r="K144" s="5"/>
      <c r="T144" s="249"/>
      <c r="U144" s="249"/>
      <c r="V144" s="249"/>
      <c r="W144" s="249"/>
      <c r="X144" s="249"/>
      <c r="Y144" s="249"/>
      <c r="Z144" s="249"/>
      <c r="AA144" s="249"/>
      <c r="AB144" s="249"/>
      <c r="AG144" s="301"/>
    </row>
    <row r="145">
      <c r="A145" s="5"/>
      <c r="B145" s="6">
        <f>1 +'2.9 Artifact Optimizer'!D228 *F312 ^ ((1 + ('2.9 Artifact Optimizer'!J228 - 1) * min(('2.9 Artifact Optimizer'!F228 * B60),'2.9 Artifact Optimizer'!E228)) ^ '2.9 Artifact Optimizer'!G228)</f>
        <v>21</v>
      </c>
      <c r="C145" s="6">
        <f>(1 + '2.9 Artifact Optimizer'!D228 * ($F312+$C$90) ^ ((1 + ('2.9 Artifact Optimizer'!J228 - 1) * min(('2.9 Artifact Optimizer'!F228 * ($F312+$C$90)), '2.9 Artifact Optimizer'!E228)) ^ '2.9 Artifact Optimizer'!G228))</f>
        <v>21</v>
      </c>
      <c r="D145" s="439">
        <f>'2.9 Artifact Optimizer'!I228*F312^'2.9 Artifact Optimizer'!J228</f>
        <v>4800</v>
      </c>
      <c r="E145" s="466">
        <f>'2.9 Artifact Optimizer'!I228*($F312+$E$90)^'2.9 Artifact Optimizer'!J228</f>
        <v>4800</v>
      </c>
      <c r="F145" s="467">
        <f>('2.9 Artifact Optimizer'!H228*$F312*$B$100+$K$172)/($K$172)</f>
        <v>1.000000005</v>
      </c>
      <c r="G145" t="b">
        <f t="shared" si="4"/>
        <v>1</v>
      </c>
      <c r="H145" s="128">
        <f>'2.9 Artifact Optimizer'!H228*$F312</f>
        <v>18</v>
      </c>
      <c r="I145" s="294">
        <f t="shared" si="5"/>
        <v>24000</v>
      </c>
      <c r="J145" s="468"/>
      <c r="K145" s="5"/>
      <c r="T145" s="249"/>
      <c r="U145" s="249"/>
      <c r="V145" s="249"/>
      <c r="W145" s="249"/>
      <c r="X145" s="249"/>
      <c r="Y145" s="249"/>
      <c r="Z145" s="249"/>
      <c r="AA145" s="249"/>
      <c r="AB145" s="249"/>
      <c r="AG145" s="301"/>
    </row>
    <row r="146">
      <c r="A146" s="5"/>
      <c r="B146" s="6">
        <f>1 +'2.9 Artifact Optimizer'!D229 *F313 ^ ((1 + ('2.9 Artifact Optimizer'!J229 - 1) * min(('2.9 Artifact Optimizer'!F229 * B61),'2.9 Artifact Optimizer'!E229)) ^ '2.9 Artifact Optimizer'!G229)</f>
        <v>31</v>
      </c>
      <c r="C146" s="6">
        <f>(1 + '2.9 Artifact Optimizer'!D229 * ($F313+$C$90) ^ ((1 + ('2.9 Artifact Optimizer'!J229 - 1) * min(('2.9 Artifact Optimizer'!F229 * ($F313+$C$90)), '2.9 Artifact Optimizer'!E229)) ^ '2.9 Artifact Optimizer'!G229))</f>
        <v>31</v>
      </c>
      <c r="D146" s="439">
        <f>'2.9 Artifact Optimizer'!I229*F313^'2.9 Artifact Optimizer'!J229</f>
        <v>16200</v>
      </c>
      <c r="E146" s="466">
        <f>'2.9 Artifact Optimizer'!I229*($F313+$E$90)^'2.9 Artifact Optimizer'!J229</f>
        <v>16200</v>
      </c>
      <c r="F146" s="467">
        <f>('2.9 Artifact Optimizer'!H229*$F313*$B$100+$K$172)/($K$172)</f>
        <v>1.000000007</v>
      </c>
      <c r="G146" t="b">
        <f t="shared" si="4"/>
        <v>1</v>
      </c>
      <c r="H146" s="128">
        <f>'2.9 Artifact Optimizer'!H229*$F313</f>
        <v>24</v>
      </c>
      <c r="I146" s="294">
        <f t="shared" si="5"/>
        <v>121500</v>
      </c>
      <c r="J146" s="468"/>
      <c r="K146" s="5"/>
      <c r="T146" s="249"/>
      <c r="U146" s="249"/>
      <c r="V146" s="249"/>
      <c r="W146" s="249"/>
      <c r="X146" s="249"/>
      <c r="Y146" s="249"/>
      <c r="Z146" s="249"/>
      <c r="AA146" s="249"/>
      <c r="AB146" s="249"/>
      <c r="AG146" s="301"/>
    </row>
    <row r="147">
      <c r="A147" s="5"/>
      <c r="B147" s="6">
        <f>1 +'2.9 Artifact Optimizer'!D230 *F314 ^ ((1 + ('2.9 Artifact Optimizer'!J230 - 1) * min(('2.9 Artifact Optimizer'!F230 * B62),'2.9 Artifact Optimizer'!E230)) ^ '2.9 Artifact Optimizer'!G230)</f>
        <v>41</v>
      </c>
      <c r="C147" s="6">
        <f>(1 + '2.9 Artifact Optimizer'!D230 * ($F314+$C$90) ^ ((1 + ('2.9 Artifact Optimizer'!J230 - 1) * min(('2.9 Artifact Optimizer'!F230 * ($F314+$C$90)), '2.9 Artifact Optimizer'!E230)) ^ '2.9 Artifact Optimizer'!G230))</f>
        <v>41</v>
      </c>
      <c r="D147" s="439">
        <f>'2.9 Artifact Optimizer'!I230*F314^'2.9 Artifact Optimizer'!J230</f>
        <v>38400</v>
      </c>
      <c r="E147" s="466">
        <f>'2.9 Artifact Optimizer'!I230*($F314+$E$90)^'2.9 Artifact Optimizer'!J230</f>
        <v>38400</v>
      </c>
      <c r="F147" s="467">
        <f>('2.9 Artifact Optimizer'!H230*$F314*$B$100+$K$172)/($K$172)</f>
        <v>1.000000009</v>
      </c>
      <c r="G147" t="b">
        <f t="shared" si="4"/>
        <v>1</v>
      </c>
      <c r="H147" s="128">
        <f>'2.9 Artifact Optimizer'!H230*$F314</f>
        <v>32</v>
      </c>
      <c r="I147" s="294">
        <f t="shared" si="5"/>
        <v>384000</v>
      </c>
      <c r="J147" s="468"/>
      <c r="K147" s="5"/>
      <c r="T147" s="249"/>
      <c r="U147" s="249"/>
      <c r="V147" s="249"/>
      <c r="W147" s="249"/>
      <c r="X147" s="249"/>
      <c r="Y147" s="249"/>
      <c r="Z147" s="249"/>
      <c r="AA147" s="249"/>
      <c r="AB147" s="249"/>
      <c r="AG147" s="301"/>
    </row>
    <row r="148">
      <c r="A148" s="5"/>
      <c r="B148" s="6">
        <f>1 +'2.9 Artifact Optimizer'!D231 *F315 ^ ((1 + ('2.9 Artifact Optimizer'!J231 - 1) * min(('2.9 Artifact Optimizer'!F231 * B63),'2.9 Artifact Optimizer'!E231)) ^ '2.9 Artifact Optimizer'!G231)</f>
        <v>31</v>
      </c>
      <c r="C148" s="6">
        <f>(1 + '2.9 Artifact Optimizer'!D231 * ($F315+$C$90) ^ ((1 + ('2.9 Artifact Optimizer'!J231 - 1) * min(('2.9 Artifact Optimizer'!F231 * ($F315+$C$90)), '2.9 Artifact Optimizer'!E231)) ^ '2.9 Artifact Optimizer'!G231))</f>
        <v>31</v>
      </c>
      <c r="D148" s="439">
        <f>'2.9 Artifact Optimizer'!I231*F315^'2.9 Artifact Optimizer'!J231</f>
        <v>16200</v>
      </c>
      <c r="E148" s="466">
        <f>'2.9 Artifact Optimizer'!I231*($F315+$E$90)^'2.9 Artifact Optimizer'!J231</f>
        <v>16200</v>
      </c>
      <c r="F148" s="467">
        <f>('2.9 Artifact Optimizer'!H231*$F315*$B$100+$K$172)/($K$172)</f>
        <v>1.000000007</v>
      </c>
      <c r="G148" t="b">
        <f t="shared" si="4"/>
        <v>1</v>
      </c>
      <c r="H148" s="128">
        <f>'2.9 Artifact Optimizer'!H231*$F315</f>
        <v>24</v>
      </c>
      <c r="I148" s="294">
        <f t="shared" si="5"/>
        <v>121500</v>
      </c>
      <c r="J148" s="468"/>
      <c r="K148" s="5"/>
      <c r="T148" s="249"/>
      <c r="U148" s="249"/>
      <c r="V148" s="249"/>
      <c r="W148" s="249"/>
      <c r="X148" s="249"/>
      <c r="Y148" s="249"/>
      <c r="Z148" s="249"/>
      <c r="AA148" s="249"/>
      <c r="AB148" s="249"/>
      <c r="AG148" s="301"/>
    </row>
    <row r="149">
      <c r="A149" s="5"/>
      <c r="B149" s="6">
        <f>1 +'2.9 Artifact Optimizer'!D232 *F316 ^ ((1 + ('2.9 Artifact Optimizer'!J232 - 1) * min(('2.9 Artifact Optimizer'!F232 * B64),'2.9 Artifact Optimizer'!E232)) ^ '2.9 Artifact Optimizer'!G232)</f>
        <v>41</v>
      </c>
      <c r="C149" s="6">
        <f>(1 + '2.9 Artifact Optimizer'!D232 * ($F316+$C$90) ^ ((1 + ('2.9 Artifact Optimizer'!J232 - 1) * min(('2.9 Artifact Optimizer'!F232 * ($F316+$C$90)), '2.9 Artifact Optimizer'!E232)) ^ '2.9 Artifact Optimizer'!G232))</f>
        <v>41</v>
      </c>
      <c r="D149" s="439">
        <f>'2.9 Artifact Optimizer'!I232*F316^'2.9 Artifact Optimizer'!J232</f>
        <v>38400</v>
      </c>
      <c r="E149" s="466">
        <f>'2.9 Artifact Optimizer'!I232*($F316+$E$90)^'2.9 Artifact Optimizer'!J232</f>
        <v>38400</v>
      </c>
      <c r="F149" s="467">
        <f>('2.9 Artifact Optimizer'!H232*$F316*$B$100+$K$172)/($K$172)</f>
        <v>1.000000009</v>
      </c>
      <c r="G149" t="b">
        <f t="shared" si="4"/>
        <v>1</v>
      </c>
      <c r="H149" s="128">
        <f>'2.9 Artifact Optimizer'!H232*$F316</f>
        <v>32</v>
      </c>
      <c r="I149" s="294">
        <f t="shared" si="5"/>
        <v>384000</v>
      </c>
      <c r="J149" s="468"/>
      <c r="K149" s="5"/>
      <c r="T149" s="249"/>
      <c r="U149" s="249"/>
      <c r="V149" s="249"/>
      <c r="W149" s="249"/>
      <c r="X149" s="249"/>
      <c r="Y149" s="249"/>
      <c r="Z149" s="249"/>
      <c r="AA149" s="249"/>
      <c r="AB149" s="249"/>
      <c r="AG149" s="301"/>
    </row>
    <row r="150">
      <c r="A150" s="5"/>
      <c r="B150" s="6">
        <f>1 +'2.9 Artifact Optimizer'!D233 *F317 ^ ((1 + ('2.9 Artifact Optimizer'!J233 - 1) * min(('2.9 Artifact Optimizer'!F233 * B65),'2.9 Artifact Optimizer'!E233)) ^ '2.9 Artifact Optimizer'!G233)</f>
        <v>41</v>
      </c>
      <c r="C150" s="6">
        <f>(1 + '2.9 Artifact Optimizer'!D233 * ($F317+$C$90) ^ ((1 + ('2.9 Artifact Optimizer'!J233 - 1) * min(('2.9 Artifact Optimizer'!F233 * ($F317+$C$90)), '2.9 Artifact Optimizer'!E233)) ^ '2.9 Artifact Optimizer'!G233))</f>
        <v>41</v>
      </c>
      <c r="D150" s="439">
        <f>'2.9 Artifact Optimizer'!I233*F317^'2.9 Artifact Optimizer'!J233</f>
        <v>38400</v>
      </c>
      <c r="E150" s="466">
        <f>'2.9 Artifact Optimizer'!I233*($F317+$E$90)^'2.9 Artifact Optimizer'!J233</f>
        <v>38400</v>
      </c>
      <c r="F150" s="467">
        <f>('2.9 Artifact Optimizer'!H233*$F317*$B$100+$K$172)/($K$172)</f>
        <v>1.000000009</v>
      </c>
      <c r="G150" t="b">
        <f t="shared" si="4"/>
        <v>1</v>
      </c>
      <c r="H150" s="128">
        <f>'2.9 Artifact Optimizer'!H233*$F317</f>
        <v>32</v>
      </c>
      <c r="I150" s="294">
        <f t="shared" si="5"/>
        <v>384000</v>
      </c>
      <c r="J150" s="468"/>
      <c r="K150" s="5"/>
      <c r="T150" s="249"/>
      <c r="U150" s="249"/>
      <c r="V150" s="249"/>
      <c r="W150" s="249"/>
      <c r="X150" s="249"/>
      <c r="Y150" s="249"/>
      <c r="Z150" s="249"/>
      <c r="AA150" s="249"/>
      <c r="AB150" s="249"/>
      <c r="AG150" s="301"/>
    </row>
    <row r="151">
      <c r="A151" s="5"/>
      <c r="B151" s="6">
        <f>1 +'2.9 Artifact Optimizer'!D234 *F318 ^ ((1 + ('2.9 Artifact Optimizer'!J234 - 1) * min(('2.9 Artifact Optimizer'!F234 * B66),'2.9 Artifact Optimizer'!E234)) ^ '2.9 Artifact Optimizer'!G234)</f>
        <v>81</v>
      </c>
      <c r="C151" s="6">
        <f>(1 + '2.9 Artifact Optimizer'!D234 * ($F318+$C$90) ^ ((1 + ('2.9 Artifact Optimizer'!J234 - 1) * min(('2.9 Artifact Optimizer'!F234 * ($F318+$C$90)), '2.9 Artifact Optimizer'!E234)) ^ '2.9 Artifact Optimizer'!G234))</f>
        <v>81</v>
      </c>
      <c r="D151" s="439">
        <f>'2.9 Artifact Optimizer'!I234*F318^'2.9 Artifact Optimizer'!J234</f>
        <v>38400</v>
      </c>
      <c r="E151" s="466">
        <f>'2.9 Artifact Optimizer'!I234*($F318+$E$90)^'2.9 Artifact Optimizer'!J234</f>
        <v>38400</v>
      </c>
      <c r="F151" s="467">
        <f>('2.9 Artifact Optimizer'!H234*$F318*$B$100+$K$172)/($K$172)</f>
        <v>1.000000009</v>
      </c>
      <c r="G151" t="b">
        <f t="shared" si="4"/>
        <v>1</v>
      </c>
      <c r="H151" s="128">
        <f>'2.9 Artifact Optimizer'!H234*$F318</f>
        <v>32</v>
      </c>
      <c r="I151" s="294">
        <f t="shared" si="5"/>
        <v>384000</v>
      </c>
      <c r="J151" s="468"/>
      <c r="K151" s="5"/>
      <c r="V151" s="249"/>
      <c r="W151" s="249"/>
      <c r="X151" s="249"/>
      <c r="Y151" s="249"/>
      <c r="Z151" s="249"/>
      <c r="AA151" s="249"/>
      <c r="AB151" s="249"/>
      <c r="AG151" s="301"/>
    </row>
    <row r="152">
      <c r="A152" s="5"/>
      <c r="B152" s="6">
        <f>1 +'2.9 Artifact Optimizer'!D235 *F319 ^ ((1 + ('2.9 Artifact Optimizer'!J235 - 1) * min(('2.9 Artifact Optimizer'!F235 * B67),'2.9 Artifact Optimizer'!E235)) ^ '2.9 Artifact Optimizer'!G235)</f>
        <v>4</v>
      </c>
      <c r="C152" s="6">
        <f>(1 + '2.9 Artifact Optimizer'!D235 * ($F319+$C$90) ^ ((1 + ('2.9 Artifact Optimizer'!J235 - 1) * min(('2.9 Artifact Optimizer'!F235 * ($F319+$C$90)), '2.9 Artifact Optimizer'!E235)) ^ '2.9 Artifact Optimizer'!G235))</f>
        <v>4</v>
      </c>
      <c r="D152" s="439">
        <f>'2.9 Artifact Optimizer'!I235*F319^'2.9 Artifact Optimizer'!J235</f>
        <v>7316.880831</v>
      </c>
      <c r="E152" s="466">
        <f>'2.9 Artifact Optimizer'!I235*($F319+$E$90)^'2.9 Artifact Optimizer'!J235</f>
        <v>7316.880831</v>
      </c>
      <c r="F152" s="467">
        <f>('2.9 Artifact Optimizer'!H235*$F319*$B$100+$K$172)/($K$172)</f>
        <v>1.000000022</v>
      </c>
      <c r="G152" t="b">
        <f t="shared" si="4"/>
        <v>1</v>
      </c>
      <c r="H152" s="128">
        <f>'2.9 Artifact Optimizer'!H235*$F319</f>
        <v>80</v>
      </c>
      <c r="I152" s="294">
        <f t="shared" si="5"/>
        <v>81298.6759</v>
      </c>
      <c r="J152" s="468"/>
      <c r="K152" s="5"/>
      <c r="V152" s="249"/>
      <c r="W152" s="249"/>
      <c r="X152" s="249"/>
      <c r="Y152" s="249"/>
      <c r="Z152" s="249"/>
      <c r="AA152" s="249"/>
      <c r="AB152" s="249"/>
      <c r="AG152" s="301"/>
    </row>
    <row r="153">
      <c r="A153" s="5"/>
      <c r="B153" s="6">
        <f>1 +'2.9 Artifact Optimizer'!D236 *F320 ^ ((1 + ('2.9 Artifact Optimizer'!J236 - 1) * min(('2.9 Artifact Optimizer'!F236 * B68),'2.9 Artifact Optimizer'!E236)) ^ '2.9 Artifact Optimizer'!G236)</f>
        <v>1.1</v>
      </c>
      <c r="C153" s="6">
        <f>(1 + '2.9 Artifact Optimizer'!D236 * ($F320+$C$90) ^ ((1 + ('2.9 Artifact Optimizer'!J236 - 1) * min(('2.9 Artifact Optimizer'!F236 * ($F320+$C$90)), '2.9 Artifact Optimizer'!E236)) ^ '2.9 Artifact Optimizer'!G236))</f>
        <v>1.1</v>
      </c>
      <c r="D153" s="439">
        <f>'2.9 Artifact Optimizer'!I236*F320^'2.9 Artifact Optimizer'!J236</f>
        <v>7316.880831</v>
      </c>
      <c r="E153" s="466">
        <f>'2.9 Artifact Optimizer'!I236*($F320+$E$90)^'2.9 Artifact Optimizer'!J236</f>
        <v>7316.880831</v>
      </c>
      <c r="F153" s="467">
        <f>('2.9 Artifact Optimizer'!H236*$F320*$B$100+$K$172)/($K$172)</f>
        <v>1.000000022</v>
      </c>
      <c r="G153" t="b">
        <f t="shared" si="4"/>
        <v>1</v>
      </c>
      <c r="H153" s="128">
        <f>'2.9 Artifact Optimizer'!H236*$F320</f>
        <v>80</v>
      </c>
      <c r="I153" s="294">
        <f t="shared" si="5"/>
        <v>81298.6759</v>
      </c>
      <c r="J153" s="468"/>
      <c r="K153" s="5"/>
      <c r="V153" s="249"/>
      <c r="W153" s="249"/>
      <c r="X153" s="249"/>
      <c r="Y153" s="249"/>
      <c r="Z153" s="249"/>
      <c r="AA153" s="249"/>
      <c r="AB153" s="249"/>
      <c r="AG153" s="301"/>
    </row>
    <row r="154">
      <c r="A154" s="5"/>
      <c r="B154" s="6">
        <f>1 +'2.9 Artifact Optimizer'!D237 *F321 ^ ((1 + ('2.9 Artifact Optimizer'!J237 - 1) * min(('2.9 Artifact Optimizer'!F237 * B69),'2.9 Artifact Optimizer'!E237)) ^ '2.9 Artifact Optimizer'!G237)</f>
        <v>1.2</v>
      </c>
      <c r="C154" s="6">
        <f>(1 + '2.9 Artifact Optimizer'!D237 * ($F321+$C$90) ^ ((1 + ('2.9 Artifact Optimizer'!J237 - 1) * min(('2.9 Artifact Optimizer'!F237 * ($F321+$C$90)), '2.9 Artifact Optimizer'!E237)) ^ '2.9 Artifact Optimizer'!G237))</f>
        <v>1.2</v>
      </c>
      <c r="D154" s="439">
        <f>'2.9 Artifact Optimizer'!I237*F321^'2.9 Artifact Optimizer'!J237</f>
        <v>89600</v>
      </c>
      <c r="E154" s="466">
        <f>'2.9 Artifact Optimizer'!I237*($F321+$E$90)^'2.9 Artifact Optimizer'!J237</f>
        <v>89600</v>
      </c>
      <c r="F154" s="467">
        <f>('2.9 Artifact Optimizer'!H237*$F321*$B$100+$K$172)/($K$172)</f>
        <v>1.000000022</v>
      </c>
      <c r="G154" t="b">
        <f t="shared" si="4"/>
        <v>1</v>
      </c>
      <c r="H154" s="128">
        <f>'2.9 Artifact Optimizer'!H237*$F321</f>
        <v>80</v>
      </c>
      <c r="I154" s="294">
        <f t="shared" si="5"/>
        <v>896000</v>
      </c>
      <c r="J154" s="468"/>
      <c r="K154" s="5"/>
      <c r="V154" s="249"/>
      <c r="W154" s="249"/>
      <c r="X154" s="249"/>
      <c r="Y154" s="249"/>
      <c r="Z154" s="249"/>
      <c r="AA154" s="249"/>
      <c r="AB154" s="249"/>
      <c r="AG154" s="301"/>
    </row>
    <row r="155">
      <c r="A155" s="5"/>
      <c r="B155" s="6">
        <f>1 +'2.9 Artifact Optimizer'!D238 *F322 ^ ((1 + ('2.9 Artifact Optimizer'!J238 - 1) * min(('2.9 Artifact Optimizer'!F238 * B70),'2.9 Artifact Optimizer'!E238)) ^ '2.9 Artifact Optimizer'!G238)</f>
        <v>1.5</v>
      </c>
      <c r="C155" s="6">
        <f>(1 + '2.9 Artifact Optimizer'!D238 * ($F322+$C$90) ^ ((1 + ('2.9 Artifact Optimizer'!J238 - 1) * min(('2.9 Artifact Optimizer'!F238 * ($F322+$C$90)), '2.9 Artifact Optimizer'!E238)) ^ '2.9 Artifact Optimizer'!G238))</f>
        <v>1.5</v>
      </c>
      <c r="D155" s="439">
        <f>'2.9 Artifact Optimizer'!I238*F322^'2.9 Artifact Optimizer'!J238</f>
        <v>20912.79105</v>
      </c>
      <c r="E155" s="466">
        <f>'2.9 Artifact Optimizer'!I238*($F322+$E$90)^'2.9 Artifact Optimizer'!J238</f>
        <v>20912.79105</v>
      </c>
      <c r="F155" s="467">
        <f>('2.9 Artifact Optimizer'!H238*$F322*$B$100+$K$172)/($K$172)</f>
        <v>1.000000014</v>
      </c>
      <c r="G155" t="b">
        <f t="shared" si="4"/>
        <v>1</v>
      </c>
      <c r="H155" s="128">
        <f>'2.9 Artifact Optimizer'!H238*$F322</f>
        <v>50</v>
      </c>
      <c r="I155" s="294">
        <f t="shared" si="5"/>
        <v>290455.4313</v>
      </c>
      <c r="J155" s="468"/>
      <c r="K155" s="5"/>
      <c r="V155" s="249"/>
      <c r="W155" s="249"/>
      <c r="X155" s="249"/>
      <c r="Y155" s="249"/>
      <c r="Z155" s="249"/>
      <c r="AA155" s="249"/>
      <c r="AB155" s="249"/>
      <c r="AG155" s="301"/>
    </row>
    <row r="156">
      <c r="A156" s="553"/>
      <c r="B156" s="6">
        <f>1 +'2.9 Artifact Optimizer'!D239 *F323 ^ ((1 + ('2.9 Artifact Optimizer'!J239 - 1) * min(('2.9 Artifact Optimizer'!F239 * B71),'2.9 Artifact Optimizer'!E239)) ^ '2.9 Artifact Optimizer'!G239)</f>
        <v>1.25</v>
      </c>
      <c r="C156" s="6">
        <f>(1 + '2.9 Artifact Optimizer'!D239 * ($F323+$C$90) ^ ((1 + ('2.9 Artifact Optimizer'!J239 - 1) * min(('2.9 Artifact Optimizer'!F239 * ($F323+$C$90)), '2.9 Artifact Optimizer'!E239)) ^ '2.9 Artifact Optimizer'!G239))</f>
        <v>1.25</v>
      </c>
      <c r="D156" s="439">
        <f>'2.9 Artifact Optimizer'!I239*F323^'2.9 Artifact Optimizer'!J239</f>
        <v>1848.447046</v>
      </c>
      <c r="E156" s="466">
        <f>'2.9 Artifact Optimizer'!I239*($F323+$E$90)^'2.9 Artifact Optimizer'!J239</f>
        <v>1848.447046</v>
      </c>
      <c r="F156" s="467">
        <f>('2.9 Artifact Optimizer'!H239*$F323*$B$100+$K$172)/($K$172)</f>
        <v>1.000000022</v>
      </c>
      <c r="G156" t="b">
        <f t="shared" si="4"/>
        <v>1</v>
      </c>
      <c r="H156" s="128">
        <f>'2.9 Artifact Optimizer'!H239*$F323</f>
        <v>80</v>
      </c>
      <c r="I156" s="294">
        <f t="shared" si="5"/>
        <v>29813.66203</v>
      </c>
      <c r="J156" s="468"/>
      <c r="K156" s="553"/>
      <c r="L156" s="553"/>
      <c r="M156" s="553"/>
      <c r="N156" s="553"/>
      <c r="O156" s="249"/>
      <c r="P156" s="249"/>
      <c r="Q156" s="249"/>
      <c r="U156" s="249"/>
      <c r="V156" s="249"/>
      <c r="AR156" s="301"/>
    </row>
    <row r="157">
      <c r="A157" s="553"/>
      <c r="B157" s="6">
        <f>1 +'2.9 Artifact Optimizer'!D240 *F324 ^ ((1 + ('2.9 Artifact Optimizer'!J240 - 1) * min(('2.9 Artifact Optimizer'!F240 * B72),'2.9 Artifact Optimizer'!E240)) ^ '2.9 Artifact Optimizer'!G240)</f>
        <v>1.2</v>
      </c>
      <c r="C157" s="6">
        <f>(1 + '2.9 Artifact Optimizer'!D240 * ($F324+$C$90) ^ ((1 + ('2.9 Artifact Optimizer'!J240 - 1) * min(('2.9 Artifact Optimizer'!F240 * ($F324+$C$90)), '2.9 Artifact Optimizer'!E240)) ^ '2.9 Artifact Optimizer'!G240))</f>
        <v>1.2</v>
      </c>
      <c r="D157" s="439">
        <f>'2.9 Artifact Optimizer'!I240*F324^'2.9 Artifact Optimizer'!J240</f>
        <v>8095.43081</v>
      </c>
      <c r="E157" s="466">
        <f>'2.9 Artifact Optimizer'!I240*($F324+$E$90)^'2.9 Artifact Optimizer'!J240</f>
        <v>8095.43081</v>
      </c>
      <c r="F157" s="467">
        <f>('2.9 Artifact Optimizer'!H240*$F324*$B$100+$K$172)/($K$172)</f>
        <v>1.000000033</v>
      </c>
      <c r="G157" t="b">
        <f t="shared" si="4"/>
        <v>1</v>
      </c>
      <c r="H157" s="128">
        <f>'2.9 Artifact Optimizer'!H240*$F324</f>
        <v>120</v>
      </c>
      <c r="I157" s="294">
        <f t="shared" si="5"/>
        <v>92519.20926</v>
      </c>
      <c r="J157" s="468"/>
      <c r="K157" s="553"/>
      <c r="L157" s="553"/>
      <c r="M157" s="553"/>
      <c r="N157" s="553"/>
      <c r="O157" s="249"/>
      <c r="P157" s="249"/>
      <c r="Q157" s="249"/>
      <c r="U157" s="249"/>
      <c r="V157" s="249"/>
      <c r="AR157" s="301"/>
    </row>
    <row r="158">
      <c r="A158" s="553"/>
      <c r="B158" s="6">
        <f>1 +'2.9 Artifact Optimizer'!D241 *F325 ^ ((1 + ('2.9 Artifact Optimizer'!J241 - 1) * min(('2.9 Artifact Optimizer'!F241 * B73),'2.9 Artifact Optimizer'!E241)) ^ '2.9 Artifact Optimizer'!G241)</f>
        <v>1.2</v>
      </c>
      <c r="C158" s="6">
        <f>(1 + '2.9 Artifact Optimizer'!D241 * ($F325+$C$90) ^ ((1 + ('2.9 Artifact Optimizer'!J241 - 1) * min(('2.9 Artifact Optimizer'!F241 * ($F325+$C$90)), '2.9 Artifact Optimizer'!E241)) ^ '2.9 Artifact Optimizer'!G241))</f>
        <v>1.2</v>
      </c>
      <c r="D158" s="439">
        <f>'2.9 Artifact Optimizer'!I241*F325^'2.9 Artifact Optimizer'!J241</f>
        <v>8095.43081</v>
      </c>
      <c r="E158" s="466">
        <f>'2.9 Artifact Optimizer'!I241*($F325+$E$90)^'2.9 Artifact Optimizer'!J241</f>
        <v>8095.43081</v>
      </c>
      <c r="F158" s="467">
        <f>('2.9 Artifact Optimizer'!H241*$F325*$B$100+$K$172)/($K$172)</f>
        <v>1.000000033</v>
      </c>
      <c r="G158" t="b">
        <f t="shared" si="4"/>
        <v>1</v>
      </c>
      <c r="H158" s="128">
        <f>'2.9 Artifact Optimizer'!H241*$F325</f>
        <v>120</v>
      </c>
      <c r="I158" s="294">
        <f t="shared" si="5"/>
        <v>92519.20926</v>
      </c>
      <c r="J158" s="468"/>
      <c r="K158" s="553"/>
      <c r="L158" s="553"/>
      <c r="M158" s="553"/>
      <c r="N158" s="553"/>
      <c r="O158" s="249"/>
      <c r="P158" s="249"/>
      <c r="Q158" s="249"/>
      <c r="U158" s="249"/>
      <c r="V158" s="249"/>
      <c r="AR158" s="301"/>
    </row>
    <row r="159">
      <c r="A159" s="553"/>
      <c r="B159" s="6">
        <f>1 +'2.9 Artifact Optimizer'!D242 *F326 ^ ((1 + ('2.9 Artifact Optimizer'!J242 - 1) * min(('2.9 Artifact Optimizer'!F242 * B74),'2.9 Artifact Optimizer'!E242)) ^ '2.9 Artifact Optimizer'!G242)</f>
        <v>1.04</v>
      </c>
      <c r="C159" s="6">
        <f>(1 + '2.9 Artifact Optimizer'!D242 * ($F326+$C$90) ^ ((1 + ('2.9 Artifact Optimizer'!J242 - 1) * min(('2.9 Artifact Optimizer'!F242 * ($F326+$C$90)), '2.9 Artifact Optimizer'!E242)) ^ '2.9 Artifact Optimizer'!G242))</f>
        <v>1.04</v>
      </c>
      <c r="D159" s="439">
        <f>'2.9 Artifact Optimizer'!I242*F326^'2.9 Artifact Optimizer'!J242</f>
        <v>8095.43081</v>
      </c>
      <c r="E159" s="466">
        <f>'2.9 Artifact Optimizer'!I242*($F326+$E$90)^'2.9 Artifact Optimizer'!J242</f>
        <v>8095.43081</v>
      </c>
      <c r="F159" s="467">
        <f>('2.9 Artifact Optimizer'!H242*$F326*$B$100+$K$172)/($K$172)</f>
        <v>1.000000033</v>
      </c>
      <c r="G159" t="b">
        <f t="shared" si="4"/>
        <v>1</v>
      </c>
      <c r="H159" s="128">
        <f>'2.9 Artifact Optimizer'!H242*$F326</f>
        <v>120</v>
      </c>
      <c r="I159" s="294">
        <f t="shared" si="5"/>
        <v>92519.20926</v>
      </c>
      <c r="J159" s="468"/>
      <c r="K159" s="553"/>
      <c r="L159" s="553"/>
      <c r="M159" s="553"/>
      <c r="N159" s="553"/>
      <c r="O159" s="249"/>
      <c r="P159" s="249"/>
      <c r="Q159" s="249"/>
      <c r="U159" s="249"/>
      <c r="V159" s="249"/>
      <c r="AR159" s="301"/>
    </row>
    <row r="160">
      <c r="A160" s="553"/>
      <c r="B160" s="6">
        <f>1 +'2.9 Artifact Optimizer'!D243 *F327 ^ ((1 + ('2.9 Artifact Optimizer'!J243 - 1) * min(('2.9 Artifact Optimizer'!F243 * B75),'2.9 Artifact Optimizer'!E243)) ^ '2.9 Artifact Optimizer'!G243)</f>
        <v>1</v>
      </c>
      <c r="C160" s="6">
        <f>(1 + '2.9 Artifact Optimizer'!D243 * ($F327+$C$90) ^ ((1 + ('2.9 Artifact Optimizer'!J243 - 1) * min(('2.9 Artifact Optimizer'!F243 * ($F327+$C$90)), '2.9 Artifact Optimizer'!E243)) ^ '2.9 Artifact Optimizer'!G243))</f>
        <v>1</v>
      </c>
      <c r="D160" s="439">
        <f>'2.9 Artifact Optimizer'!I243*F327^'2.9 Artifact Optimizer'!J243</f>
        <v>0</v>
      </c>
      <c r="E160" s="466">
        <f>'2.9 Artifact Optimizer'!I243*($F327+$E$90)^'2.9 Artifact Optimizer'!J243</f>
        <v>0</v>
      </c>
      <c r="F160" s="467">
        <f>('2.9 Artifact Optimizer'!H243*$F327*$B$100+$K$172)/($K$172)</f>
        <v>1</v>
      </c>
      <c r="G160" t="b">
        <f t="shared" si="4"/>
        <v>0</v>
      </c>
      <c r="H160" s="128">
        <f>'2.9 Artifact Optimizer'!H243*$F327</f>
        <v>0</v>
      </c>
      <c r="I160" s="294">
        <f t="shared" si="5"/>
        <v>0</v>
      </c>
      <c r="J160" s="468"/>
      <c r="K160" s="553"/>
      <c r="L160" s="553"/>
      <c r="M160" s="553"/>
      <c r="N160" s="553"/>
      <c r="O160" s="249"/>
      <c r="P160" s="249"/>
      <c r="Q160" s="249"/>
      <c r="U160" s="249"/>
      <c r="V160" s="249"/>
      <c r="AR160" s="301"/>
    </row>
    <row r="161">
      <c r="A161" s="553"/>
      <c r="B161" s="6">
        <f>1 +'2.9 Artifact Optimizer'!D244 *F328 ^ ((1 + ('2.9 Artifact Optimizer'!J244 - 1) * min(('2.9 Artifact Optimizer'!F244 * B76),'2.9 Artifact Optimizer'!E244)) ^ '2.9 Artifact Optimizer'!G244)</f>
        <v>1.08</v>
      </c>
      <c r="C161" s="6">
        <f>(1 + '2.9 Artifact Optimizer'!D244 * ($F328+$C$90) ^ ((1 + ('2.9 Artifact Optimizer'!J244 - 1) * min(('2.9 Artifact Optimizer'!F244 * ($F328+$C$90)), '2.9 Artifact Optimizer'!E244)) ^ '2.9 Artifact Optimizer'!G244))</f>
        <v>1.08</v>
      </c>
      <c r="D161" s="439">
        <f>'2.9 Artifact Optimizer'!I244*F328^'2.9 Artifact Optimizer'!J244</f>
        <v>8095.43081</v>
      </c>
      <c r="E161" s="466">
        <f>'2.9 Artifact Optimizer'!I244*($F328+$E$90)^'2.9 Artifact Optimizer'!J244</f>
        <v>8095.43081</v>
      </c>
      <c r="F161" s="467">
        <f>('2.9 Artifact Optimizer'!H244*$F328*$B$100+$K$172)/($K$172)</f>
        <v>1.000000033</v>
      </c>
      <c r="G161" t="b">
        <f t="shared" si="4"/>
        <v>1</v>
      </c>
      <c r="H161" s="128">
        <f>'2.9 Artifact Optimizer'!H244*$F328</f>
        <v>120</v>
      </c>
      <c r="I161" s="294">
        <f t="shared" si="5"/>
        <v>92519.20926</v>
      </c>
      <c r="J161" s="553"/>
      <c r="K161" s="553"/>
      <c r="L161" s="553"/>
      <c r="M161" s="553"/>
      <c r="N161" s="553"/>
      <c r="O161" s="249"/>
      <c r="P161" s="249"/>
      <c r="Q161" s="249"/>
      <c r="U161" s="249"/>
      <c r="V161" s="249"/>
      <c r="AR161" s="301"/>
    </row>
    <row r="162">
      <c r="A162" s="553"/>
      <c r="B162" s="6">
        <f>1 +'2.9 Artifact Optimizer'!D245 *F329 ^ ((1 + ('2.9 Artifact Optimizer'!J245 - 1) * min(('2.9 Artifact Optimizer'!F245 * B77),'2.9 Artifact Optimizer'!E245)) ^ '2.9 Artifact Optimizer'!G245)</f>
        <v>1.1</v>
      </c>
      <c r="C162" s="6">
        <f>(1 + '2.9 Artifact Optimizer'!D245 * ($F329+$C$90) ^ ((1 + ('2.9 Artifact Optimizer'!J245 - 1) * min(('2.9 Artifact Optimizer'!F245 * ($F329+$C$90)), '2.9 Artifact Optimizer'!E245)) ^ '2.9 Artifact Optimizer'!G245))</f>
        <v>1.1</v>
      </c>
      <c r="D162" s="439">
        <f>'2.9 Artifact Optimizer'!I245*F329^'2.9 Artifact Optimizer'!J245</f>
        <v>7316.880831</v>
      </c>
      <c r="E162" s="466">
        <f>'2.9 Artifact Optimizer'!I245*($F329+$E$90)^'2.9 Artifact Optimizer'!J245</f>
        <v>7316.880831</v>
      </c>
      <c r="F162" s="467">
        <f>('2.9 Artifact Optimizer'!H245*$F329*$B$100+$K$172)/($K$172)</f>
        <v>1.000000022</v>
      </c>
      <c r="G162" t="b">
        <f t="shared" si="4"/>
        <v>1</v>
      </c>
      <c r="H162" s="128">
        <f>'2.9 Artifact Optimizer'!H245*$F329</f>
        <v>80</v>
      </c>
      <c r="I162" s="294">
        <f t="shared" si="5"/>
        <v>81298.6759</v>
      </c>
      <c r="J162" s="553"/>
      <c r="K162" s="553"/>
      <c r="L162" s="553"/>
      <c r="M162" s="553"/>
      <c r="N162" s="553"/>
      <c r="O162" s="249"/>
      <c r="P162" s="249"/>
      <c r="Q162" s="249"/>
      <c r="U162" s="249"/>
      <c r="V162" s="249"/>
      <c r="AR162" s="301"/>
    </row>
    <row r="163">
      <c r="A163" s="553"/>
      <c r="B163" s="6">
        <f>1 +'2.9 Artifact Optimizer'!D246 *F330 ^ ((1 + ('2.9 Artifact Optimizer'!J246 - 1) * min(('2.9 Artifact Optimizer'!F246 * B78),'2.9 Artifact Optimizer'!E246)) ^ '2.9 Artifact Optimizer'!G246)</f>
        <v>1.8</v>
      </c>
      <c r="C163" s="6">
        <f>(1 + '2.9 Artifact Optimizer'!D246 * ($F330+$C$90) ^ ((1 + ('2.9 Artifact Optimizer'!J246 - 1) * min(('2.9 Artifact Optimizer'!F246 * ($F330+$C$90)), '2.9 Artifact Optimizer'!E246)) ^ '2.9 Artifact Optimizer'!G246))</f>
        <v>1.8</v>
      </c>
      <c r="D163" s="439">
        <f>'2.9 Artifact Optimizer'!I246*F330^'2.9 Artifact Optimizer'!J246</f>
        <v>32000</v>
      </c>
      <c r="E163" s="466">
        <f>'2.9 Artifact Optimizer'!I246*($F330+$E$90)^'2.9 Artifact Optimizer'!J246</f>
        <v>32000</v>
      </c>
      <c r="F163" s="467">
        <f>('2.9 Artifact Optimizer'!H246*$F330*$B$100+$K$172)/($K$172)</f>
        <v>1.000000009</v>
      </c>
      <c r="G163" t="b">
        <f t="shared" si="4"/>
        <v>1</v>
      </c>
      <c r="H163" s="128">
        <f>'2.9 Artifact Optimizer'!H246*$F330</f>
        <v>32</v>
      </c>
      <c r="I163" s="294">
        <f t="shared" si="5"/>
        <v>320000</v>
      </c>
      <c r="J163" s="553"/>
      <c r="K163" s="553"/>
      <c r="L163" s="553"/>
      <c r="M163" s="553"/>
      <c r="N163" s="553"/>
      <c r="O163" s="249"/>
      <c r="P163" s="249"/>
      <c r="Q163" s="249"/>
      <c r="U163" s="249"/>
      <c r="V163" s="249"/>
      <c r="AR163" s="301"/>
    </row>
    <row r="164">
      <c r="A164" s="553"/>
      <c r="B164" s="6">
        <f>1 +'2.9 Artifact Optimizer'!D247 *F331 ^ ((1 + ('2.9 Artifact Optimizer'!J247 - 1) * min(('2.9 Artifact Optimizer'!F247 * B79),'2.9 Artifact Optimizer'!E247)) ^ '2.9 Artifact Optimizer'!G247)</f>
        <v>2</v>
      </c>
      <c r="C164" s="6">
        <f>(1 + '2.9 Artifact Optimizer'!D247 * ($F331+$C$90) ^ ((1 + ('2.9 Artifact Optimizer'!J247 - 1) * min(('2.9 Artifact Optimizer'!F247 * ($F331+$C$90)), '2.9 Artifact Optimizer'!E247)) ^ '2.9 Artifact Optimizer'!G247))</f>
        <v>2</v>
      </c>
      <c r="D164" s="439">
        <f>'2.9 Artifact Optimizer'!I247*F331^'2.9 Artifact Optimizer'!J247</f>
        <v>13070.49441</v>
      </c>
      <c r="E164" s="466">
        <f>'2.9 Artifact Optimizer'!I247*($F331+$E$90)^'2.9 Artifact Optimizer'!J247</f>
        <v>13070.49441</v>
      </c>
      <c r="F164" s="467">
        <f>('2.9 Artifact Optimizer'!H247*$F331*$B$100+$K$172)/($K$172)</f>
        <v>1.000000011</v>
      </c>
      <c r="G164" t="b">
        <f t="shared" si="4"/>
        <v>1</v>
      </c>
      <c r="H164" s="128">
        <f>'2.9 Artifact Optimizer'!H247*$F331</f>
        <v>40</v>
      </c>
      <c r="I164" s="294">
        <f t="shared" si="5"/>
        <v>181534.6445</v>
      </c>
      <c r="J164" s="553"/>
      <c r="K164" s="553"/>
      <c r="L164" s="553"/>
      <c r="M164" s="553"/>
      <c r="N164" s="553"/>
      <c r="O164" s="249"/>
      <c r="P164" s="249"/>
      <c r="Q164" s="249"/>
      <c r="U164" s="249"/>
      <c r="V164" s="249"/>
      <c r="AR164" s="301"/>
    </row>
    <row r="165">
      <c r="A165" s="553"/>
      <c r="B165" s="6">
        <f>1 +'2.9 Artifact Optimizer'!D248 *F332 ^ ((1 + ('2.9 Artifact Optimizer'!J248 - 1) * min(('2.9 Artifact Optimizer'!F248 * B80),'2.9 Artifact Optimizer'!E248)) ^ '2.9 Artifact Optimizer'!G248)</f>
        <v>1.4</v>
      </c>
      <c r="C165" s="6">
        <f>(1 + '2.9 Artifact Optimizer'!D248 * ($F332+$C$90) ^ ((1 + ('2.9 Artifact Optimizer'!J248 - 1) * min(('2.9 Artifact Optimizer'!F248 * ($F332+$C$90)), '2.9 Artifact Optimizer'!E248)) ^ '2.9 Artifact Optimizer'!G248))</f>
        <v>1.4</v>
      </c>
      <c r="D165" s="439">
        <f>'2.9 Artifact Optimizer'!I248*F332^'2.9 Artifact Optimizer'!J248</f>
        <v>32000</v>
      </c>
      <c r="E165" s="466">
        <f>'2.9 Artifact Optimizer'!I248*($F332+$E$90)^'2.9 Artifact Optimizer'!J248</f>
        <v>32000</v>
      </c>
      <c r="F165" s="467">
        <f>('2.9 Artifact Optimizer'!H248*$F332*$B$100+$K$172)/($K$172)</f>
        <v>1.000000009</v>
      </c>
      <c r="G165" t="b">
        <f t="shared" si="4"/>
        <v>1</v>
      </c>
      <c r="H165" s="128">
        <f>'2.9 Artifact Optimizer'!H248*$F332</f>
        <v>32</v>
      </c>
      <c r="I165" s="294">
        <f t="shared" si="5"/>
        <v>320000</v>
      </c>
      <c r="J165" s="553"/>
      <c r="K165" s="553"/>
      <c r="L165" s="553"/>
      <c r="M165" s="553"/>
      <c r="N165" s="553"/>
      <c r="O165" s="249"/>
      <c r="P165" s="249"/>
      <c r="Q165" s="249"/>
      <c r="U165" s="249"/>
      <c r="V165" s="249"/>
      <c r="AR165" s="301"/>
    </row>
    <row r="166">
      <c r="A166" s="553"/>
      <c r="B166" s="6">
        <f>1 +'2.9 Artifact Optimizer'!D249 *F333 ^ ((1 + ('2.9 Artifact Optimizer'!J249 - 1) * min(('2.9 Artifact Optimizer'!F249 * B81),'2.9 Artifact Optimizer'!E249)) ^ '2.9 Artifact Optimizer'!G249)</f>
        <v>1.004</v>
      </c>
      <c r="C166" s="6">
        <f>(1 + '2.9 Artifact Optimizer'!D249 * ($F333+$C$90) ^ ((1 + ('2.9 Artifact Optimizer'!J249 - 1) * min(('2.9 Artifact Optimizer'!F249 * ($F333+$C$90)), '2.9 Artifact Optimizer'!E249)) ^ '2.9 Artifact Optimizer'!G249))</f>
        <v>1.004</v>
      </c>
      <c r="D166" s="439">
        <f>'2.9 Artifact Optimizer'!I249*F333^'2.9 Artifact Optimizer'!J249</f>
        <v>7316.880831</v>
      </c>
      <c r="E166" s="466">
        <f>'2.9 Artifact Optimizer'!I249*($F333+$E$90)^'2.9 Artifact Optimizer'!J249</f>
        <v>7316.880831</v>
      </c>
      <c r="F166" s="467">
        <f>('2.9 Artifact Optimizer'!H249*$F333*$B$100+$K$172)/($K$172)</f>
        <v>1.000000022</v>
      </c>
      <c r="G166" t="b">
        <f t="shared" si="4"/>
        <v>1</v>
      </c>
      <c r="H166" s="128">
        <f>'2.9 Artifact Optimizer'!H249*$F333</f>
        <v>80</v>
      </c>
      <c r="I166" s="294">
        <f t="shared" si="5"/>
        <v>81298.6759</v>
      </c>
      <c r="J166" s="553"/>
      <c r="K166" s="553"/>
      <c r="L166" s="553"/>
      <c r="M166" s="553"/>
      <c r="N166" s="553"/>
      <c r="O166" s="249"/>
      <c r="P166" s="249"/>
      <c r="Q166" s="249"/>
      <c r="U166" s="249"/>
      <c r="V166" s="249"/>
      <c r="AR166" s="301"/>
    </row>
    <row r="167">
      <c r="A167" s="553"/>
      <c r="B167" s="6">
        <f>1 +'2.9 Artifact Optimizer'!D250 *F334 ^ ((1 + ('2.9 Artifact Optimizer'!J250 - 1) * min(('2.9 Artifact Optimizer'!F250 * B82),'2.9 Artifact Optimizer'!E250)) ^ '2.9 Artifact Optimizer'!G250)</f>
        <v>2.2</v>
      </c>
      <c r="C167" s="6">
        <f>(1 + '2.9 Artifact Optimizer'!D250 * ($F334+$C$90) ^ ((1 + ('2.9 Artifact Optimizer'!J250 - 1) * min(('2.9 Artifact Optimizer'!F250 * ($F334+$C$90)), '2.9 Artifact Optimizer'!E250)) ^ '2.9 Artifact Optimizer'!G250))</f>
        <v>2.2</v>
      </c>
      <c r="D167" s="439">
        <f>'2.9 Artifact Optimizer'!I250*F334^'2.9 Artifact Optimizer'!J250</f>
        <v>20997.29043</v>
      </c>
      <c r="E167" s="466">
        <f>'2.9 Artifact Optimizer'!I250*($F334+$E$90)^'2.9 Artifact Optimizer'!J250</f>
        <v>20997.29043</v>
      </c>
      <c r="F167" s="467">
        <f>('2.9 Artifact Optimizer'!H250*$F334*$B$100+$K$172)/($K$172)</f>
        <v>1.000000033</v>
      </c>
      <c r="G167" t="b">
        <f t="shared" si="4"/>
        <v>1</v>
      </c>
      <c r="H167" s="128">
        <f>'2.9 Artifact Optimizer'!H250*$F334</f>
        <v>120</v>
      </c>
      <c r="I167" s="294">
        <f t="shared" si="5"/>
        <v>349954.8405</v>
      </c>
      <c r="J167" s="553"/>
      <c r="K167" s="553"/>
      <c r="L167" s="553"/>
      <c r="M167" s="553"/>
      <c r="N167" s="553"/>
      <c r="O167" s="249"/>
      <c r="P167" s="249"/>
      <c r="Q167" s="249"/>
      <c r="U167" s="249"/>
      <c r="V167" s="249"/>
      <c r="AR167" s="301"/>
    </row>
    <row r="168">
      <c r="A168" s="553"/>
      <c r="B168" s="6">
        <f>1 +'2.9 Artifact Optimizer'!D251 *F335 ^ ((1 + ('2.9 Artifact Optimizer'!J251 - 1) * min(('2.9 Artifact Optimizer'!F251 * B83),'2.9 Artifact Optimizer'!E251)) ^ '2.9 Artifact Optimizer'!G251)</f>
        <v>61</v>
      </c>
      <c r="C168" s="6">
        <f>(1 + '2.9 Artifact Optimizer'!D251 * ($F335+$C$90) ^ ((1 + ('2.9 Artifact Optimizer'!J251 - 1) * min(('2.9 Artifact Optimizer'!F251 * ($F335+$C$90)), '2.9 Artifact Optimizer'!E251)) ^ '2.9 Artifact Optimizer'!G251))</f>
        <v>61</v>
      </c>
      <c r="D168" s="439">
        <f>'2.9 Artifact Optimizer'!I251*F335^'2.9 Artifact Optimizer'!J251</f>
        <v>20997.29043</v>
      </c>
      <c r="E168" s="466">
        <f>'2.9 Artifact Optimizer'!I251*($F335+$E$90)^'2.9 Artifact Optimizer'!J251</f>
        <v>20997.29043</v>
      </c>
      <c r="F168" s="467">
        <f>('2.9 Artifact Optimizer'!H251*$F335*$B$100+$K$172)/($K$172)</f>
        <v>1.000000033</v>
      </c>
      <c r="G168" t="b">
        <f t="shared" si="4"/>
        <v>1</v>
      </c>
      <c r="H168" s="128">
        <f>'2.9 Artifact Optimizer'!H251*$F335</f>
        <v>120</v>
      </c>
      <c r="I168" s="294">
        <f t="shared" si="5"/>
        <v>349954.8405</v>
      </c>
      <c r="J168" s="553"/>
      <c r="K168" s="553"/>
      <c r="L168" s="553"/>
      <c r="M168" s="553"/>
      <c r="N168" s="553"/>
      <c r="O168" s="249"/>
      <c r="P168" s="249"/>
      <c r="Q168" s="249"/>
      <c r="U168" s="249"/>
      <c r="V168" s="249"/>
      <c r="AR168" s="301"/>
    </row>
    <row r="169">
      <c r="A169" s="553"/>
      <c r="B169" s="553"/>
      <c r="C169" s="553"/>
      <c r="D169" s="553"/>
      <c r="E169" s="554"/>
      <c r="F169" s="553"/>
      <c r="G169" s="553"/>
      <c r="H169" s="553"/>
      <c r="I169" s="555">
        <f>I91/(sum(I91:I168)+AA258)</f>
        <v>0.8190366157</v>
      </c>
      <c r="J169" s="553"/>
      <c r="K169" s="553"/>
      <c r="L169" s="553"/>
      <c r="M169" s="553"/>
      <c r="N169" s="553"/>
      <c r="O169" s="249"/>
      <c r="P169" s="249"/>
      <c r="Q169" s="249"/>
      <c r="U169" s="249"/>
      <c r="V169" s="249"/>
      <c r="AR169" s="301"/>
    </row>
    <row r="170">
      <c r="A170" s="553"/>
      <c r="B170" s="553"/>
      <c r="C170" s="553"/>
      <c r="D170" s="553"/>
      <c r="E170" s="554"/>
      <c r="F170" s="553"/>
      <c r="G170" s="553"/>
      <c r="H170" s="553"/>
      <c r="I170" s="553"/>
      <c r="J170" s="553"/>
      <c r="K170" s="553"/>
      <c r="L170" s="553"/>
      <c r="M170" s="553"/>
      <c r="N170" s="553"/>
      <c r="O170" s="249"/>
      <c r="P170" s="249"/>
      <c r="Q170" s="249"/>
      <c r="U170" s="249"/>
      <c r="V170" s="249"/>
      <c r="AR170" s="301"/>
    </row>
    <row r="171">
      <c r="A171" s="553"/>
      <c r="B171" s="553"/>
      <c r="C171" s="553"/>
      <c r="D171" s="553"/>
      <c r="E171" s="554"/>
      <c r="F171" s="553"/>
      <c r="G171" s="553"/>
      <c r="H171" s="553"/>
      <c r="I171" s="553"/>
      <c r="J171" s="553"/>
      <c r="K171" s="553"/>
      <c r="L171" s="553"/>
      <c r="M171" s="553"/>
      <c r="N171" s="553"/>
      <c r="O171" s="249"/>
      <c r="P171" s="249"/>
      <c r="Q171" s="249"/>
      <c r="U171" s="249"/>
      <c r="V171" s="249"/>
      <c r="AR171" s="301"/>
    </row>
    <row r="172">
      <c r="A172" s="556" t="s">
        <v>1148</v>
      </c>
      <c r="F172" s="435"/>
      <c r="G172" s="557"/>
      <c r="H172" s="558"/>
      <c r="I172" s="5"/>
      <c r="J172" s="5"/>
      <c r="K172" s="128">
        <f>MAX(SUM(H91:H168)*B100,1)</f>
        <v>6.68912E+15</v>
      </c>
      <c r="L172" s="5"/>
      <c r="M172" s="5"/>
      <c r="N172" s="559" t="s">
        <v>1149</v>
      </c>
      <c r="O172" s="559"/>
      <c r="P172" s="559"/>
      <c r="Q172" s="559"/>
      <c r="R172" s="559"/>
      <c r="S172" s="275" t="str">
        <f t="array" ref="S172:AA172">B173:J173</f>
        <v>MaxLevel</v>
      </c>
      <c r="T172" s="381" t="s">
        <v>1150</v>
      </c>
      <c r="U172" s="381" t="s">
        <v>1151</v>
      </c>
      <c r="V172" s="7" t="s">
        <v>1152</v>
      </c>
      <c r="W172" s="8" t="s">
        <v>1153</v>
      </c>
      <c r="X172" s="560" t="s">
        <v>1154</v>
      </c>
      <c r="Y172" s="561" t="s">
        <v>1155</v>
      </c>
      <c r="Z172" t="s">
        <v>1156</v>
      </c>
      <c r="AA172" t="s">
        <v>1157</v>
      </c>
      <c r="AG172" s="249"/>
      <c r="AH172" s="249"/>
      <c r="AI172" s="249"/>
      <c r="AJ172" s="249"/>
      <c r="AK172" s="249"/>
      <c r="AL172" s="249"/>
      <c r="AR172" s="301"/>
    </row>
    <row r="173">
      <c r="A173" s="1" t="s">
        <v>1158</v>
      </c>
      <c r="B173" s="1" t="s">
        <v>8</v>
      </c>
      <c r="C173" s="1" t="s">
        <v>1150</v>
      </c>
      <c r="D173" s="1" t="s">
        <v>1151</v>
      </c>
      <c r="E173" s="1" t="s">
        <v>1152</v>
      </c>
      <c r="F173" s="1" t="s">
        <v>1153</v>
      </c>
      <c r="G173" s="1" t="s">
        <v>1154</v>
      </c>
      <c r="H173" s="1" t="s">
        <v>1155</v>
      </c>
      <c r="I173" s="1" t="s">
        <v>1156</v>
      </c>
      <c r="J173" s="1" t="s">
        <v>1157</v>
      </c>
      <c r="K173" s="1" t="s">
        <v>7</v>
      </c>
      <c r="L173" s="1" t="s">
        <v>6</v>
      </c>
      <c r="M173" s="5"/>
      <c r="N173" t="s">
        <v>1159</v>
      </c>
      <c r="O173" t="s">
        <v>1160</v>
      </c>
      <c r="P173" t="s">
        <v>1161</v>
      </c>
      <c r="Q173">
        <f t="shared" ref="Q173:Q211" si="30">$L91</f>
        <v>1</v>
      </c>
      <c r="R173" s="120" t="str">
        <f t="shared" ref="R173:R211" si="31">INDEX($A$258:$A$335,MATCH(L91, $E$258:$E$322, 0))</f>
        <v/>
      </c>
      <c r="S173" s="275">
        <f t="shared" ref="S173:AA173" si="29">INDEX(B$174:B$238,MATCH($Q173,$E$258:$E$322,0),0)</f>
        <v>0</v>
      </c>
      <c r="T173" s="381" t="str">
        <f t="shared" si="29"/>
        <v>AllDamage</v>
      </c>
      <c r="U173" s="70">
        <f t="shared" si="29"/>
        <v>0.1</v>
      </c>
      <c r="V173" s="7">
        <f t="shared" si="29"/>
        <v>0.32</v>
      </c>
      <c r="W173" s="8">
        <f t="shared" si="29"/>
        <v>0.00015</v>
      </c>
      <c r="X173" s="560">
        <f t="shared" si="29"/>
        <v>0.5</v>
      </c>
      <c r="Y173" s="70">
        <f t="shared" si="29"/>
        <v>1</v>
      </c>
      <c r="Z173">
        <f t="shared" si="29"/>
        <v>1</v>
      </c>
      <c r="AA173" s="562">
        <f t="shared" si="29"/>
        <v>2</v>
      </c>
      <c r="AB173" s="249"/>
      <c r="AC173" s="249"/>
      <c r="AD173" s="249"/>
      <c r="AE173" s="249"/>
      <c r="AM173" s="301"/>
    </row>
    <row r="174">
      <c r="A174" s="1" t="s">
        <v>773</v>
      </c>
      <c r="B174" s="1">
        <v>0.0</v>
      </c>
      <c r="C174" s="1" t="s">
        <v>774</v>
      </c>
      <c r="D174" s="1">
        <v>0.05</v>
      </c>
      <c r="E174" s="1">
        <v>0.12</v>
      </c>
      <c r="F174" s="9">
        <v>1.0E-4</v>
      </c>
      <c r="G174" s="1">
        <v>0.5</v>
      </c>
      <c r="H174" s="1">
        <v>0.3</v>
      </c>
      <c r="I174" s="1">
        <v>0.7</v>
      </c>
      <c r="J174" s="1">
        <v>2.5</v>
      </c>
      <c r="K174" s="1" t="s">
        <v>775</v>
      </c>
      <c r="L174" s="1" t="s">
        <v>374</v>
      </c>
      <c r="M174" s="5" t="str">
        <f t="shared" ref="M174:M251" si="33">C6</f>
        <v/>
      </c>
      <c r="N174" s="563" t="b">
        <f>IF(E6 = "☑", True, False)</f>
        <v>1</v>
      </c>
      <c r="O174" s="249" t="b">
        <f t="shared" ref="O174:O251" si="34">IF(F258&lt;1,False, true)</f>
        <v>1</v>
      </c>
      <c r="P174" t="b">
        <f t="shared" ref="P174:P251" si="35">AND(N174:O174)</f>
        <v>1</v>
      </c>
      <c r="Q174">
        <f t="shared" si="30"/>
        <v>4</v>
      </c>
      <c r="R174" s="120" t="str">
        <f t="shared" si="31"/>
        <v/>
      </c>
      <c r="S174" s="275">
        <f t="shared" ref="S174:AA174" si="32">INDEX(B$174:B$238,MATCH($Q174,$E$258:$E$322,0),0)</f>
        <v>0</v>
      </c>
      <c r="T174" s="381" t="str">
        <f t="shared" si="32"/>
        <v>AuraBoost</v>
      </c>
      <c r="U174" s="70">
        <f t="shared" si="32"/>
        <v>0.08</v>
      </c>
      <c r="V174" s="7">
        <f t="shared" si="32"/>
        <v>0.32</v>
      </c>
      <c r="W174" s="8">
        <f t="shared" si="32"/>
        <v>0.00015</v>
      </c>
      <c r="X174" s="560">
        <f t="shared" si="32"/>
        <v>0.5</v>
      </c>
      <c r="Y174" s="70">
        <f t="shared" si="32"/>
        <v>0.5</v>
      </c>
      <c r="Z174">
        <f t="shared" si="32"/>
        <v>0.65</v>
      </c>
      <c r="AA174">
        <f t="shared" si="32"/>
        <v>2</v>
      </c>
      <c r="AB174" s="249"/>
      <c r="AC174" s="249"/>
      <c r="AD174" s="249"/>
      <c r="AE174" s="249"/>
      <c r="AM174" s="301"/>
    </row>
    <row r="175">
      <c r="A175" s="1" t="s">
        <v>777</v>
      </c>
      <c r="B175" s="1">
        <v>0.0</v>
      </c>
      <c r="C175" s="1" t="s">
        <v>778</v>
      </c>
      <c r="D175" s="1">
        <v>0.01</v>
      </c>
      <c r="E175" s="1">
        <v>0.36</v>
      </c>
      <c r="F175" s="9">
        <v>1.8E-4</v>
      </c>
      <c r="G175" s="1">
        <v>0.5</v>
      </c>
      <c r="H175" s="1">
        <v>0.2</v>
      </c>
      <c r="I175" s="1">
        <v>0.6</v>
      </c>
      <c r="J175" s="1">
        <v>1.8</v>
      </c>
      <c r="K175" s="1" t="s">
        <v>779</v>
      </c>
      <c r="L175" s="1" t="s">
        <v>386</v>
      </c>
      <c r="M175" s="5" t="str">
        <f t="shared" si="33"/>
        <v/>
      </c>
      <c r="N175" s="563" t="b">
        <f>IF(AND($E7 = "☑", I3 &lt;&gt; "Offline"), True, False)</f>
        <v>1</v>
      </c>
      <c r="O175" s="249" t="b">
        <f t="shared" si="34"/>
        <v>1</v>
      </c>
      <c r="P175" t="b">
        <f t="shared" si="35"/>
        <v>1</v>
      </c>
      <c r="Q175">
        <f t="shared" si="30"/>
        <v>7</v>
      </c>
      <c r="R175" s="120" t="str">
        <f t="shared" si="31"/>
        <v/>
      </c>
      <c r="S175" s="275">
        <f t="shared" ref="S175:AA175" si="36">INDEX(B$174:B$238,MATCH($Q175,$E$258:$E$322,0),0)</f>
        <v>0</v>
      </c>
      <c r="T175" s="381" t="str">
        <f t="shared" si="36"/>
        <v>AllEquipmentEffect</v>
      </c>
      <c r="U175" s="70">
        <f t="shared" si="36"/>
        <v>0.01</v>
      </c>
      <c r="V175" s="7">
        <f t="shared" si="36"/>
        <v>0.32</v>
      </c>
      <c r="W175" s="8">
        <f t="shared" si="36"/>
        <v>0.00015</v>
      </c>
      <c r="X175" s="560">
        <f t="shared" si="36"/>
        <v>0.5</v>
      </c>
      <c r="Y175" s="70">
        <f t="shared" si="36"/>
        <v>0.5</v>
      </c>
      <c r="Z175">
        <f t="shared" si="36"/>
        <v>0.65</v>
      </c>
      <c r="AA175">
        <f t="shared" si="36"/>
        <v>2.2</v>
      </c>
      <c r="AB175" s="249"/>
      <c r="AC175" s="249"/>
      <c r="AD175" s="249"/>
      <c r="AE175" s="249"/>
      <c r="AM175" s="301"/>
    </row>
    <row r="176">
      <c r="A176" s="1" t="s">
        <v>780</v>
      </c>
      <c r="B176" s="1">
        <v>0.0</v>
      </c>
      <c r="C176" s="1" t="s">
        <v>187</v>
      </c>
      <c r="D176" s="1">
        <v>0.25</v>
      </c>
      <c r="E176" s="1">
        <v>0.4</v>
      </c>
      <c r="F176" s="9">
        <v>2.0E-4</v>
      </c>
      <c r="G176" s="1">
        <v>0.5</v>
      </c>
      <c r="H176" s="1">
        <v>0.4</v>
      </c>
      <c r="I176" s="1">
        <v>1.0</v>
      </c>
      <c r="J176" s="1">
        <v>1.8</v>
      </c>
      <c r="K176" s="1" t="s">
        <v>781</v>
      </c>
      <c r="L176" s="1" t="s">
        <v>396</v>
      </c>
      <c r="M176" s="5" t="str">
        <f t="shared" si="33"/>
        <v/>
      </c>
      <c r="N176" s="563" t="b">
        <f>IF(AND($E8 = "☑", F3 &lt;&gt; "Boss Gold"), True, False)</f>
        <v>1</v>
      </c>
      <c r="O176" s="249" t="b">
        <f t="shared" si="34"/>
        <v>1</v>
      </c>
      <c r="P176" t="b">
        <f t="shared" si="35"/>
        <v>1</v>
      </c>
      <c r="Q176">
        <f t="shared" si="30"/>
        <v>10</v>
      </c>
      <c r="R176" s="120" t="str">
        <f t="shared" si="31"/>
        <v/>
      </c>
      <c r="S176" s="275">
        <f t="shared" ref="S176:AA176" si="37">INDEX(B$174:B$238,MATCH($Q176,$E$258:$E$322,0),0)</f>
        <v>0</v>
      </c>
      <c r="T176" s="381" t="str">
        <f t="shared" si="37"/>
        <v>ChestAmount</v>
      </c>
      <c r="U176" s="70">
        <f t="shared" si="37"/>
        <v>0.25</v>
      </c>
      <c r="V176" s="7">
        <f t="shared" si="37"/>
        <v>0.4</v>
      </c>
      <c r="W176" s="8">
        <f t="shared" si="37"/>
        <v>0.0002</v>
      </c>
      <c r="X176" s="560">
        <f t="shared" si="37"/>
        <v>0.5</v>
      </c>
      <c r="Y176" s="70">
        <f t="shared" si="37"/>
        <v>0.4</v>
      </c>
      <c r="Z176">
        <f t="shared" si="37"/>
        <v>1</v>
      </c>
      <c r="AA176">
        <f t="shared" si="37"/>
        <v>1.8</v>
      </c>
      <c r="AB176" s="249"/>
      <c r="AC176" s="249"/>
      <c r="AD176" s="249"/>
      <c r="AE176" s="249"/>
      <c r="AM176" s="301"/>
    </row>
    <row r="177">
      <c r="A177" s="1" t="s">
        <v>782</v>
      </c>
      <c r="B177" s="1">
        <v>0.0</v>
      </c>
      <c r="C177" s="1" t="s">
        <v>140</v>
      </c>
      <c r="D177" s="1">
        <v>0.2</v>
      </c>
      <c r="E177" s="1">
        <v>0.4</v>
      </c>
      <c r="F177" s="9">
        <v>2.0E-4</v>
      </c>
      <c r="G177" s="1">
        <v>0.5</v>
      </c>
      <c r="H177" s="1">
        <v>0.4</v>
      </c>
      <c r="I177" s="1">
        <v>0.7</v>
      </c>
      <c r="J177" s="1">
        <v>1.8</v>
      </c>
      <c r="K177" s="1" t="s">
        <v>783</v>
      </c>
      <c r="L177" s="1" t="s">
        <v>401</v>
      </c>
      <c r="M177" s="5" t="str">
        <f t="shared" si="33"/>
        <v/>
      </c>
      <c r="N177" s="563" t="b">
        <f>IF(AND(E9 = "☑", F3 = "Boss Gold"), True, False)</f>
        <v>0</v>
      </c>
      <c r="O177" s="249" t="b">
        <f t="shared" si="34"/>
        <v>1</v>
      </c>
      <c r="P177" t="b">
        <f t="shared" si="35"/>
        <v>0</v>
      </c>
      <c r="Q177">
        <f t="shared" si="30"/>
        <v>13</v>
      </c>
      <c r="R177" s="120" t="str">
        <f t="shared" si="31"/>
        <v/>
      </c>
      <c r="S177" s="275">
        <f t="shared" ref="S177:AA177" si="38">INDEX(B$174:B$238,MATCH($Q177,$E$258:$E$322,0),0)</f>
        <v>0</v>
      </c>
      <c r="T177" s="381" t="str">
        <f t="shared" si="38"/>
        <v>TapDamage</v>
      </c>
      <c r="U177" s="70">
        <f t="shared" si="38"/>
        <v>0.1</v>
      </c>
      <c r="V177" s="7">
        <f t="shared" si="38"/>
        <v>0.4</v>
      </c>
      <c r="W177" s="8">
        <f t="shared" si="38"/>
        <v>0.0002</v>
      </c>
      <c r="X177" s="560">
        <f t="shared" si="38"/>
        <v>0.5</v>
      </c>
      <c r="Y177" s="70">
        <f t="shared" si="38"/>
        <v>0.3</v>
      </c>
      <c r="Z177">
        <f t="shared" si="38"/>
        <v>0.6</v>
      </c>
      <c r="AA177">
        <f t="shared" si="38"/>
        <v>1.7</v>
      </c>
      <c r="AB177" s="249"/>
      <c r="AC177" s="249"/>
      <c r="AD177" s="249"/>
      <c r="AE177" s="249"/>
      <c r="AM177" s="301"/>
    </row>
    <row r="178">
      <c r="A178" s="1" t="s">
        <v>785</v>
      </c>
      <c r="B178" s="1">
        <v>0.0</v>
      </c>
      <c r="C178" s="1" t="s">
        <v>326</v>
      </c>
      <c r="D178" s="1">
        <v>0.2</v>
      </c>
      <c r="E178" s="1">
        <v>0.4</v>
      </c>
      <c r="F178" s="9">
        <v>1.5E-4</v>
      </c>
      <c r="G178" s="1">
        <v>0.5</v>
      </c>
      <c r="H178" s="1">
        <v>0.3</v>
      </c>
      <c r="I178" s="1">
        <v>0.7</v>
      </c>
      <c r="J178" s="1">
        <v>2.2</v>
      </c>
      <c r="K178" s="1" t="s">
        <v>786</v>
      </c>
      <c r="L178" s="1" t="s">
        <v>408</v>
      </c>
      <c r="M178" s="5" t="str">
        <f t="shared" si="33"/>
        <v/>
      </c>
      <c r="N178" s="563" t="b">
        <f>IF(E10 = "☑", True, False)</f>
        <v>1</v>
      </c>
      <c r="O178" s="249" t="b">
        <f t="shared" si="34"/>
        <v>1</v>
      </c>
      <c r="P178" t="b">
        <f t="shared" si="35"/>
        <v>1</v>
      </c>
      <c r="Q178">
        <f t="shared" si="30"/>
        <v>16</v>
      </c>
      <c r="R178" s="120" t="str">
        <f t="shared" si="31"/>
        <v/>
      </c>
      <c r="S178" s="275">
        <f t="shared" ref="S178:AA178" si="39">INDEX(B$174:B$238,MATCH($Q178,$E$258:$E$322,0),0)</f>
        <v>0</v>
      </c>
      <c r="T178" s="381" t="str">
        <f t="shared" si="39"/>
        <v>FairyGold</v>
      </c>
      <c r="U178" s="70">
        <f t="shared" si="39"/>
        <v>0.3</v>
      </c>
      <c r="V178" s="7">
        <f t="shared" si="39"/>
        <v>0.4</v>
      </c>
      <c r="W178" s="8">
        <f t="shared" si="39"/>
        <v>0.00018</v>
      </c>
      <c r="X178" s="560">
        <f t="shared" si="39"/>
        <v>0.5</v>
      </c>
      <c r="Y178" s="70">
        <f t="shared" si="39"/>
        <v>0.4</v>
      </c>
      <c r="Z178">
        <f t="shared" si="39"/>
        <v>1</v>
      </c>
      <c r="AA178">
        <f t="shared" si="39"/>
        <v>1.8</v>
      </c>
      <c r="AB178" s="249"/>
      <c r="AC178" s="249"/>
      <c r="AD178" s="249"/>
      <c r="AE178" s="249"/>
      <c r="AM178" s="301"/>
    </row>
    <row r="179">
      <c r="A179" s="1" t="s">
        <v>787</v>
      </c>
      <c r="B179" s="1">
        <v>0.0</v>
      </c>
      <c r="C179" s="1" t="s">
        <v>788</v>
      </c>
      <c r="D179" s="1">
        <v>0.04</v>
      </c>
      <c r="E179" s="1">
        <v>0.4</v>
      </c>
      <c r="F179" s="9">
        <v>2.0E-4</v>
      </c>
      <c r="G179" s="1">
        <v>0.5</v>
      </c>
      <c r="H179" s="1">
        <v>0.3</v>
      </c>
      <c r="I179" s="1">
        <v>0.7</v>
      </c>
      <c r="J179" s="1">
        <v>1.8</v>
      </c>
      <c r="K179" s="1" t="s">
        <v>789</v>
      </c>
      <c r="L179" s="1" t="s">
        <v>413</v>
      </c>
      <c r="M179" s="5" t="str">
        <f t="shared" si="33"/>
        <v/>
      </c>
      <c r="N179" s="563" t="b">
        <f>IF(AND(E11 = "☑"), True, False)</f>
        <v>0</v>
      </c>
      <c r="O179" s="249" t="b">
        <f t="shared" si="34"/>
        <v>1</v>
      </c>
      <c r="P179" t="b">
        <f t="shared" si="35"/>
        <v>0</v>
      </c>
      <c r="Q179">
        <f t="shared" si="30"/>
        <v>2</v>
      </c>
      <c r="R179" s="120" t="str">
        <f t="shared" si="31"/>
        <v/>
      </c>
      <c r="S179" s="275">
        <f t="shared" ref="S179:AA179" si="40">INDEX(B$174:B$238,MATCH($Q179,$E$258:$E$322,0),0)</f>
        <v>0</v>
      </c>
      <c r="T179" s="381" t="str">
        <f t="shared" si="40"/>
        <v>AllActiveSkillAmount</v>
      </c>
      <c r="U179" s="70">
        <f t="shared" si="40"/>
        <v>0.02</v>
      </c>
      <c r="V179" s="7">
        <f t="shared" si="40"/>
        <v>0.36</v>
      </c>
      <c r="W179" s="8">
        <f t="shared" si="40"/>
        <v>0.00018</v>
      </c>
      <c r="X179" s="560">
        <f t="shared" si="40"/>
        <v>0.5</v>
      </c>
      <c r="Y179" s="70">
        <f t="shared" si="40"/>
        <v>0.2</v>
      </c>
      <c r="Z179">
        <f t="shared" si="40"/>
        <v>0.6</v>
      </c>
      <c r="AA179">
        <f t="shared" si="40"/>
        <v>1.8</v>
      </c>
      <c r="AB179" s="249"/>
      <c r="AC179" s="249"/>
      <c r="AD179" s="249"/>
      <c r="AE179" s="249"/>
      <c r="AM179" s="301"/>
    </row>
    <row r="180">
      <c r="A180" s="1" t="s">
        <v>790</v>
      </c>
      <c r="B180" s="1">
        <v>0.0</v>
      </c>
      <c r="C180" s="1" t="s">
        <v>328</v>
      </c>
      <c r="D180" s="1">
        <v>0.6</v>
      </c>
      <c r="E180" s="1">
        <v>0.4</v>
      </c>
      <c r="F180" s="9">
        <v>2.0E-4</v>
      </c>
      <c r="G180" s="1">
        <v>0.5</v>
      </c>
      <c r="H180" s="1">
        <v>0.3</v>
      </c>
      <c r="I180" s="1">
        <v>0.7</v>
      </c>
      <c r="J180" s="1">
        <v>1.8</v>
      </c>
      <c r="K180" s="1" t="s">
        <v>791</v>
      </c>
      <c r="L180" s="1" t="s">
        <v>419</v>
      </c>
      <c r="M180" s="5" t="str">
        <f t="shared" si="33"/>
        <v/>
      </c>
      <c r="N180" s="563" t="b">
        <f>IF(AND(E12 = "☑", I3 = "Offline"), True, False)</f>
        <v>0</v>
      </c>
      <c r="O180" s="249" t="b">
        <f t="shared" si="34"/>
        <v>1</v>
      </c>
      <c r="P180" t="b">
        <f t="shared" si="35"/>
        <v>0</v>
      </c>
      <c r="Q180">
        <f t="shared" si="30"/>
        <v>5</v>
      </c>
      <c r="R180" s="120" t="str">
        <f t="shared" si="31"/>
        <v/>
      </c>
      <c r="S180" s="275">
        <f t="shared" ref="S180:AA180" si="41">INDEX(B$174:B$238,MATCH($Q180,$E$258:$E$322,0),0)</f>
        <v>0</v>
      </c>
      <c r="T180" s="381" t="str">
        <f t="shared" si="41"/>
        <v>GoldPerRunningActiveSkill</v>
      </c>
      <c r="U180" s="70">
        <f t="shared" si="41"/>
        <v>0.01</v>
      </c>
      <c r="V180" s="7">
        <f t="shared" si="41"/>
        <v>0.36</v>
      </c>
      <c r="W180" s="8">
        <f t="shared" si="41"/>
        <v>0.00018</v>
      </c>
      <c r="X180" s="560">
        <f t="shared" si="41"/>
        <v>0.5</v>
      </c>
      <c r="Y180" s="70">
        <f t="shared" si="41"/>
        <v>0.2</v>
      </c>
      <c r="Z180">
        <f t="shared" si="41"/>
        <v>0.6</v>
      </c>
      <c r="AA180">
        <f t="shared" si="41"/>
        <v>1.8</v>
      </c>
      <c r="AB180" s="249"/>
      <c r="AC180" s="249"/>
      <c r="AD180" s="249"/>
      <c r="AE180" s="249"/>
      <c r="AM180" s="301"/>
    </row>
    <row r="181">
      <c r="A181" s="1" t="s">
        <v>793</v>
      </c>
      <c r="B181" s="1">
        <v>0.0</v>
      </c>
      <c r="C181" s="1" t="s">
        <v>243</v>
      </c>
      <c r="D181" s="1">
        <v>0.3</v>
      </c>
      <c r="E181" s="1">
        <v>0.4</v>
      </c>
      <c r="F181" s="9">
        <v>1.8E-4</v>
      </c>
      <c r="G181" s="1">
        <v>0.5</v>
      </c>
      <c r="H181" s="1">
        <v>0.4</v>
      </c>
      <c r="I181" s="1">
        <v>1.0</v>
      </c>
      <c r="J181" s="1">
        <v>1.8</v>
      </c>
      <c r="K181" s="1" t="s">
        <v>794</v>
      </c>
      <c r="L181" s="1" t="s">
        <v>421</v>
      </c>
      <c r="M181" s="5" t="str">
        <f t="shared" si="33"/>
        <v/>
      </c>
      <c r="N181" s="563" t="b">
        <f>IF(AND(E13 = "☑", F3 = "Fairy Gold"), True, False)</f>
        <v>1</v>
      </c>
      <c r="O181" s="249" t="b">
        <f t="shared" si="34"/>
        <v>1</v>
      </c>
      <c r="P181" t="b">
        <f t="shared" si="35"/>
        <v>1</v>
      </c>
      <c r="Q181">
        <f t="shared" si="30"/>
        <v>8</v>
      </c>
      <c r="R181" s="120" t="str">
        <f t="shared" si="31"/>
        <v/>
      </c>
      <c r="S181" s="275">
        <f t="shared" ref="S181:AA181" si="42">INDEX(B$174:B$238,MATCH($Q181,$E$258:$E$322,0),0)</f>
        <v>0</v>
      </c>
      <c r="T181" s="381" t="str">
        <f t="shared" si="42"/>
        <v>AllPetDamageEffect</v>
      </c>
      <c r="U181" s="70">
        <f t="shared" si="42"/>
        <v>0.005</v>
      </c>
      <c r="V181" s="7">
        <f t="shared" si="42"/>
        <v>0.32</v>
      </c>
      <c r="W181" s="8">
        <f t="shared" si="42"/>
        <v>0.00015</v>
      </c>
      <c r="X181" s="560">
        <f t="shared" si="42"/>
        <v>0.5</v>
      </c>
      <c r="Y181" s="70">
        <f t="shared" si="42"/>
        <v>0.5</v>
      </c>
      <c r="Z181">
        <f t="shared" si="42"/>
        <v>0.7</v>
      </c>
      <c r="AA181">
        <f t="shared" si="42"/>
        <v>2.2</v>
      </c>
      <c r="AB181" s="249"/>
      <c r="AC181" s="249"/>
      <c r="AD181" s="249"/>
      <c r="AE181" s="249"/>
      <c r="AM181" s="301"/>
    </row>
    <row r="182">
      <c r="A182" s="1" t="s">
        <v>795</v>
      </c>
      <c r="B182" s="1">
        <v>0.0</v>
      </c>
      <c r="C182" s="1" t="s">
        <v>1162</v>
      </c>
      <c r="D182" s="1">
        <v>0.3</v>
      </c>
      <c r="E182" s="1">
        <v>0.4</v>
      </c>
      <c r="F182" s="9">
        <v>2.0E-4</v>
      </c>
      <c r="G182" s="1">
        <v>0.5</v>
      </c>
      <c r="H182" s="1">
        <v>0.5</v>
      </c>
      <c r="I182" s="1">
        <v>0.7</v>
      </c>
      <c r="J182" s="1">
        <v>1.8</v>
      </c>
      <c r="K182" s="1" t="s">
        <v>797</v>
      </c>
      <c r="L182" s="1" t="s">
        <v>426</v>
      </c>
      <c r="M182" s="5" t="str">
        <f t="shared" si="33"/>
        <v/>
      </c>
      <c r="N182" s="563" t="b">
        <f>IF(AND(E14 = "☑", F3 &lt;&gt; "Fairy Gold"), True, False)</f>
        <v>0</v>
      </c>
      <c r="O182" s="249" t="b">
        <f t="shared" si="34"/>
        <v>1</v>
      </c>
      <c r="P182" t="b">
        <f t="shared" si="35"/>
        <v>0</v>
      </c>
      <c r="Q182">
        <f t="shared" si="30"/>
        <v>11</v>
      </c>
      <c r="R182" s="120" t="str">
        <f t="shared" si="31"/>
        <v/>
      </c>
      <c r="S182" s="275">
        <f t="shared" ref="S182:AA182" si="43">INDEX(B$174:B$238,MATCH($Q182,$E$258:$E$322,0),0)</f>
        <v>0</v>
      </c>
      <c r="T182" s="381" t="str">
        <f t="shared" si="43"/>
        <v>CritBoostSkillAmount</v>
      </c>
      <c r="U182" s="70">
        <f t="shared" si="43"/>
        <v>0.1</v>
      </c>
      <c r="V182" s="7">
        <f t="shared" si="43"/>
        <v>0.4</v>
      </c>
      <c r="W182" s="8">
        <f t="shared" si="43"/>
        <v>0.0002</v>
      </c>
      <c r="X182" s="560">
        <f t="shared" si="43"/>
        <v>0.5</v>
      </c>
      <c r="Y182" s="70">
        <f t="shared" si="43"/>
        <v>0.2</v>
      </c>
      <c r="Z182">
        <f t="shared" si="43"/>
        <v>0.6</v>
      </c>
      <c r="AA182">
        <f t="shared" si="43"/>
        <v>1.7</v>
      </c>
      <c r="AB182" s="249"/>
      <c r="AC182" s="249"/>
      <c r="AD182" s="249"/>
      <c r="AE182" s="249"/>
      <c r="AM182" s="301"/>
    </row>
    <row r="183">
      <c r="A183" s="1" t="s">
        <v>808</v>
      </c>
      <c r="B183" s="1">
        <v>0.0</v>
      </c>
      <c r="C183" s="1" t="s">
        <v>809</v>
      </c>
      <c r="D183" s="1">
        <v>0.05</v>
      </c>
      <c r="E183" s="1">
        <v>0.4</v>
      </c>
      <c r="F183" s="9">
        <v>2.5E-4</v>
      </c>
      <c r="G183" s="1">
        <v>0.5</v>
      </c>
      <c r="H183" s="1">
        <v>1.0</v>
      </c>
      <c r="I183" s="1">
        <v>0.7</v>
      </c>
      <c r="J183" s="1">
        <v>2.2</v>
      </c>
      <c r="K183" s="1" t="s">
        <v>801</v>
      </c>
      <c r="L183" s="1" t="s">
        <v>437</v>
      </c>
      <c r="M183" s="5" t="str">
        <f t="shared" si="33"/>
        <v/>
      </c>
      <c r="N183" s="563" t="b">
        <f t="shared" ref="N183:N188" si="45">IF(E15 = "☑", True, False)</f>
        <v>1</v>
      </c>
      <c r="O183" s="249" t="b">
        <f t="shared" si="34"/>
        <v>1</v>
      </c>
      <c r="P183" t="b">
        <f t="shared" si="35"/>
        <v>1</v>
      </c>
      <c r="Q183">
        <f t="shared" si="30"/>
        <v>14</v>
      </c>
      <c r="R183" s="120" t="str">
        <f t="shared" si="31"/>
        <v/>
      </c>
      <c r="S183" s="275">
        <f t="shared" ref="S183:AA183" si="44">INDEX(B$174:B$238,MATCH($Q183,$E$258:$E$322,0),0)</f>
        <v>0</v>
      </c>
      <c r="T183" s="381" t="str">
        <f t="shared" si="44"/>
        <v>HelmetBoost</v>
      </c>
      <c r="U183" s="70">
        <f t="shared" si="44"/>
        <v>0.08</v>
      </c>
      <c r="V183" s="7">
        <f t="shared" si="44"/>
        <v>0.32</v>
      </c>
      <c r="W183" s="8">
        <f t="shared" si="44"/>
        <v>0.00015</v>
      </c>
      <c r="X183" s="560">
        <f t="shared" si="44"/>
        <v>0.5</v>
      </c>
      <c r="Y183" s="70">
        <f t="shared" si="44"/>
        <v>0.5</v>
      </c>
      <c r="Z183">
        <f t="shared" si="44"/>
        <v>0.65</v>
      </c>
      <c r="AA183">
        <f t="shared" si="44"/>
        <v>2</v>
      </c>
      <c r="AB183" s="249"/>
      <c r="AC183" s="249"/>
      <c r="AD183" s="249"/>
      <c r="AE183" s="249"/>
      <c r="AM183" s="301"/>
    </row>
    <row r="184">
      <c r="A184" s="1" t="s">
        <v>811</v>
      </c>
      <c r="B184" s="1">
        <v>0.0</v>
      </c>
      <c r="C184" s="1" t="s">
        <v>812</v>
      </c>
      <c r="D184" s="1">
        <v>0.1</v>
      </c>
      <c r="E184" s="1">
        <v>0.32</v>
      </c>
      <c r="F184" s="9">
        <v>1.5E-4</v>
      </c>
      <c r="G184" s="1">
        <v>0.5</v>
      </c>
      <c r="H184" s="1">
        <v>1.0</v>
      </c>
      <c r="I184" s="1">
        <v>1.0</v>
      </c>
      <c r="J184" s="1">
        <v>2.0</v>
      </c>
      <c r="K184" s="1" t="s">
        <v>804</v>
      </c>
      <c r="L184" s="1" t="s">
        <v>442</v>
      </c>
      <c r="M184" s="5" t="str">
        <f t="shared" si="33"/>
        <v/>
      </c>
      <c r="N184" s="563" t="b">
        <f t="shared" si="45"/>
        <v>1</v>
      </c>
      <c r="O184" s="249" t="b">
        <f t="shared" si="34"/>
        <v>1</v>
      </c>
      <c r="P184" t="b">
        <f t="shared" si="35"/>
        <v>1</v>
      </c>
      <c r="Q184">
        <f t="shared" si="30"/>
        <v>17</v>
      </c>
      <c r="R184" s="120" t="str">
        <f t="shared" si="31"/>
        <v/>
      </c>
      <c r="S184" s="275">
        <f t="shared" ref="S184:AA184" si="46">INDEX(B$174:B$238,MATCH($Q184,$E$258:$E$322,0),0)</f>
        <v>0</v>
      </c>
      <c r="T184" s="381" t="str">
        <f t="shared" si="46"/>
        <v>CritDamage</v>
      </c>
      <c r="U184" s="70">
        <f t="shared" si="46"/>
        <v>0.1</v>
      </c>
      <c r="V184" s="7">
        <f t="shared" si="46"/>
        <v>0.4</v>
      </c>
      <c r="W184" s="8">
        <f t="shared" si="46"/>
        <v>0.0002</v>
      </c>
      <c r="X184" s="560">
        <f t="shared" si="46"/>
        <v>0.5</v>
      </c>
      <c r="Y184" s="70">
        <f t="shared" si="46"/>
        <v>0.2</v>
      </c>
      <c r="Z184">
        <f t="shared" si="46"/>
        <v>0.6</v>
      </c>
      <c r="AA184">
        <f t="shared" si="46"/>
        <v>1.7</v>
      </c>
      <c r="AB184" s="249"/>
      <c r="AC184" s="249"/>
      <c r="AD184" s="249"/>
      <c r="AE184" s="249"/>
      <c r="AM184" s="301"/>
    </row>
    <row r="185">
      <c r="A185" s="1" t="s">
        <v>815</v>
      </c>
      <c r="B185" s="1">
        <v>0.0</v>
      </c>
      <c r="C185" s="1" t="s">
        <v>124</v>
      </c>
      <c r="D185" s="1">
        <v>0.1</v>
      </c>
      <c r="E185" s="1">
        <v>0.4</v>
      </c>
      <c r="F185" s="9">
        <v>2.0E-4</v>
      </c>
      <c r="G185" s="1">
        <v>0.5</v>
      </c>
      <c r="H185" s="1">
        <v>0.3</v>
      </c>
      <c r="I185" s="1">
        <v>0.6</v>
      </c>
      <c r="J185" s="1">
        <v>1.7</v>
      </c>
      <c r="K185" s="1" t="s">
        <v>807</v>
      </c>
      <c r="L185" s="1" t="s">
        <v>447</v>
      </c>
      <c r="M185" s="5" t="str">
        <f t="shared" si="33"/>
        <v/>
      </c>
      <c r="N185" s="563" t="b">
        <f t="shared" si="45"/>
        <v>1</v>
      </c>
      <c r="O185" s="249" t="b">
        <f t="shared" si="34"/>
        <v>1</v>
      </c>
      <c r="P185" t="b">
        <f t="shared" si="35"/>
        <v>1</v>
      </c>
      <c r="Q185">
        <f t="shared" si="30"/>
        <v>3</v>
      </c>
      <c r="R185" s="120" t="str">
        <f t="shared" si="31"/>
        <v/>
      </c>
      <c r="S185" s="275">
        <f t="shared" ref="S185:AA185" si="47">INDEX(B$174:B$238,MATCH($Q185,$E$258:$E$322,0),0)</f>
        <v>0</v>
      </c>
      <c r="T185" s="381" t="str">
        <f t="shared" si="47"/>
        <v>TapBoostSkillAmount</v>
      </c>
      <c r="U185" s="70">
        <f t="shared" si="47"/>
        <v>0.1</v>
      </c>
      <c r="V185" s="7">
        <f t="shared" si="47"/>
        <v>0.4</v>
      </c>
      <c r="W185" s="8">
        <f t="shared" si="47"/>
        <v>0.0002</v>
      </c>
      <c r="X185" s="560">
        <f t="shared" si="47"/>
        <v>0.5</v>
      </c>
      <c r="Y185" s="70">
        <f t="shared" si="47"/>
        <v>0.2</v>
      </c>
      <c r="Z185">
        <f t="shared" si="47"/>
        <v>0.6</v>
      </c>
      <c r="AA185">
        <f t="shared" si="47"/>
        <v>1.7</v>
      </c>
      <c r="AB185" s="249"/>
      <c r="AC185" s="249"/>
      <c r="AD185" s="249"/>
      <c r="AE185" s="249"/>
      <c r="AM185" s="301"/>
    </row>
    <row r="186">
      <c r="A186" s="1" t="s">
        <v>817</v>
      </c>
      <c r="B186" s="1">
        <v>0.0</v>
      </c>
      <c r="C186" s="1" t="s">
        <v>818</v>
      </c>
      <c r="D186" s="1">
        <v>0.1</v>
      </c>
      <c r="E186" s="1">
        <v>0.32</v>
      </c>
      <c r="F186" s="9">
        <v>1.4E-4</v>
      </c>
      <c r="G186" s="1">
        <v>0.5</v>
      </c>
      <c r="H186" s="1">
        <v>0.5</v>
      </c>
      <c r="I186" s="1">
        <v>0.7</v>
      </c>
      <c r="J186" s="1">
        <v>2.0</v>
      </c>
      <c r="K186" s="1" t="s">
        <v>810</v>
      </c>
      <c r="L186" s="1" t="s">
        <v>455</v>
      </c>
      <c r="M186" s="5" t="str">
        <f t="shared" si="33"/>
        <v/>
      </c>
      <c r="N186" s="563" t="b">
        <f t="shared" si="45"/>
        <v>1</v>
      </c>
      <c r="O186" s="249" t="b">
        <f t="shared" si="34"/>
        <v>1</v>
      </c>
      <c r="P186" t="b">
        <f t="shared" si="35"/>
        <v>1</v>
      </c>
      <c r="Q186">
        <f t="shared" si="30"/>
        <v>6</v>
      </c>
      <c r="R186" s="120" t="str">
        <f t="shared" si="31"/>
        <v/>
      </c>
      <c r="S186" s="275">
        <f t="shared" ref="S186:AA186" si="48">INDEX(B$174:B$238,MATCH($Q186,$E$258:$E$322,0),0)</f>
        <v>0</v>
      </c>
      <c r="T186" s="381" t="str">
        <f t="shared" si="48"/>
        <v>HandOfMidasSkillAmount</v>
      </c>
      <c r="U186" s="70">
        <f t="shared" si="48"/>
        <v>0.1</v>
      </c>
      <c r="V186" s="7">
        <f t="shared" si="48"/>
        <v>0.4</v>
      </c>
      <c r="W186" s="8">
        <f t="shared" si="48"/>
        <v>0.0002</v>
      </c>
      <c r="X186" s="560">
        <f t="shared" si="48"/>
        <v>0.5</v>
      </c>
      <c r="Y186" s="70">
        <f t="shared" si="48"/>
        <v>0.2</v>
      </c>
      <c r="Z186">
        <f t="shared" si="48"/>
        <v>0.6</v>
      </c>
      <c r="AA186">
        <f t="shared" si="48"/>
        <v>1.7</v>
      </c>
      <c r="AB186" s="249"/>
      <c r="AC186" s="249"/>
      <c r="AD186" s="249"/>
      <c r="AE186" s="249"/>
      <c r="AM186" s="301"/>
    </row>
    <row r="187">
      <c r="A187" s="1" t="s">
        <v>821</v>
      </c>
      <c r="B187" s="1">
        <v>0.0</v>
      </c>
      <c r="C187" s="1" t="s">
        <v>822</v>
      </c>
      <c r="D187" s="1">
        <v>0.1</v>
      </c>
      <c r="E187" s="1">
        <v>0.4</v>
      </c>
      <c r="F187" s="9">
        <v>2.0E-4</v>
      </c>
      <c r="G187" s="1">
        <v>0.5</v>
      </c>
      <c r="H187" s="1">
        <v>0.2</v>
      </c>
      <c r="I187" s="1">
        <v>0.6</v>
      </c>
      <c r="J187" s="1">
        <v>1.7</v>
      </c>
      <c r="K187" s="1" t="s">
        <v>813</v>
      </c>
      <c r="L187" s="1" t="s">
        <v>461</v>
      </c>
      <c r="M187" s="5" t="str">
        <f t="shared" si="33"/>
        <v/>
      </c>
      <c r="N187" s="563" t="b">
        <f t="shared" si="45"/>
        <v>1</v>
      </c>
      <c r="O187" s="249" t="b">
        <f t="shared" si="34"/>
        <v>1</v>
      </c>
      <c r="P187" t="b">
        <f t="shared" si="35"/>
        <v>1</v>
      </c>
      <c r="Q187">
        <f t="shared" si="30"/>
        <v>9</v>
      </c>
      <c r="R187" s="120" t="str">
        <f t="shared" si="31"/>
        <v/>
      </c>
      <c r="S187" s="275">
        <f t="shared" ref="S187:AA187" si="49">INDEX(B$174:B$238,MATCH($Q187,$E$258:$E$322,0),0)</f>
        <v>0</v>
      </c>
      <c r="T187" s="381" t="str">
        <f t="shared" si="49"/>
        <v>SwordAttackDamage</v>
      </c>
      <c r="U187" s="70">
        <f t="shared" si="49"/>
        <v>0.1</v>
      </c>
      <c r="V187" s="7">
        <f t="shared" si="49"/>
        <v>0.32</v>
      </c>
      <c r="W187" s="8">
        <f t="shared" si="49"/>
        <v>0.00014</v>
      </c>
      <c r="X187" s="560">
        <f t="shared" si="49"/>
        <v>0.5</v>
      </c>
      <c r="Y187" s="70">
        <f t="shared" si="49"/>
        <v>0.5</v>
      </c>
      <c r="Z187">
        <f t="shared" si="49"/>
        <v>0.7</v>
      </c>
      <c r="AA187">
        <f t="shared" si="49"/>
        <v>2</v>
      </c>
      <c r="AB187" s="249"/>
      <c r="AC187" s="249"/>
      <c r="AD187" s="249"/>
      <c r="AE187" s="249"/>
      <c r="AM187" s="301"/>
    </row>
    <row r="188">
      <c r="A188" s="1" t="s">
        <v>828</v>
      </c>
      <c r="B188" s="1">
        <v>0.0</v>
      </c>
      <c r="C188" s="1" t="s">
        <v>183</v>
      </c>
      <c r="D188" s="1">
        <v>0.15</v>
      </c>
      <c r="E188" s="1">
        <v>0.4</v>
      </c>
      <c r="F188" s="9">
        <v>2.0E-4</v>
      </c>
      <c r="G188" s="1">
        <v>0.5</v>
      </c>
      <c r="H188" s="1">
        <v>0.5</v>
      </c>
      <c r="I188" s="1">
        <v>0.7</v>
      </c>
      <c r="J188" s="1">
        <v>1.7</v>
      </c>
      <c r="K188" s="1" t="s">
        <v>816</v>
      </c>
      <c r="L188" s="1" t="s">
        <v>470</v>
      </c>
      <c r="M188" s="5" t="str">
        <f t="shared" si="33"/>
        <v/>
      </c>
      <c r="N188" s="563" t="b">
        <f t="shared" si="45"/>
        <v>1</v>
      </c>
      <c r="O188" s="249" t="b">
        <f t="shared" si="34"/>
        <v>1</v>
      </c>
      <c r="P188" t="b">
        <f t="shared" si="35"/>
        <v>1</v>
      </c>
      <c r="Q188">
        <f t="shared" si="30"/>
        <v>12</v>
      </c>
      <c r="R188" s="120" t="str">
        <f t="shared" si="31"/>
        <v/>
      </c>
      <c r="S188" s="275">
        <f t="shared" ref="S188:AA188" si="50">INDEX(B$174:B$238,MATCH($Q188,$E$258:$E$322,0),0)</f>
        <v>0</v>
      </c>
      <c r="T188" s="381" t="str">
        <f t="shared" si="50"/>
        <v>BossDamage</v>
      </c>
      <c r="U188" s="70">
        <f t="shared" si="50"/>
        <v>0.12</v>
      </c>
      <c r="V188" s="7">
        <f t="shared" si="50"/>
        <v>0.32</v>
      </c>
      <c r="W188" s="8">
        <f t="shared" si="50"/>
        <v>0.00015</v>
      </c>
      <c r="X188" s="560">
        <f t="shared" si="50"/>
        <v>0.5</v>
      </c>
      <c r="Y188" s="70">
        <f t="shared" si="50"/>
        <v>1</v>
      </c>
      <c r="Z188">
        <f t="shared" si="50"/>
        <v>1</v>
      </c>
      <c r="AA188">
        <f t="shared" si="50"/>
        <v>2</v>
      </c>
      <c r="AB188" s="249"/>
      <c r="AC188" s="249"/>
      <c r="AD188" s="249"/>
      <c r="AE188" s="249"/>
      <c r="AM188" s="301"/>
    </row>
    <row r="189">
      <c r="A189" s="1" t="s">
        <v>830</v>
      </c>
      <c r="B189" s="1">
        <v>0.0</v>
      </c>
      <c r="C189" s="1" t="s">
        <v>831</v>
      </c>
      <c r="D189" s="1">
        <v>0.2</v>
      </c>
      <c r="E189" s="1">
        <v>0.4</v>
      </c>
      <c r="F189" s="9">
        <v>2.0E-4</v>
      </c>
      <c r="G189" s="1">
        <v>0.5</v>
      </c>
      <c r="H189" s="1">
        <v>0.3</v>
      </c>
      <c r="I189" s="1">
        <v>0.7</v>
      </c>
      <c r="J189" s="1">
        <v>1.7</v>
      </c>
      <c r="K189" s="1" t="s">
        <v>819</v>
      </c>
      <c r="L189" s="1" t="s">
        <v>475</v>
      </c>
      <c r="M189" s="5" t="str">
        <f t="shared" si="33"/>
        <v/>
      </c>
      <c r="N189" s="563" t="b">
        <f>IF(AND(E21 = "☑", G3 = "Melee"), True, False)</f>
        <v>0</v>
      </c>
      <c r="O189" s="249" t="b">
        <f t="shared" si="34"/>
        <v>1</v>
      </c>
      <c r="P189" t="b">
        <f t="shared" si="35"/>
        <v>0</v>
      </c>
      <c r="Q189">
        <f t="shared" si="30"/>
        <v>15</v>
      </c>
      <c r="R189" s="120" t="str">
        <f t="shared" si="31"/>
        <v/>
      </c>
      <c r="S189">
        <f t="shared" ref="S189:AA189" si="51">INDEX(B$174:B$238,MATCH($Q189,$E$258:$E$322,0),0)</f>
        <v>0</v>
      </c>
      <c r="T189" t="str">
        <f t="shared" si="51"/>
        <v>SwordBoost</v>
      </c>
      <c r="U189" s="70">
        <f t="shared" si="51"/>
        <v>0.08</v>
      </c>
      <c r="V189">
        <f t="shared" si="51"/>
        <v>0.32</v>
      </c>
      <c r="W189" s="8">
        <f t="shared" si="51"/>
        <v>0.00015</v>
      </c>
      <c r="X189">
        <f t="shared" si="51"/>
        <v>0.5</v>
      </c>
      <c r="Y189" s="70">
        <f t="shared" si="51"/>
        <v>0.5</v>
      </c>
      <c r="Z189">
        <f t="shared" si="51"/>
        <v>0.65</v>
      </c>
      <c r="AA189">
        <f t="shared" si="51"/>
        <v>2</v>
      </c>
      <c r="AB189" s="249"/>
      <c r="AC189" s="249"/>
      <c r="AD189" s="249"/>
      <c r="AE189" s="249"/>
      <c r="AM189" s="301"/>
    </row>
    <row r="190">
      <c r="A190" s="1" t="s">
        <v>834</v>
      </c>
      <c r="B190" s="1">
        <v>0.0</v>
      </c>
      <c r="C190" s="1" t="s">
        <v>835</v>
      </c>
      <c r="D190" s="1">
        <v>0.2</v>
      </c>
      <c r="E190" s="1">
        <v>0.4</v>
      </c>
      <c r="F190" s="9">
        <v>2.0E-4</v>
      </c>
      <c r="G190" s="1">
        <v>0.5</v>
      </c>
      <c r="H190" s="1">
        <v>0.3</v>
      </c>
      <c r="I190" s="1">
        <v>0.7</v>
      </c>
      <c r="J190" s="1">
        <v>1.7</v>
      </c>
      <c r="K190" s="1" t="s">
        <v>823</v>
      </c>
      <c r="L190" s="1" t="s">
        <v>502</v>
      </c>
      <c r="M190" s="5" t="str">
        <f t="shared" si="33"/>
        <v/>
      </c>
      <c r="N190" s="563" t="b">
        <f>IF(AND(E22 = "☑", G3 = "Ranged"), True, False)</f>
        <v>0</v>
      </c>
      <c r="O190" s="249" t="b">
        <f t="shared" si="34"/>
        <v>1</v>
      </c>
      <c r="P190" t="b">
        <f t="shared" si="35"/>
        <v>0</v>
      </c>
      <c r="Q190">
        <f t="shared" si="30"/>
        <v>18</v>
      </c>
      <c r="R190" s="120" t="str">
        <f t="shared" si="31"/>
        <v/>
      </c>
      <c r="S190">
        <f t="shared" ref="S190:AA190" si="52">INDEX(B$174:B$238,MATCH($Q190,$E$258:$E$322,0),0)</f>
        <v>0</v>
      </c>
      <c r="T190" t="str">
        <f t="shared" si="52"/>
        <v>AllPetGoldEffect</v>
      </c>
      <c r="U190" s="70">
        <f t="shared" si="52"/>
        <v>0.02</v>
      </c>
      <c r="V190">
        <f t="shared" si="52"/>
        <v>0.32</v>
      </c>
      <c r="W190" s="8">
        <f t="shared" si="52"/>
        <v>0.00015</v>
      </c>
      <c r="X190">
        <f t="shared" si="52"/>
        <v>0.5</v>
      </c>
      <c r="Y190" s="70">
        <f t="shared" si="52"/>
        <v>0.5</v>
      </c>
      <c r="Z190">
        <f t="shared" si="52"/>
        <v>0.7</v>
      </c>
      <c r="AA190">
        <f t="shared" si="52"/>
        <v>2.2</v>
      </c>
      <c r="AB190" s="249"/>
      <c r="AC190" s="249"/>
      <c r="AD190" s="249"/>
      <c r="AE190" s="249"/>
      <c r="AF190" s="249"/>
      <c r="AG190" s="249"/>
      <c r="AH190" s="249"/>
      <c r="AI190" s="249"/>
      <c r="AJ190" s="249"/>
      <c r="AK190" s="249"/>
      <c r="AL190" s="249"/>
      <c r="AM190" s="564"/>
      <c r="AN190" s="249"/>
      <c r="AO190" s="249"/>
      <c r="AP190" s="249"/>
      <c r="AQ190" s="249"/>
    </row>
    <row r="191">
      <c r="A191" s="1" t="s">
        <v>837</v>
      </c>
      <c r="B191" s="1">
        <v>0.0</v>
      </c>
      <c r="C191" s="1" t="s">
        <v>838</v>
      </c>
      <c r="D191" s="1">
        <v>0.2</v>
      </c>
      <c r="E191" s="1">
        <v>0.4</v>
      </c>
      <c r="F191" s="9">
        <v>2.0E-4</v>
      </c>
      <c r="G191" s="1">
        <v>0.5</v>
      </c>
      <c r="H191" s="1">
        <v>0.3</v>
      </c>
      <c r="I191" s="1">
        <v>0.7</v>
      </c>
      <c r="J191" s="1">
        <v>1.7</v>
      </c>
      <c r="K191" s="1" t="s">
        <v>827</v>
      </c>
      <c r="L191" s="1" t="s">
        <v>514</v>
      </c>
      <c r="M191" s="5" t="str">
        <f t="shared" si="33"/>
        <v/>
      </c>
      <c r="N191" s="563" t="b">
        <f>IF(AND(E23 = "☑", G3 = "Spell"), True, False)</f>
        <v>1</v>
      </c>
      <c r="O191" s="249" t="b">
        <f t="shared" si="34"/>
        <v>1</v>
      </c>
      <c r="P191" t="b">
        <f t="shared" si="35"/>
        <v>1</v>
      </c>
      <c r="Q191">
        <f t="shared" si="30"/>
        <v>19</v>
      </c>
      <c r="R191" s="120" t="str">
        <f t="shared" si="31"/>
        <v/>
      </c>
      <c r="S191">
        <f t="shared" ref="S191:AA191" si="53">INDEX(B$174:B$238,MATCH($Q191,$E$258:$E$322,0),0)</f>
        <v>0</v>
      </c>
      <c r="T191" t="str">
        <f t="shared" si="53"/>
        <v>BurstDamageSkillAmount</v>
      </c>
      <c r="U191" s="70">
        <f t="shared" si="53"/>
        <v>0.1</v>
      </c>
      <c r="V191">
        <f t="shared" si="53"/>
        <v>0.4</v>
      </c>
      <c r="W191" s="8">
        <f t="shared" si="53"/>
        <v>0.0002</v>
      </c>
      <c r="X191">
        <f t="shared" si="53"/>
        <v>0.5</v>
      </c>
      <c r="Y191" s="70">
        <f t="shared" si="53"/>
        <v>0.2</v>
      </c>
      <c r="Z191">
        <f t="shared" si="53"/>
        <v>0.6</v>
      </c>
      <c r="AA191">
        <f t="shared" si="53"/>
        <v>1.7</v>
      </c>
      <c r="AB191" s="249"/>
      <c r="AC191" s="249"/>
      <c r="AD191" s="249"/>
      <c r="AE191" s="249"/>
      <c r="AF191" s="249"/>
      <c r="AG191" s="249"/>
      <c r="AH191" s="249"/>
      <c r="AI191" s="249"/>
      <c r="AJ191" s="249"/>
      <c r="AK191" s="249"/>
      <c r="AL191" s="249"/>
      <c r="AM191" s="564"/>
      <c r="AN191" s="249"/>
      <c r="AO191" s="249"/>
      <c r="AP191" s="249"/>
      <c r="AQ191" s="249"/>
    </row>
    <row r="192">
      <c r="A192" s="1" t="s">
        <v>840</v>
      </c>
      <c r="B192" s="1">
        <v>0.0</v>
      </c>
      <c r="C192" s="1" t="s">
        <v>841</v>
      </c>
      <c r="D192" s="1">
        <v>0.2</v>
      </c>
      <c r="E192" s="1">
        <v>0.4</v>
      </c>
      <c r="F192" s="9">
        <v>2.0E-4</v>
      </c>
      <c r="G192" s="1">
        <v>0.5</v>
      </c>
      <c r="H192" s="1">
        <v>0.3</v>
      </c>
      <c r="I192" s="1">
        <v>0.7</v>
      </c>
      <c r="J192" s="1">
        <v>1.7</v>
      </c>
      <c r="K192" s="1" t="s">
        <v>829</v>
      </c>
      <c r="L192" s="1" t="s">
        <v>555</v>
      </c>
      <c r="M192" s="5" t="str">
        <f t="shared" si="33"/>
        <v/>
      </c>
      <c r="N192" s="563" t="b">
        <f>IF(AND(E24 = "☑",  H3 = "Ground"), True, False)</f>
        <v>1</v>
      </c>
      <c r="O192" s="249" t="b">
        <f t="shared" si="34"/>
        <v>1</v>
      </c>
      <c r="P192" t="b">
        <f t="shared" si="35"/>
        <v>1</v>
      </c>
      <c r="Q192">
        <f t="shared" si="30"/>
        <v>20</v>
      </c>
      <c r="R192" s="120" t="str">
        <f t="shared" si="31"/>
        <v/>
      </c>
      <c r="S192">
        <f t="shared" ref="S192:AA192" si="54">INDEX(B$174:B$238,MATCH($Q192,$E$258:$E$322,0),0)</f>
        <v>0</v>
      </c>
      <c r="T192" t="str">
        <f t="shared" si="54"/>
        <v>GoldAll</v>
      </c>
      <c r="U192" s="70">
        <f t="shared" si="54"/>
        <v>0.2</v>
      </c>
      <c r="V192">
        <f t="shared" si="54"/>
        <v>0.4</v>
      </c>
      <c r="W192" s="8">
        <f t="shared" si="54"/>
        <v>0.00015</v>
      </c>
      <c r="X192">
        <f t="shared" si="54"/>
        <v>0.5</v>
      </c>
      <c r="Y192" s="70">
        <f t="shared" si="54"/>
        <v>0.3</v>
      </c>
      <c r="Z192">
        <f t="shared" si="54"/>
        <v>0.7</v>
      </c>
      <c r="AA192">
        <f t="shared" si="54"/>
        <v>2.2</v>
      </c>
      <c r="AB192" s="249"/>
      <c r="AC192" s="249"/>
      <c r="AD192" s="249"/>
      <c r="AE192" s="249"/>
      <c r="AF192" s="249"/>
      <c r="AG192" s="249"/>
      <c r="AH192" s="249"/>
      <c r="AI192" s="249"/>
      <c r="AJ192" s="249"/>
      <c r="AK192" s="249"/>
      <c r="AL192" s="249"/>
      <c r="AM192" s="564"/>
      <c r="AN192" s="249"/>
      <c r="AO192" s="249"/>
      <c r="AP192" s="249"/>
      <c r="AQ192" s="249"/>
    </row>
    <row r="193">
      <c r="A193" s="1" t="s">
        <v>844</v>
      </c>
      <c r="B193" s="1">
        <v>0.0</v>
      </c>
      <c r="C193" s="1" t="s">
        <v>845</v>
      </c>
      <c r="D193" s="1">
        <v>0.2</v>
      </c>
      <c r="E193" s="1">
        <v>0.4</v>
      </c>
      <c r="F193" s="9">
        <v>2.0E-4</v>
      </c>
      <c r="G193" s="1">
        <v>0.5</v>
      </c>
      <c r="H193" s="1">
        <v>0.3</v>
      </c>
      <c r="I193" s="1">
        <v>0.7</v>
      </c>
      <c r="J193" s="1">
        <v>1.7</v>
      </c>
      <c r="K193" s="1" t="s">
        <v>832</v>
      </c>
      <c r="L193" s="1" t="s">
        <v>564</v>
      </c>
      <c r="M193" s="5" t="str">
        <f t="shared" si="33"/>
        <v/>
      </c>
      <c r="N193" s="563" t="b">
        <f>IF(AND(E25 = "☑", H3 = "Flying"), True, False)</f>
        <v>0</v>
      </c>
      <c r="O193" s="249" t="b">
        <f t="shared" si="34"/>
        <v>1</v>
      </c>
      <c r="P193" t="b">
        <f t="shared" si="35"/>
        <v>0</v>
      </c>
      <c r="Q193">
        <f t="shared" si="30"/>
        <v>21</v>
      </c>
      <c r="R193" s="120" t="str">
        <f t="shared" si="31"/>
        <v/>
      </c>
      <c r="S193">
        <f t="shared" ref="S193:AA193" si="55">INDEX(B$174:B$238,MATCH($Q193,$E$258:$E$322,0),0)</f>
        <v>0</v>
      </c>
      <c r="T193" t="str">
        <f t="shared" si="55"/>
        <v>HelperBoostSkillAmount</v>
      </c>
      <c r="U193" s="70">
        <f t="shared" si="55"/>
        <v>0.1</v>
      </c>
      <c r="V193">
        <f t="shared" si="55"/>
        <v>0.4</v>
      </c>
      <c r="W193" s="8">
        <f t="shared" si="55"/>
        <v>0.0002</v>
      </c>
      <c r="X193">
        <f t="shared" si="55"/>
        <v>0.5</v>
      </c>
      <c r="Y193" s="70">
        <f t="shared" si="55"/>
        <v>0.2</v>
      </c>
      <c r="Z193">
        <f t="shared" si="55"/>
        <v>0.6</v>
      </c>
      <c r="AA193">
        <f t="shared" si="55"/>
        <v>1.7</v>
      </c>
      <c r="AB193" s="249"/>
      <c r="AC193" s="249"/>
      <c r="AD193" s="249"/>
      <c r="AE193" s="249"/>
      <c r="AF193" s="249"/>
      <c r="AG193" s="249"/>
      <c r="AH193" s="249"/>
      <c r="AI193" s="249"/>
      <c r="AJ193" s="249"/>
      <c r="AK193" s="249"/>
      <c r="AL193" s="249"/>
      <c r="AM193" s="564"/>
      <c r="AN193" s="249"/>
      <c r="AO193" s="249"/>
      <c r="AP193" s="249"/>
      <c r="AQ193" s="249"/>
    </row>
    <row r="194">
      <c r="A194" s="1" t="s">
        <v>847</v>
      </c>
      <c r="B194" s="1">
        <v>0.0</v>
      </c>
      <c r="C194" s="1" t="s">
        <v>135</v>
      </c>
      <c r="D194" s="1">
        <v>0.1</v>
      </c>
      <c r="E194" s="1">
        <v>0.4</v>
      </c>
      <c r="F194" s="9">
        <v>1.5E-4</v>
      </c>
      <c r="G194" s="1">
        <v>0.5</v>
      </c>
      <c r="H194" s="1">
        <v>0.5</v>
      </c>
      <c r="I194" s="1">
        <v>0.7</v>
      </c>
      <c r="J194" s="1">
        <v>2.0</v>
      </c>
      <c r="K194" s="1" t="s">
        <v>836</v>
      </c>
      <c r="L194" s="1" t="s">
        <v>571</v>
      </c>
      <c r="M194" s="5" t="str">
        <f t="shared" si="33"/>
        <v/>
      </c>
      <c r="N194" s="563" t="b">
        <f t="shared" ref="N194:N198" si="57">IF(E26 = "☑", True, False)</f>
        <v>1</v>
      </c>
      <c r="O194" s="249" t="b">
        <f t="shared" si="34"/>
        <v>1</v>
      </c>
      <c r="P194" t="b">
        <f t="shared" si="35"/>
        <v>1</v>
      </c>
      <c r="Q194">
        <f t="shared" si="30"/>
        <v>22</v>
      </c>
      <c r="R194" s="120" t="str">
        <f t="shared" si="31"/>
        <v/>
      </c>
      <c r="S194">
        <f t="shared" ref="S194:AA194" si="56">INDEX(B$174:B$238,MATCH($Q194,$E$258:$E$322,0),0)</f>
        <v>0</v>
      </c>
      <c r="T194" t="str">
        <f t="shared" si="56"/>
        <v>ArmorBoost</v>
      </c>
      <c r="U194" s="70">
        <f t="shared" si="56"/>
        <v>0.08</v>
      </c>
      <c r="V194">
        <f t="shared" si="56"/>
        <v>0.32</v>
      </c>
      <c r="W194" s="8">
        <f t="shared" si="56"/>
        <v>0.00015</v>
      </c>
      <c r="X194">
        <f t="shared" si="56"/>
        <v>0.5</v>
      </c>
      <c r="Y194" s="70">
        <f t="shared" si="56"/>
        <v>0.5</v>
      </c>
      <c r="Z194">
        <f t="shared" si="56"/>
        <v>0.65</v>
      </c>
      <c r="AA194" s="93">
        <f t="shared" si="56"/>
        <v>2</v>
      </c>
      <c r="AB194" s="249"/>
      <c r="AC194" s="249"/>
      <c r="AD194" s="249"/>
      <c r="AE194" s="249"/>
      <c r="AF194" s="249"/>
      <c r="AG194" s="249"/>
      <c r="AH194" s="249"/>
      <c r="AI194" s="249"/>
      <c r="AJ194" s="249"/>
      <c r="AK194" s="249"/>
      <c r="AL194" s="249"/>
      <c r="AM194" s="564"/>
      <c r="AN194" s="249"/>
      <c r="AO194" s="249"/>
      <c r="AP194" s="249"/>
      <c r="AQ194" s="249"/>
    </row>
    <row r="195">
      <c r="A195" s="1" t="s">
        <v>850</v>
      </c>
      <c r="B195" s="1">
        <v>0.0</v>
      </c>
      <c r="C195" s="1" t="s">
        <v>199</v>
      </c>
      <c r="D195" s="1">
        <v>0.1</v>
      </c>
      <c r="E195" s="1">
        <v>0.4</v>
      </c>
      <c r="F195" s="9">
        <v>1.5E-4</v>
      </c>
      <c r="G195" s="1">
        <v>0.5</v>
      </c>
      <c r="H195" s="1">
        <v>0.5</v>
      </c>
      <c r="I195" s="1">
        <v>0.7</v>
      </c>
      <c r="J195" s="1">
        <v>1.7</v>
      </c>
      <c r="K195" s="1" t="s">
        <v>839</v>
      </c>
      <c r="L195" s="1" t="s">
        <v>573</v>
      </c>
      <c r="M195" s="5" t="str">
        <f t="shared" si="33"/>
        <v/>
      </c>
      <c r="N195" s="563" t="b">
        <f t="shared" si="57"/>
        <v>1</v>
      </c>
      <c r="O195" s="249" t="b">
        <f t="shared" si="34"/>
        <v>1</v>
      </c>
      <c r="P195" t="b">
        <f t="shared" si="35"/>
        <v>1</v>
      </c>
      <c r="Q195">
        <f t="shared" si="30"/>
        <v>23</v>
      </c>
      <c r="R195" s="120" t="str">
        <f t="shared" si="31"/>
        <v/>
      </c>
      <c r="S195" s="275">
        <f t="shared" ref="S195:AA195" si="58">INDEX(B$174:B$238,MATCH($Q195,$E$258:$E$322,0),0)</f>
        <v>0</v>
      </c>
      <c r="T195" s="381" t="str">
        <f t="shared" si="58"/>
        <v>HSArtifactDamage</v>
      </c>
      <c r="U195" s="70">
        <f t="shared" si="58"/>
        <v>0.05</v>
      </c>
      <c r="V195" s="7">
        <f t="shared" si="58"/>
        <v>0.4</v>
      </c>
      <c r="W195" s="8">
        <f t="shared" si="58"/>
        <v>0.00025</v>
      </c>
      <c r="X195" s="560">
        <f t="shared" si="58"/>
        <v>0.5</v>
      </c>
      <c r="Y195" s="70">
        <f t="shared" si="58"/>
        <v>1</v>
      </c>
      <c r="Z195">
        <f t="shared" si="58"/>
        <v>0.7</v>
      </c>
      <c r="AA195">
        <f t="shared" si="58"/>
        <v>2.2</v>
      </c>
      <c r="AB195" s="249"/>
      <c r="AC195" s="249"/>
      <c r="AD195" s="249"/>
      <c r="AE195" s="249"/>
      <c r="AF195" s="249"/>
      <c r="AG195" s="249"/>
      <c r="AH195" s="249"/>
      <c r="AI195" s="249"/>
      <c r="AJ195" s="249"/>
      <c r="AK195" s="249"/>
      <c r="AL195" s="249"/>
      <c r="AM195" s="564"/>
      <c r="AN195" s="249"/>
      <c r="AO195" s="249"/>
      <c r="AP195" s="249"/>
      <c r="AQ195" s="249"/>
    </row>
    <row r="196">
      <c r="A196" s="1" t="s">
        <v>853</v>
      </c>
      <c r="B196" s="1">
        <v>0.0</v>
      </c>
      <c r="C196" s="1" t="s">
        <v>854</v>
      </c>
      <c r="D196" s="1">
        <v>0.1</v>
      </c>
      <c r="E196" s="1">
        <v>0.4</v>
      </c>
      <c r="F196" s="9">
        <v>1.5E-4</v>
      </c>
      <c r="G196" s="1">
        <v>0.5</v>
      </c>
      <c r="H196" s="1">
        <v>0.5</v>
      </c>
      <c r="I196" s="1">
        <v>0.7</v>
      </c>
      <c r="J196" s="1">
        <v>1.8</v>
      </c>
      <c r="K196" s="1" t="s">
        <v>843</v>
      </c>
      <c r="L196" s="1" t="s">
        <v>577</v>
      </c>
      <c r="M196" s="5" t="str">
        <f t="shared" si="33"/>
        <v/>
      </c>
      <c r="N196" s="563" t="b">
        <f t="shared" si="57"/>
        <v>1</v>
      </c>
      <c r="O196" s="249" t="b">
        <f t="shared" si="34"/>
        <v>1</v>
      </c>
      <c r="P196" t="b">
        <f t="shared" si="35"/>
        <v>1</v>
      </c>
      <c r="Q196">
        <f t="shared" si="30"/>
        <v>24</v>
      </c>
      <c r="R196" s="120" t="str">
        <f t="shared" si="31"/>
        <v/>
      </c>
      <c r="S196" s="275">
        <f t="shared" ref="S196:AA196" si="59">INDEX(B$174:B$238,MATCH($Q196,$E$258:$E$322,0),0)</f>
        <v>0</v>
      </c>
      <c r="T196" s="381" t="str">
        <f t="shared" si="59"/>
        <v>AllHelperDamage</v>
      </c>
      <c r="U196" s="70">
        <f t="shared" si="59"/>
        <v>0.15</v>
      </c>
      <c r="V196" s="7">
        <f t="shared" si="59"/>
        <v>0.4</v>
      </c>
      <c r="W196" s="8">
        <f t="shared" si="59"/>
        <v>0.0002</v>
      </c>
      <c r="X196" s="560">
        <f t="shared" si="59"/>
        <v>0.5</v>
      </c>
      <c r="Y196" s="70">
        <f t="shared" si="59"/>
        <v>0.5</v>
      </c>
      <c r="Z196">
        <f t="shared" si="59"/>
        <v>0.7</v>
      </c>
      <c r="AA196">
        <f t="shared" si="59"/>
        <v>1.7</v>
      </c>
      <c r="AB196" s="249"/>
      <c r="AC196" s="249"/>
      <c r="AD196" s="249"/>
      <c r="AE196" s="249"/>
      <c r="AF196" s="249"/>
      <c r="AG196" s="249"/>
      <c r="AH196" s="249"/>
      <c r="AI196" s="249"/>
      <c r="AJ196" s="249"/>
      <c r="AK196" s="249"/>
      <c r="AL196" s="249"/>
      <c r="AM196" s="564"/>
      <c r="AN196" s="249"/>
      <c r="AO196" s="249"/>
      <c r="AP196" s="249"/>
      <c r="AQ196" s="249"/>
    </row>
    <row r="197">
      <c r="A197" s="1" t="s">
        <v>858</v>
      </c>
      <c r="B197" s="1">
        <v>0.0</v>
      </c>
      <c r="C197" s="1" t="s">
        <v>859</v>
      </c>
      <c r="D197" s="1">
        <v>0.005</v>
      </c>
      <c r="E197" s="1">
        <v>0.32</v>
      </c>
      <c r="F197" s="9">
        <v>1.5E-4</v>
      </c>
      <c r="G197" s="1">
        <v>0.5</v>
      </c>
      <c r="H197" s="1">
        <v>0.5</v>
      </c>
      <c r="I197" s="1">
        <v>0.7</v>
      </c>
      <c r="J197" s="1">
        <v>2.2</v>
      </c>
      <c r="K197" s="1" t="s">
        <v>846</v>
      </c>
      <c r="L197" s="1" t="s">
        <v>580</v>
      </c>
      <c r="M197" s="5" t="str">
        <f t="shared" si="33"/>
        <v/>
      </c>
      <c r="N197" s="563" t="b">
        <f t="shared" si="57"/>
        <v>1</v>
      </c>
      <c r="O197" s="249" t="b">
        <f t="shared" si="34"/>
        <v>1</v>
      </c>
      <c r="P197" t="b">
        <f t="shared" si="35"/>
        <v>1</v>
      </c>
      <c r="Q197">
        <f t="shared" si="30"/>
        <v>25</v>
      </c>
      <c r="R197" s="120" t="str">
        <f t="shared" si="31"/>
        <v/>
      </c>
      <c r="S197" s="275">
        <f t="shared" ref="S197:AA197" si="60">INDEX(B$174:B$238,MATCH($Q197,$E$258:$E$322,0),0)</f>
        <v>0</v>
      </c>
      <c r="T197" s="381" t="str">
        <f t="shared" si="60"/>
        <v>GroundHelperDamage</v>
      </c>
      <c r="U197" s="70">
        <f t="shared" si="60"/>
        <v>0.2</v>
      </c>
      <c r="V197" s="7">
        <f t="shared" si="60"/>
        <v>0.4</v>
      </c>
      <c r="W197" s="8">
        <f t="shared" si="60"/>
        <v>0.0002</v>
      </c>
      <c r="X197" s="560">
        <f t="shared" si="60"/>
        <v>0.5</v>
      </c>
      <c r="Y197" s="70">
        <f t="shared" si="60"/>
        <v>0.3</v>
      </c>
      <c r="Z197">
        <f t="shared" si="60"/>
        <v>0.7</v>
      </c>
      <c r="AA197">
        <f t="shared" si="60"/>
        <v>1.7</v>
      </c>
      <c r="AB197" s="249"/>
      <c r="AC197" s="249"/>
      <c r="AD197" s="249"/>
      <c r="AE197" s="249"/>
      <c r="AF197" s="249"/>
      <c r="AG197" s="249"/>
      <c r="AH197" s="249"/>
      <c r="AI197" s="249"/>
      <c r="AJ197" s="249"/>
      <c r="AK197" s="249"/>
      <c r="AL197" s="249"/>
      <c r="AM197" s="564"/>
      <c r="AN197" s="249"/>
      <c r="AO197" s="249"/>
      <c r="AP197" s="249"/>
      <c r="AQ197" s="249"/>
    </row>
    <row r="198">
      <c r="A198" s="1" t="s">
        <v>862</v>
      </c>
      <c r="B198" s="1">
        <v>0.0</v>
      </c>
      <c r="C198" s="1" t="s">
        <v>863</v>
      </c>
      <c r="D198" s="1">
        <v>0.02</v>
      </c>
      <c r="E198" s="1">
        <v>0.32</v>
      </c>
      <c r="F198" s="9">
        <v>1.5E-4</v>
      </c>
      <c r="G198" s="1">
        <v>0.5</v>
      </c>
      <c r="H198" s="1">
        <v>0.5</v>
      </c>
      <c r="I198" s="1">
        <v>0.7</v>
      </c>
      <c r="J198" s="1">
        <v>2.2</v>
      </c>
      <c r="K198" s="1" t="s">
        <v>848</v>
      </c>
      <c r="L198" s="1" t="s">
        <v>584</v>
      </c>
      <c r="M198" s="5" t="str">
        <f t="shared" si="33"/>
        <v/>
      </c>
      <c r="N198" s="563" t="b">
        <f t="shared" si="57"/>
        <v>1</v>
      </c>
      <c r="O198" s="249" t="b">
        <f t="shared" si="34"/>
        <v>1</v>
      </c>
      <c r="P198" t="b">
        <f t="shared" si="35"/>
        <v>1</v>
      </c>
      <c r="Q198">
        <f t="shared" si="30"/>
        <v>26</v>
      </c>
      <c r="R198" s="120" t="str">
        <f t="shared" si="31"/>
        <v/>
      </c>
      <c r="S198" s="275">
        <f t="shared" ref="S198:AA198" si="61">INDEX(B$174:B$238,MATCH($Q198,$E$258:$E$322,0),0)</f>
        <v>0</v>
      </c>
      <c r="T198" s="381" t="str">
        <f t="shared" si="61"/>
        <v>SpellHelperDamage</v>
      </c>
      <c r="U198" s="70">
        <f t="shared" si="61"/>
        <v>0.2</v>
      </c>
      <c r="V198" s="7">
        <f t="shared" si="61"/>
        <v>0.4</v>
      </c>
      <c r="W198" s="8">
        <f t="shared" si="61"/>
        <v>0.0002</v>
      </c>
      <c r="X198" s="560">
        <f t="shared" si="61"/>
        <v>0.5</v>
      </c>
      <c r="Y198" s="70">
        <f t="shared" si="61"/>
        <v>0.3</v>
      </c>
      <c r="Z198">
        <f t="shared" si="61"/>
        <v>0.7</v>
      </c>
      <c r="AA198">
        <f t="shared" si="61"/>
        <v>1.7</v>
      </c>
      <c r="AB198" s="249"/>
      <c r="AC198" s="249"/>
      <c r="AD198" s="249"/>
      <c r="AE198" s="249"/>
      <c r="AF198" s="249"/>
      <c r="AG198" s="249"/>
      <c r="AH198" s="249"/>
      <c r="AI198" s="249"/>
      <c r="AJ198" s="249"/>
      <c r="AK198" s="249"/>
      <c r="AL198" s="249"/>
      <c r="AM198" s="564"/>
      <c r="AN198" s="249"/>
      <c r="AO198" s="249"/>
      <c r="AP198" s="249"/>
      <c r="AQ198" s="249"/>
    </row>
    <row r="199">
      <c r="A199" s="1" t="s">
        <v>866</v>
      </c>
      <c r="B199" s="1">
        <v>0.0</v>
      </c>
      <c r="C199" s="1" t="s">
        <v>867</v>
      </c>
      <c r="D199" s="1">
        <v>0.03</v>
      </c>
      <c r="E199" s="1">
        <v>0.4</v>
      </c>
      <c r="F199" s="9">
        <v>2.0E-4</v>
      </c>
      <c r="G199" s="1">
        <v>0.5</v>
      </c>
      <c r="H199" s="1">
        <v>0.3</v>
      </c>
      <c r="I199" s="1">
        <v>0.6</v>
      </c>
      <c r="J199" s="1">
        <v>1.7</v>
      </c>
      <c r="K199" s="1" t="s">
        <v>851</v>
      </c>
      <c r="L199" s="1" t="s">
        <v>590</v>
      </c>
      <c r="M199" s="5" t="str">
        <f t="shared" si="33"/>
        <v/>
      </c>
      <c r="N199" s="563" t="b">
        <f>IF(AND(E31 = "☑"), True, False)</f>
        <v>0</v>
      </c>
      <c r="O199" s="249" t="b">
        <f t="shared" si="34"/>
        <v>1</v>
      </c>
      <c r="P199" t="b">
        <f t="shared" si="35"/>
        <v>0</v>
      </c>
      <c r="Q199">
        <f t="shared" si="30"/>
        <v>27</v>
      </c>
      <c r="R199" s="120" t="str">
        <f t="shared" si="31"/>
        <v/>
      </c>
      <c r="S199" s="275">
        <f t="shared" ref="S199:AA199" si="62">INDEX(B$174:B$238,MATCH($Q199,$E$258:$E$322,0),0)</f>
        <v>0</v>
      </c>
      <c r="T199" s="381" t="str">
        <f t="shared" si="62"/>
        <v>PrestigeRelic</v>
      </c>
      <c r="U199" s="70">
        <f t="shared" si="62"/>
        <v>0.05</v>
      </c>
      <c r="V199" s="7">
        <f t="shared" si="62"/>
        <v>0.12</v>
      </c>
      <c r="W199" s="8">
        <f t="shared" si="62"/>
        <v>0.0001</v>
      </c>
      <c r="X199" s="560">
        <f t="shared" si="62"/>
        <v>0.5</v>
      </c>
      <c r="Y199" s="70">
        <f t="shared" si="62"/>
        <v>0.3</v>
      </c>
      <c r="Z199">
        <f t="shared" si="62"/>
        <v>0.7</v>
      </c>
      <c r="AA199">
        <f t="shared" si="62"/>
        <v>2.5</v>
      </c>
      <c r="AB199" s="249"/>
      <c r="AC199" s="249"/>
      <c r="AD199" s="249"/>
      <c r="AE199" s="249"/>
      <c r="AF199" s="249"/>
      <c r="AG199" s="249"/>
      <c r="AH199" s="249"/>
      <c r="AI199" s="249"/>
      <c r="AJ199" s="249"/>
      <c r="AK199" s="249"/>
      <c r="AL199" s="249"/>
      <c r="AM199" s="564"/>
      <c r="AN199" s="249"/>
      <c r="AO199" s="249"/>
      <c r="AP199" s="249"/>
      <c r="AQ199" s="249"/>
    </row>
    <row r="200">
      <c r="A200" s="1" t="s">
        <v>870</v>
      </c>
      <c r="B200" s="1">
        <v>0.0</v>
      </c>
      <c r="C200" s="1" t="s">
        <v>339</v>
      </c>
      <c r="D200" s="1">
        <v>0.5</v>
      </c>
      <c r="E200" s="1">
        <v>0.4</v>
      </c>
      <c r="F200" s="9">
        <v>2.0E-4</v>
      </c>
      <c r="G200" s="1">
        <v>0.5</v>
      </c>
      <c r="H200" s="1">
        <v>0.3</v>
      </c>
      <c r="I200" s="1">
        <v>0.6</v>
      </c>
      <c r="J200" s="1">
        <v>1.7</v>
      </c>
      <c r="K200" s="1" t="s">
        <v>856</v>
      </c>
      <c r="L200" s="1" t="s">
        <v>594</v>
      </c>
      <c r="M200" s="5" t="str">
        <f t="shared" si="33"/>
        <v/>
      </c>
      <c r="N200" s="563" t="b">
        <f>IF(AND(E32 = "☑", I3 = "Offline"), True, False)</f>
        <v>0</v>
      </c>
      <c r="O200" s="249" t="b">
        <f t="shared" si="34"/>
        <v>1</v>
      </c>
      <c r="P200" t="b">
        <f t="shared" si="35"/>
        <v>0</v>
      </c>
      <c r="Q200">
        <f t="shared" si="30"/>
        <v>28</v>
      </c>
      <c r="R200" s="120" t="str">
        <f t="shared" si="31"/>
        <v/>
      </c>
      <c r="S200" s="275">
        <f t="shared" ref="S200:AA200" si="63">INDEX(B$174:B$238,MATCH($Q200,$E$258:$E$322,0),0)</f>
        <v>0</v>
      </c>
      <c r="T200" s="381" t="str">
        <f t="shared" si="63"/>
        <v>ShadowCloneSkillAmount</v>
      </c>
      <c r="U200" s="70">
        <f t="shared" si="63"/>
        <v>0.1</v>
      </c>
      <c r="V200" s="7">
        <f t="shared" si="63"/>
        <v>0.4</v>
      </c>
      <c r="W200" s="8">
        <f t="shared" si="63"/>
        <v>0.0002</v>
      </c>
      <c r="X200" s="560">
        <f t="shared" si="63"/>
        <v>0.5</v>
      </c>
      <c r="Y200" s="70">
        <f t="shared" si="63"/>
        <v>0.2</v>
      </c>
      <c r="Z200">
        <f t="shared" si="63"/>
        <v>0.6</v>
      </c>
      <c r="AA200">
        <f t="shared" si="63"/>
        <v>1.7</v>
      </c>
      <c r="AB200" s="249"/>
      <c r="AC200" s="249"/>
      <c r="AD200" s="249"/>
      <c r="AE200" s="249"/>
      <c r="AF200" s="249"/>
      <c r="AG200" s="249"/>
      <c r="AH200" s="249"/>
      <c r="AI200" s="249"/>
      <c r="AJ200" s="249"/>
      <c r="AK200" s="249"/>
      <c r="AL200" s="249"/>
      <c r="AM200" s="564"/>
      <c r="AN200" s="249"/>
      <c r="AO200" s="249"/>
      <c r="AP200" s="249"/>
      <c r="AQ200" s="249"/>
    </row>
    <row r="201">
      <c r="A201" s="1" t="s">
        <v>874</v>
      </c>
      <c r="B201" s="1">
        <v>0.0</v>
      </c>
      <c r="C201" s="1" t="s">
        <v>875</v>
      </c>
      <c r="D201" s="1">
        <v>2.5E-4</v>
      </c>
      <c r="E201" s="1">
        <v>0.4</v>
      </c>
      <c r="F201" s="9">
        <v>2.0E-4</v>
      </c>
      <c r="G201" s="1">
        <v>0.5</v>
      </c>
      <c r="H201" s="1">
        <v>0.3</v>
      </c>
      <c r="I201" s="1">
        <v>0.6</v>
      </c>
      <c r="J201" s="1">
        <v>1.7</v>
      </c>
      <c r="K201" s="1" t="s">
        <v>860</v>
      </c>
      <c r="L201" s="1" t="s">
        <v>599</v>
      </c>
      <c r="M201" s="5" t="str">
        <f t="shared" si="33"/>
        <v/>
      </c>
      <c r="N201" s="563" t="b">
        <f t="shared" ref="N201:N251" si="65">IF(E33 = "☑", True, False)</f>
        <v>0</v>
      </c>
      <c r="O201" s="249" t="b">
        <f t="shared" si="34"/>
        <v>1</v>
      </c>
      <c r="P201" t="b">
        <f t="shared" si="35"/>
        <v>0</v>
      </c>
      <c r="Q201">
        <f t="shared" si="30"/>
        <v>29</v>
      </c>
      <c r="R201" s="120" t="str">
        <f t="shared" si="31"/>
        <v/>
      </c>
      <c r="S201" s="275">
        <f t="shared" ref="S201:AA201" si="64">INDEX(B$174:B$238,MATCH($Q201,$E$258:$E$322,0),0)</f>
        <v>0</v>
      </c>
      <c r="T201" s="381" t="str">
        <f t="shared" si="64"/>
        <v>SlashBoost</v>
      </c>
      <c r="U201" s="70">
        <f t="shared" si="64"/>
        <v>0.08</v>
      </c>
      <c r="V201" s="7">
        <f t="shared" si="64"/>
        <v>0.32</v>
      </c>
      <c r="W201" s="8">
        <f t="shared" si="64"/>
        <v>0.00015</v>
      </c>
      <c r="X201" s="560">
        <f t="shared" si="64"/>
        <v>0.5</v>
      </c>
      <c r="Y201" s="70">
        <f t="shared" si="64"/>
        <v>0.5</v>
      </c>
      <c r="Z201">
        <f t="shared" si="64"/>
        <v>0.65</v>
      </c>
      <c r="AA201">
        <f t="shared" si="64"/>
        <v>2</v>
      </c>
      <c r="AB201" s="249"/>
      <c r="AC201" s="249"/>
      <c r="AD201" s="249"/>
      <c r="AE201" s="249"/>
      <c r="AF201" s="249"/>
      <c r="AG201" s="249"/>
      <c r="AH201" s="249"/>
      <c r="AI201" s="249"/>
      <c r="AJ201" s="249"/>
      <c r="AK201" s="249"/>
      <c r="AL201" s="249"/>
      <c r="AM201" s="564"/>
      <c r="AN201" s="249"/>
      <c r="AO201" s="249"/>
      <c r="AP201" s="249"/>
      <c r="AQ201" s="249"/>
    </row>
    <row r="202">
      <c r="A202" s="1" t="s">
        <v>877</v>
      </c>
      <c r="B202" s="1">
        <v>0.0</v>
      </c>
      <c r="C202" s="1" t="s">
        <v>878</v>
      </c>
      <c r="D202" s="1">
        <v>0.24</v>
      </c>
      <c r="E202" s="1">
        <v>0.32</v>
      </c>
      <c r="F202" s="9">
        <v>1.5E-4</v>
      </c>
      <c r="G202" s="1">
        <v>0.5</v>
      </c>
      <c r="H202" s="1">
        <v>1.0</v>
      </c>
      <c r="I202" s="1">
        <v>1.0</v>
      </c>
      <c r="J202" s="1">
        <v>2.0</v>
      </c>
      <c r="K202" s="1" t="s">
        <v>864</v>
      </c>
      <c r="L202" s="1" t="s">
        <v>604</v>
      </c>
      <c r="M202" s="5" t="str">
        <f t="shared" si="33"/>
        <v/>
      </c>
      <c r="N202" s="563" t="b">
        <f t="shared" si="65"/>
        <v>0</v>
      </c>
      <c r="O202" s="249" t="b">
        <f t="shared" si="34"/>
        <v>1</v>
      </c>
      <c r="P202" t="b">
        <f t="shared" si="35"/>
        <v>0</v>
      </c>
      <c r="Q202">
        <f t="shared" si="30"/>
        <v>30</v>
      </c>
      <c r="R202" s="120" t="str">
        <f t="shared" si="31"/>
        <v/>
      </c>
      <c r="S202" s="275">
        <f t="shared" ref="S202:AA202" si="66">INDEX(B$174:B$238,MATCH($Q202,$E$258:$E$322,0),0)</f>
        <v>0</v>
      </c>
      <c r="T202" s="381" t="str">
        <f t="shared" si="66"/>
        <v>RogueBonusBoost</v>
      </c>
      <c r="U202" s="70">
        <f t="shared" si="66"/>
        <v>0.02</v>
      </c>
      <c r="V202" s="7">
        <f t="shared" si="66"/>
        <v>0.32</v>
      </c>
      <c r="W202" s="8">
        <f t="shared" si="66"/>
        <v>0.00015</v>
      </c>
      <c r="X202" s="560">
        <f t="shared" si="66"/>
        <v>0.5</v>
      </c>
      <c r="Y202" s="70">
        <f t="shared" si="66"/>
        <v>0.5</v>
      </c>
      <c r="Z202">
        <f t="shared" si="66"/>
        <v>0.65</v>
      </c>
      <c r="AA202">
        <f t="shared" si="66"/>
        <v>2.2</v>
      </c>
      <c r="AB202" s="249"/>
      <c r="AC202" s="249"/>
      <c r="AD202" s="249"/>
      <c r="AE202" s="249"/>
      <c r="AF202" s="249"/>
      <c r="AG202" s="249"/>
      <c r="AH202" s="249"/>
      <c r="AI202" s="249"/>
      <c r="AJ202" s="249"/>
      <c r="AK202" s="249"/>
      <c r="AL202" s="249"/>
      <c r="AM202" s="564"/>
      <c r="AN202" s="249"/>
      <c r="AO202" s="249"/>
      <c r="AP202" s="249"/>
      <c r="AQ202" s="249"/>
    </row>
    <row r="203">
      <c r="A203" s="1" t="s">
        <v>880</v>
      </c>
      <c r="B203" s="1">
        <v>0.0</v>
      </c>
      <c r="C203" s="1" t="s">
        <v>881</v>
      </c>
      <c r="D203" s="1">
        <v>0.12</v>
      </c>
      <c r="E203" s="1">
        <v>0.32</v>
      </c>
      <c r="F203" s="9">
        <v>1.5E-4</v>
      </c>
      <c r="G203" s="1">
        <v>0.5</v>
      </c>
      <c r="H203" s="1">
        <v>1.0</v>
      </c>
      <c r="I203" s="1">
        <v>1.0</v>
      </c>
      <c r="J203" s="1">
        <v>2.0</v>
      </c>
      <c r="K203" s="1" t="s">
        <v>868</v>
      </c>
      <c r="L203" s="1" t="s">
        <v>609</v>
      </c>
      <c r="M203" s="5" t="str">
        <f t="shared" si="33"/>
        <v/>
      </c>
      <c r="N203" s="563" t="b">
        <f t="shared" si="65"/>
        <v>1</v>
      </c>
      <c r="O203" s="249" t="b">
        <f t="shared" si="34"/>
        <v>1</v>
      </c>
      <c r="P203" t="b">
        <f t="shared" si="35"/>
        <v>1</v>
      </c>
      <c r="Q203">
        <f t="shared" si="30"/>
        <v>31</v>
      </c>
      <c r="R203" s="120" t="str">
        <f t="shared" si="31"/>
        <v/>
      </c>
      <c r="S203" s="275">
        <f t="shared" ref="S203:AA203" si="67">INDEX(B$174:B$238,MATCH($Q203,$E$258:$E$322,0),0)</f>
        <v>0</v>
      </c>
      <c r="T203" s="381" t="str">
        <f t="shared" si="67"/>
        <v>SorcererBonusBoost</v>
      </c>
      <c r="U203" s="70">
        <f t="shared" si="67"/>
        <v>0.02</v>
      </c>
      <c r="V203" s="7">
        <f t="shared" si="67"/>
        <v>0.32</v>
      </c>
      <c r="W203" s="8">
        <f t="shared" si="67"/>
        <v>0.00015</v>
      </c>
      <c r="X203" s="560">
        <f t="shared" si="67"/>
        <v>0.5</v>
      </c>
      <c r="Y203" s="70">
        <f t="shared" si="67"/>
        <v>0.5</v>
      </c>
      <c r="Z203">
        <f t="shared" si="67"/>
        <v>0.65</v>
      </c>
      <c r="AA203">
        <f t="shared" si="67"/>
        <v>2.2</v>
      </c>
      <c r="AB203" s="249"/>
      <c r="AC203" s="249"/>
      <c r="AD203" s="249"/>
      <c r="AE203" s="249"/>
      <c r="AF203" s="249"/>
      <c r="AG203" s="249"/>
      <c r="AH203" s="249"/>
      <c r="AI203" s="249"/>
      <c r="AJ203" s="249"/>
      <c r="AK203" s="249"/>
      <c r="AL203" s="249"/>
      <c r="AM203" s="564"/>
      <c r="AN203" s="249"/>
      <c r="AO203" s="249"/>
      <c r="AP203" s="249"/>
      <c r="AQ203" s="249"/>
    </row>
    <row r="204">
      <c r="A204" s="1" t="s">
        <v>883</v>
      </c>
      <c r="B204" s="1">
        <v>0.0</v>
      </c>
      <c r="C204" s="1" t="s">
        <v>884</v>
      </c>
      <c r="D204" s="1">
        <v>0.02</v>
      </c>
      <c r="E204" s="1">
        <v>0.32</v>
      </c>
      <c r="F204" s="9">
        <v>1.5E-4</v>
      </c>
      <c r="G204" s="1">
        <v>0.5</v>
      </c>
      <c r="H204" s="1">
        <v>0.5</v>
      </c>
      <c r="I204" s="1">
        <v>0.65</v>
      </c>
      <c r="J204" s="1">
        <v>2.2</v>
      </c>
      <c r="K204" s="1" t="s">
        <v>872</v>
      </c>
      <c r="L204" s="1" t="s">
        <v>617</v>
      </c>
      <c r="M204" s="5" t="str">
        <f t="shared" si="33"/>
        <v/>
      </c>
      <c r="N204" s="563" t="b">
        <f t="shared" si="65"/>
        <v>0</v>
      </c>
      <c r="O204" s="249" t="b">
        <f t="shared" si="34"/>
        <v>1</v>
      </c>
      <c r="P204" t="b">
        <f t="shared" si="35"/>
        <v>0</v>
      </c>
      <c r="Q204">
        <f t="shared" si="30"/>
        <v>32</v>
      </c>
      <c r="R204" s="120" t="str">
        <f t="shared" si="31"/>
        <v/>
      </c>
      <c r="S204" s="275">
        <f t="shared" ref="S204:AA204" si="68">INDEX(B$174:B$238,MATCH($Q204,$E$258:$E$322,0),0)</f>
        <v>0</v>
      </c>
      <c r="T204" s="381" t="str">
        <f t="shared" si="68"/>
        <v>WarlordBonusBoost</v>
      </c>
      <c r="U204" s="70">
        <f t="shared" si="68"/>
        <v>0.02</v>
      </c>
      <c r="V204" s="7">
        <f t="shared" si="68"/>
        <v>0.32</v>
      </c>
      <c r="W204" s="8">
        <f t="shared" si="68"/>
        <v>0.00015</v>
      </c>
      <c r="X204" s="560">
        <f t="shared" si="68"/>
        <v>0.5</v>
      </c>
      <c r="Y204" s="70">
        <f t="shared" si="68"/>
        <v>0.5</v>
      </c>
      <c r="Z204">
        <f t="shared" si="68"/>
        <v>0.65</v>
      </c>
      <c r="AA204">
        <f t="shared" si="68"/>
        <v>2.2</v>
      </c>
      <c r="AB204" s="249"/>
      <c r="AC204" s="249"/>
      <c r="AD204" s="249"/>
      <c r="AE204" s="249"/>
      <c r="AF204" s="249"/>
      <c r="AG204" s="249"/>
      <c r="AH204" s="249"/>
      <c r="AI204" s="249"/>
      <c r="AJ204" s="249"/>
      <c r="AK204" s="249"/>
      <c r="AL204" s="249"/>
      <c r="AM204" s="564"/>
      <c r="AN204" s="249"/>
      <c r="AO204" s="249"/>
      <c r="AP204" s="249"/>
      <c r="AQ204" s="249"/>
    </row>
    <row r="205">
      <c r="A205" s="1" t="s">
        <v>886</v>
      </c>
      <c r="B205" s="1">
        <v>0.0</v>
      </c>
      <c r="C205" s="1" t="s">
        <v>887</v>
      </c>
      <c r="D205" s="1">
        <v>0.02</v>
      </c>
      <c r="E205" s="1">
        <v>0.32</v>
      </c>
      <c r="F205" s="9">
        <v>1.5E-4</v>
      </c>
      <c r="G205" s="1">
        <v>0.5</v>
      </c>
      <c r="H205" s="1">
        <v>0.5</v>
      </c>
      <c r="I205" s="1">
        <v>0.65</v>
      </c>
      <c r="J205" s="1">
        <v>2.2</v>
      </c>
      <c r="K205" s="1" t="s">
        <v>876</v>
      </c>
      <c r="L205" s="1" t="s">
        <v>621</v>
      </c>
      <c r="M205" s="5" t="str">
        <f t="shared" si="33"/>
        <v/>
      </c>
      <c r="N205" s="563" t="b">
        <f t="shared" si="65"/>
        <v>0</v>
      </c>
      <c r="O205" s="249" t="b">
        <f t="shared" si="34"/>
        <v>1</v>
      </c>
      <c r="P205" t="b">
        <f t="shared" si="35"/>
        <v>0</v>
      </c>
      <c r="Q205">
        <f t="shared" si="30"/>
        <v>33</v>
      </c>
      <c r="R205" s="120" t="str">
        <f t="shared" si="31"/>
        <v/>
      </c>
      <c r="S205" s="275">
        <f t="shared" ref="S205:AA205" si="69">INDEX(B$174:B$238,MATCH($Q205,$E$258:$E$322,0),0)</f>
        <v>0</v>
      </c>
      <c r="T205" s="381" t="str">
        <f t="shared" si="69"/>
        <v>KnightBonusBoost</v>
      </c>
      <c r="U205" s="70">
        <f t="shared" si="69"/>
        <v>0.02</v>
      </c>
      <c r="V205" s="7">
        <f t="shared" si="69"/>
        <v>0.32</v>
      </c>
      <c r="W205" s="8">
        <f t="shared" si="69"/>
        <v>0.00015</v>
      </c>
      <c r="X205" s="560">
        <f t="shared" si="69"/>
        <v>0.5</v>
      </c>
      <c r="Y205" s="70">
        <f t="shared" si="69"/>
        <v>0.5</v>
      </c>
      <c r="Z205">
        <f t="shared" si="69"/>
        <v>0.65</v>
      </c>
      <c r="AA205">
        <f t="shared" si="69"/>
        <v>2.2</v>
      </c>
      <c r="AB205" s="249"/>
      <c r="AC205" s="249"/>
      <c r="AD205" s="249"/>
      <c r="AE205" s="249"/>
      <c r="AF205" s="249"/>
      <c r="AG205" s="249"/>
      <c r="AH205" s="249"/>
      <c r="AI205" s="249"/>
      <c r="AJ205" s="249"/>
      <c r="AK205" s="249"/>
      <c r="AL205" s="249"/>
      <c r="AM205" s="564"/>
      <c r="AN205" s="249"/>
      <c r="AO205" s="249"/>
      <c r="AP205" s="249"/>
      <c r="AQ205" s="249"/>
    </row>
    <row r="206">
      <c r="A206" s="1" t="s">
        <v>889</v>
      </c>
      <c r="B206" s="1">
        <v>0.0</v>
      </c>
      <c r="C206" s="1" t="s">
        <v>890</v>
      </c>
      <c r="D206" s="1">
        <v>0.02</v>
      </c>
      <c r="E206" s="1">
        <v>0.32</v>
      </c>
      <c r="F206" s="9">
        <v>1.5E-4</v>
      </c>
      <c r="G206" s="1">
        <v>0.5</v>
      </c>
      <c r="H206" s="1">
        <v>0.5</v>
      </c>
      <c r="I206" s="1">
        <v>0.65</v>
      </c>
      <c r="J206" s="1">
        <v>2.2</v>
      </c>
      <c r="K206" s="1" t="s">
        <v>879</v>
      </c>
      <c r="L206" s="1" t="s">
        <v>625</v>
      </c>
      <c r="M206" s="5" t="str">
        <f t="shared" si="33"/>
        <v/>
      </c>
      <c r="N206" s="563" t="b">
        <f t="shared" si="65"/>
        <v>0</v>
      </c>
      <c r="O206" s="249" t="b">
        <f t="shared" si="34"/>
        <v>1</v>
      </c>
      <c r="P206" t="b">
        <f t="shared" si="35"/>
        <v>0</v>
      </c>
      <c r="Q206">
        <f t="shared" si="30"/>
        <v>34</v>
      </c>
      <c r="R206" s="120" t="str">
        <f t="shared" si="31"/>
        <v/>
      </c>
      <c r="S206" s="275">
        <f t="shared" ref="S206:AA206" si="70">INDEX(B$174:B$238,MATCH($Q206,$E$258:$E$322,0),0)</f>
        <v>0</v>
      </c>
      <c r="T206" s="381" t="str">
        <f t="shared" si="70"/>
        <v>TitanDamage</v>
      </c>
      <c r="U206" s="70">
        <f t="shared" si="70"/>
        <v>0.24</v>
      </c>
      <c r="V206" s="7">
        <f t="shared" si="70"/>
        <v>0.32</v>
      </c>
      <c r="W206" s="8">
        <f t="shared" si="70"/>
        <v>0.00015</v>
      </c>
      <c r="X206" s="560">
        <f t="shared" si="70"/>
        <v>0.5</v>
      </c>
      <c r="Y206" s="70">
        <f t="shared" si="70"/>
        <v>1</v>
      </c>
      <c r="Z206">
        <f t="shared" si="70"/>
        <v>1</v>
      </c>
      <c r="AA206">
        <f t="shared" si="70"/>
        <v>2</v>
      </c>
      <c r="AB206" s="249"/>
      <c r="AC206" s="249"/>
      <c r="AD206" s="249"/>
      <c r="AE206" s="249"/>
      <c r="AF206" s="249"/>
      <c r="AG206" s="249"/>
      <c r="AH206" s="249"/>
      <c r="AI206" s="249"/>
      <c r="AJ206" s="249"/>
      <c r="AK206" s="249"/>
      <c r="AL206" s="249"/>
      <c r="AM206" s="564"/>
      <c r="AN206" s="249"/>
      <c r="AO206" s="249"/>
      <c r="AP206" s="249"/>
      <c r="AQ206" s="249"/>
    </row>
    <row r="207">
      <c r="A207" s="1" t="s">
        <v>892</v>
      </c>
      <c r="B207" s="1">
        <v>0.0</v>
      </c>
      <c r="C207" s="1" t="s">
        <v>893</v>
      </c>
      <c r="D207" s="1">
        <v>0.02</v>
      </c>
      <c r="E207" s="1">
        <v>0.32</v>
      </c>
      <c r="F207" s="9">
        <v>1.5E-4</v>
      </c>
      <c r="G207" s="1">
        <v>0.5</v>
      </c>
      <c r="H207" s="1">
        <v>0.5</v>
      </c>
      <c r="I207" s="1">
        <v>0.65</v>
      </c>
      <c r="J207" s="1">
        <v>2.2</v>
      </c>
      <c r="K207" s="1" t="s">
        <v>882</v>
      </c>
      <c r="L207" s="1" t="s">
        <v>629</v>
      </c>
      <c r="M207" s="5" t="str">
        <f t="shared" si="33"/>
        <v/>
      </c>
      <c r="N207" s="563" t="b">
        <f t="shared" si="65"/>
        <v>1</v>
      </c>
      <c r="O207" s="249" t="b">
        <f t="shared" si="34"/>
        <v>0</v>
      </c>
      <c r="P207" t="b">
        <f t="shared" si="35"/>
        <v>0</v>
      </c>
      <c r="Q207">
        <f t="shared" si="30"/>
        <v>35</v>
      </c>
      <c r="R207" s="120" t="str">
        <f t="shared" si="31"/>
        <v/>
      </c>
      <c r="S207" s="275">
        <f t="shared" ref="S207:AA207" si="71">INDEX(B$174:B$238,MATCH($Q207,$E$258:$E$322,0),0)</f>
        <v>0</v>
      </c>
      <c r="T207" s="381" t="str">
        <f t="shared" si="71"/>
        <v>SplashDamage</v>
      </c>
      <c r="U207" s="70">
        <f t="shared" si="71"/>
        <v>0.00025</v>
      </c>
      <c r="V207" s="7">
        <f t="shared" si="71"/>
        <v>0.4</v>
      </c>
      <c r="W207" s="8">
        <f t="shared" si="71"/>
        <v>0.0002</v>
      </c>
      <c r="X207" s="560">
        <f t="shared" si="71"/>
        <v>0.5</v>
      </c>
      <c r="Y207" s="70">
        <f t="shared" si="71"/>
        <v>0.3</v>
      </c>
      <c r="Z207">
        <f t="shared" si="71"/>
        <v>0.6</v>
      </c>
      <c r="AA207">
        <f t="shared" si="71"/>
        <v>1.7</v>
      </c>
      <c r="AB207" s="249"/>
      <c r="AC207" s="249"/>
      <c r="AD207" s="249"/>
      <c r="AE207" s="249"/>
      <c r="AF207" s="249"/>
      <c r="AG207" s="249"/>
      <c r="AH207" s="249"/>
      <c r="AI207" s="249"/>
      <c r="AJ207" s="249"/>
      <c r="AK207" s="249"/>
      <c r="AL207" s="249"/>
      <c r="AM207" s="564"/>
      <c r="AN207" s="249"/>
      <c r="AO207" s="249"/>
      <c r="AP207" s="249"/>
      <c r="AQ207" s="249"/>
    </row>
    <row r="208">
      <c r="A208" s="1" t="s">
        <v>895</v>
      </c>
      <c r="B208" s="1">
        <v>0.0</v>
      </c>
      <c r="C208" s="1" t="s">
        <v>896</v>
      </c>
      <c r="D208" s="1">
        <v>0.01</v>
      </c>
      <c r="E208" s="1">
        <v>0.32</v>
      </c>
      <c r="F208" s="9">
        <v>1.5E-4</v>
      </c>
      <c r="G208" s="1">
        <v>0.5</v>
      </c>
      <c r="H208" s="1">
        <v>0.5</v>
      </c>
      <c r="I208" s="1">
        <v>0.65</v>
      </c>
      <c r="J208" s="1">
        <v>2.2</v>
      </c>
      <c r="K208" s="1" t="s">
        <v>885</v>
      </c>
      <c r="L208" s="1" t="s">
        <v>632</v>
      </c>
      <c r="M208" s="5" t="str">
        <f t="shared" si="33"/>
        <v/>
      </c>
      <c r="N208" s="563" t="b">
        <f t="shared" si="65"/>
        <v>1</v>
      </c>
      <c r="O208" s="249" t="b">
        <f t="shared" si="34"/>
        <v>1</v>
      </c>
      <c r="P208" t="b">
        <f t="shared" si="35"/>
        <v>1</v>
      </c>
      <c r="Q208">
        <f t="shared" si="30"/>
        <v>36</v>
      </c>
      <c r="R208" s="120" t="str">
        <f t="shared" si="31"/>
        <v/>
      </c>
      <c r="S208" s="275">
        <f t="shared" ref="S208:AA208" si="72">INDEX(B$174:B$238,MATCH($Q208,$E$258:$E$322,0),0)</f>
        <v>0</v>
      </c>
      <c r="T208" s="381" t="str">
        <f t="shared" si="72"/>
        <v>InactiveAllDamage</v>
      </c>
      <c r="U208" s="70">
        <f t="shared" si="72"/>
        <v>0.5</v>
      </c>
      <c r="V208" s="7">
        <f t="shared" si="72"/>
        <v>0.4</v>
      </c>
      <c r="W208" s="8">
        <f t="shared" si="72"/>
        <v>0.0002</v>
      </c>
      <c r="X208" s="560">
        <f t="shared" si="72"/>
        <v>0.5</v>
      </c>
      <c r="Y208" s="70">
        <f t="shared" si="72"/>
        <v>0.3</v>
      </c>
      <c r="Z208">
        <f t="shared" si="72"/>
        <v>0.6</v>
      </c>
      <c r="AA208">
        <f t="shared" si="72"/>
        <v>1.7</v>
      </c>
      <c r="AB208" s="249"/>
      <c r="AC208" s="249"/>
      <c r="AD208" s="249"/>
      <c r="AE208" s="249"/>
      <c r="AF208" s="249"/>
      <c r="AG208" s="249"/>
      <c r="AH208" s="249"/>
      <c r="AI208" s="249"/>
      <c r="AJ208" s="249"/>
      <c r="AK208" s="249"/>
      <c r="AL208" s="249"/>
      <c r="AM208" s="564"/>
      <c r="AN208" s="249"/>
      <c r="AO208" s="249"/>
      <c r="AP208" s="249"/>
      <c r="AQ208" s="249"/>
    </row>
    <row r="209">
      <c r="A209" s="1" t="s">
        <v>898</v>
      </c>
      <c r="B209" s="1">
        <v>0.0</v>
      </c>
      <c r="C209" s="1" t="s">
        <v>888</v>
      </c>
      <c r="D209" s="1">
        <v>0.08</v>
      </c>
      <c r="E209" s="1">
        <v>0.32</v>
      </c>
      <c r="F209" s="9">
        <v>1.5E-4</v>
      </c>
      <c r="G209" s="1">
        <v>0.5</v>
      </c>
      <c r="H209" s="1">
        <v>0.5</v>
      </c>
      <c r="I209" s="1">
        <v>0.65</v>
      </c>
      <c r="J209" s="1">
        <v>2.0</v>
      </c>
      <c r="K209" s="1" t="s">
        <v>888</v>
      </c>
      <c r="L209" s="1" t="s">
        <v>639</v>
      </c>
      <c r="M209" s="5" t="str">
        <f t="shared" si="33"/>
        <v/>
      </c>
      <c r="N209" s="563" t="b">
        <f t="shared" si="65"/>
        <v>1</v>
      </c>
      <c r="O209" s="249" t="b">
        <f t="shared" si="34"/>
        <v>1</v>
      </c>
      <c r="P209" t="b">
        <f t="shared" si="35"/>
        <v>1</v>
      </c>
      <c r="Q209">
        <f t="shared" si="30"/>
        <v>37</v>
      </c>
      <c r="R209" s="120" t="str">
        <f t="shared" si="31"/>
        <v/>
      </c>
      <c r="S209" s="275">
        <f t="shared" ref="S209:AA209" si="73">INDEX(B$174:B$238,MATCH($Q209,$E$258:$E$322,0),0)</f>
        <v>0</v>
      </c>
      <c r="T209" s="381" t="str">
        <f t="shared" si="73"/>
        <v>UnskilledDamage</v>
      </c>
      <c r="U209" s="70">
        <f t="shared" si="73"/>
        <v>0.03</v>
      </c>
      <c r="V209" s="7">
        <f t="shared" si="73"/>
        <v>0.4</v>
      </c>
      <c r="W209" s="8">
        <f t="shared" si="73"/>
        <v>0.0002</v>
      </c>
      <c r="X209" s="560">
        <f t="shared" si="73"/>
        <v>0.5</v>
      </c>
      <c r="Y209" s="70">
        <f t="shared" si="73"/>
        <v>0.3</v>
      </c>
      <c r="Z209">
        <f t="shared" si="73"/>
        <v>0.6</v>
      </c>
      <c r="AA209">
        <f t="shared" si="73"/>
        <v>1.7</v>
      </c>
      <c r="AB209" s="249"/>
      <c r="AC209" s="249"/>
      <c r="AD209" s="249"/>
      <c r="AE209" s="249"/>
      <c r="AF209" s="249"/>
      <c r="AG209" s="249"/>
      <c r="AH209" s="249"/>
      <c r="AI209" s="249"/>
      <c r="AJ209" s="249"/>
      <c r="AK209" s="249"/>
      <c r="AL209" s="249"/>
      <c r="AM209" s="564"/>
      <c r="AN209" s="249"/>
      <c r="AO209" s="249"/>
      <c r="AP209" s="249"/>
      <c r="AQ209" s="249"/>
    </row>
    <row r="210">
      <c r="A210" s="1" t="s">
        <v>900</v>
      </c>
      <c r="B210" s="1">
        <v>0.0</v>
      </c>
      <c r="C210" s="1" t="s">
        <v>891</v>
      </c>
      <c r="D210" s="1">
        <v>0.08</v>
      </c>
      <c r="E210" s="1">
        <v>0.32</v>
      </c>
      <c r="F210" s="9">
        <v>1.5E-4</v>
      </c>
      <c r="G210" s="1">
        <v>0.5</v>
      </c>
      <c r="H210" s="1">
        <v>0.5</v>
      </c>
      <c r="I210" s="1">
        <v>0.65</v>
      </c>
      <c r="J210" s="1">
        <v>2.0</v>
      </c>
      <c r="K210" s="1" t="s">
        <v>891</v>
      </c>
      <c r="L210" s="1" t="s">
        <v>650</v>
      </c>
      <c r="M210" s="5" t="str">
        <f t="shared" si="33"/>
        <v/>
      </c>
      <c r="N210" s="563" t="b">
        <f t="shared" si="65"/>
        <v>1</v>
      </c>
      <c r="O210" s="249" t="b">
        <f t="shared" si="34"/>
        <v>1</v>
      </c>
      <c r="P210" t="b">
        <f t="shared" si="35"/>
        <v>1</v>
      </c>
      <c r="Q210">
        <f t="shared" si="30"/>
        <v>38</v>
      </c>
      <c r="R210" s="120" t="str">
        <f t="shared" si="31"/>
        <v/>
      </c>
      <c r="S210" s="275">
        <f t="shared" ref="S210:AA210" si="74">INDEX(B$174:B$238,MATCH($Q210,$E$258:$E$322,0),0)</f>
        <v>0</v>
      </c>
      <c r="T210" s="381" t="str">
        <f t="shared" si="74"/>
        <v>CompanionDamage</v>
      </c>
      <c r="U210" s="70">
        <f t="shared" si="74"/>
        <v>0.1</v>
      </c>
      <c r="V210" s="7">
        <f t="shared" si="74"/>
        <v>0.4</v>
      </c>
      <c r="W210" s="8">
        <f t="shared" si="74"/>
        <v>0.00015</v>
      </c>
      <c r="X210" s="560">
        <f t="shared" si="74"/>
        <v>0.5</v>
      </c>
      <c r="Y210" s="70">
        <f t="shared" si="74"/>
        <v>0.5</v>
      </c>
      <c r="Z210">
        <f t="shared" si="74"/>
        <v>0.7</v>
      </c>
      <c r="AA210">
        <f t="shared" si="74"/>
        <v>1.8</v>
      </c>
      <c r="AB210" s="249"/>
      <c r="AC210" s="249"/>
      <c r="AD210" s="249"/>
      <c r="AE210" s="249"/>
      <c r="AF210" s="249"/>
      <c r="AG210" s="249"/>
      <c r="AH210" s="249"/>
      <c r="AI210" s="249"/>
      <c r="AJ210" s="249"/>
      <c r="AK210" s="249"/>
      <c r="AL210" s="249"/>
      <c r="AM210" s="564"/>
      <c r="AN210" s="249"/>
      <c r="AO210" s="249"/>
      <c r="AP210" s="249"/>
      <c r="AQ210" s="249"/>
    </row>
    <row r="211">
      <c r="A211" s="1" t="s">
        <v>903</v>
      </c>
      <c r="B211" s="1">
        <v>0.0</v>
      </c>
      <c r="C211" s="1" t="s">
        <v>904</v>
      </c>
      <c r="D211" s="1">
        <v>0.08</v>
      </c>
      <c r="E211" s="1">
        <v>0.32</v>
      </c>
      <c r="F211" s="9">
        <v>1.5E-4</v>
      </c>
      <c r="G211" s="1">
        <v>0.5</v>
      </c>
      <c r="H211" s="1">
        <v>0.5</v>
      </c>
      <c r="I211" s="1">
        <v>0.65</v>
      </c>
      <c r="J211" s="1">
        <v>2.0</v>
      </c>
      <c r="K211" s="1" t="s">
        <v>894</v>
      </c>
      <c r="L211" s="1" t="s">
        <v>656</v>
      </c>
      <c r="M211" s="5" t="str">
        <f t="shared" si="33"/>
        <v/>
      </c>
      <c r="N211" s="563" t="b">
        <f t="shared" si="65"/>
        <v>1</v>
      </c>
      <c r="O211" s="249" t="b">
        <f t="shared" si="34"/>
        <v>1</v>
      </c>
      <c r="P211" t="b">
        <f t="shared" si="35"/>
        <v>1</v>
      </c>
      <c r="Q211">
        <f t="shared" si="30"/>
        <v>39</v>
      </c>
      <c r="R211" s="120" t="str">
        <f t="shared" si="31"/>
        <v/>
      </c>
      <c r="S211" s="275">
        <f t="shared" ref="S211:AA211" si="75">INDEX(B$174:B$238,MATCH($Q211,$E$258:$E$322,0),0)</f>
        <v>0</v>
      </c>
      <c r="T211" s="381" t="str">
        <f t="shared" si="75"/>
        <v>ClanShipDamage</v>
      </c>
      <c r="U211" s="70">
        <f t="shared" si="75"/>
        <v>0.1</v>
      </c>
      <c r="V211" s="7">
        <f t="shared" si="75"/>
        <v>0.4</v>
      </c>
      <c r="W211" s="8">
        <f t="shared" si="75"/>
        <v>0.00015</v>
      </c>
      <c r="X211" s="560">
        <f t="shared" si="75"/>
        <v>0.5</v>
      </c>
      <c r="Y211" s="70">
        <f t="shared" si="75"/>
        <v>0.5</v>
      </c>
      <c r="Z211">
        <f t="shared" si="75"/>
        <v>0.7</v>
      </c>
      <c r="AA211">
        <f t="shared" si="75"/>
        <v>1.7</v>
      </c>
      <c r="AB211" s="249"/>
      <c r="AC211" s="249"/>
      <c r="AD211" s="249"/>
      <c r="AE211" s="249"/>
      <c r="AF211" s="249"/>
      <c r="AG211" s="249"/>
      <c r="AH211" s="249"/>
      <c r="AI211" s="249"/>
      <c r="AJ211" s="249"/>
      <c r="AK211" s="249"/>
      <c r="AL211" s="249"/>
      <c r="AM211" s="564"/>
      <c r="AN211" s="249"/>
      <c r="AO211" s="249"/>
      <c r="AP211" s="249"/>
      <c r="AQ211" s="249"/>
    </row>
    <row r="212">
      <c r="A212" s="1" t="s">
        <v>906</v>
      </c>
      <c r="B212" s="1">
        <v>0.0</v>
      </c>
      <c r="C212" s="1" t="s">
        <v>907</v>
      </c>
      <c r="D212" s="1">
        <v>0.08</v>
      </c>
      <c r="E212" s="1">
        <v>0.32</v>
      </c>
      <c r="F212" s="9">
        <v>1.5E-4</v>
      </c>
      <c r="G212" s="1">
        <v>0.5</v>
      </c>
      <c r="H212" s="1">
        <v>0.5</v>
      </c>
      <c r="I212" s="1">
        <v>0.65</v>
      </c>
      <c r="J212" s="1">
        <v>2.0</v>
      </c>
      <c r="K212" s="1" t="s">
        <v>897</v>
      </c>
      <c r="L212" s="1" t="s">
        <v>664</v>
      </c>
      <c r="M212" s="5" t="str">
        <f t="shared" si="33"/>
        <v/>
      </c>
      <c r="N212" s="563" t="b">
        <f t="shared" si="65"/>
        <v>1</v>
      </c>
      <c r="O212" s="249" t="b">
        <f t="shared" si="34"/>
        <v>1</v>
      </c>
      <c r="P212" t="b">
        <f t="shared" si="35"/>
        <v>1</v>
      </c>
      <c r="Q212" s="249"/>
      <c r="R212" s="249"/>
      <c r="S212" s="249"/>
      <c r="T212" s="249"/>
      <c r="U212" s="249"/>
      <c r="V212" s="249"/>
      <c r="W212" s="249"/>
      <c r="X212" s="249"/>
      <c r="Y212" s="249"/>
      <c r="Z212" s="249"/>
      <c r="AA212" s="249"/>
      <c r="AB212" s="564"/>
      <c r="AC212" s="249"/>
      <c r="AD212" s="249"/>
      <c r="AE212" s="249"/>
      <c r="AF212" s="249"/>
    </row>
    <row r="213">
      <c r="A213" s="1" t="s">
        <v>908</v>
      </c>
      <c r="B213" s="1">
        <v>0.0</v>
      </c>
      <c r="C213" s="1" t="s">
        <v>899</v>
      </c>
      <c r="D213" s="1">
        <v>0.08</v>
      </c>
      <c r="E213" s="1">
        <v>0.32</v>
      </c>
      <c r="F213" s="9">
        <v>1.5E-4</v>
      </c>
      <c r="G213" s="1">
        <v>0.5</v>
      </c>
      <c r="H213" s="1">
        <v>0.5</v>
      </c>
      <c r="I213" s="1">
        <v>0.65</v>
      </c>
      <c r="J213" s="1">
        <v>2.0</v>
      </c>
      <c r="K213" s="1" t="s">
        <v>899</v>
      </c>
      <c r="L213" s="1" t="s">
        <v>562</v>
      </c>
      <c r="M213" s="5" t="str">
        <f t="shared" si="33"/>
        <v/>
      </c>
      <c r="N213" s="563" t="b">
        <f t="shared" si="65"/>
        <v>1</v>
      </c>
      <c r="O213" s="249" t="b">
        <f t="shared" si="34"/>
        <v>1</v>
      </c>
      <c r="P213" t="b">
        <f t="shared" si="35"/>
        <v>1</v>
      </c>
      <c r="Q213" s="249"/>
      <c r="R213" s="249"/>
      <c r="S213" s="249"/>
      <c r="T213" s="249"/>
      <c r="U213" s="249"/>
      <c r="V213" s="249"/>
      <c r="W213" s="249"/>
      <c r="X213" s="249"/>
      <c r="Y213" s="249"/>
      <c r="Z213" s="249"/>
      <c r="AA213" s="249"/>
      <c r="AB213" s="564"/>
      <c r="AC213" s="249"/>
      <c r="AD213" s="249"/>
      <c r="AE213" s="249"/>
      <c r="AF213" s="249"/>
    </row>
    <row r="214">
      <c r="A214" s="1" t="s">
        <v>909</v>
      </c>
      <c r="B214" s="1">
        <v>0.0</v>
      </c>
      <c r="C214" s="1" t="s">
        <v>910</v>
      </c>
      <c r="D214" s="1">
        <v>0.02</v>
      </c>
      <c r="E214" s="1">
        <v>0.36</v>
      </c>
      <c r="F214" s="9">
        <v>1.8E-4</v>
      </c>
      <c r="G214" s="1">
        <v>0.5</v>
      </c>
      <c r="H214" s="1">
        <v>0.2</v>
      </c>
      <c r="I214" s="1">
        <v>0.6</v>
      </c>
      <c r="J214" s="1">
        <v>1.8</v>
      </c>
      <c r="K214" s="1" t="s">
        <v>901</v>
      </c>
      <c r="L214" s="1" t="s">
        <v>902</v>
      </c>
      <c r="M214" s="5" t="str">
        <f t="shared" si="33"/>
        <v/>
      </c>
      <c r="N214" s="563" t="b">
        <f t="shared" si="65"/>
        <v>1</v>
      </c>
      <c r="O214" s="249" t="b">
        <f t="shared" si="34"/>
        <v>1</v>
      </c>
      <c r="P214" t="b">
        <f t="shared" si="35"/>
        <v>1</v>
      </c>
      <c r="Q214" s="249"/>
      <c r="R214" s="249"/>
      <c r="S214" s="249"/>
      <c r="T214" s="249"/>
      <c r="U214" s="249"/>
      <c r="V214" s="249"/>
      <c r="W214" s="249"/>
      <c r="X214" s="249"/>
      <c r="Y214" s="249"/>
      <c r="Z214" s="249"/>
      <c r="AA214" s="249"/>
      <c r="AB214" s="564"/>
      <c r="AC214" s="249"/>
      <c r="AD214" s="249"/>
      <c r="AE214" s="249"/>
      <c r="AF214" s="249"/>
    </row>
    <row r="215">
      <c r="A215" s="1" t="s">
        <v>911</v>
      </c>
      <c r="B215" s="1">
        <v>0.0</v>
      </c>
      <c r="C215" s="1" t="s">
        <v>247</v>
      </c>
      <c r="D215" s="1">
        <v>0.1</v>
      </c>
      <c r="E215" s="1">
        <v>0.4</v>
      </c>
      <c r="F215" s="9">
        <v>2.0E-4</v>
      </c>
      <c r="G215" s="1">
        <v>0.5</v>
      </c>
      <c r="H215" s="1">
        <v>0.2</v>
      </c>
      <c r="I215" s="1">
        <v>0.6</v>
      </c>
      <c r="J215" s="1">
        <v>1.7</v>
      </c>
      <c r="K215" s="1" t="s">
        <v>905</v>
      </c>
      <c r="L215" s="1" t="s">
        <v>676</v>
      </c>
      <c r="M215" s="5" t="str">
        <f t="shared" si="33"/>
        <v/>
      </c>
      <c r="N215" s="563" t="b">
        <f t="shared" si="65"/>
        <v>1</v>
      </c>
      <c r="O215" s="249" t="b">
        <f t="shared" si="34"/>
        <v>1</v>
      </c>
      <c r="P215" t="b">
        <f t="shared" si="35"/>
        <v>1</v>
      </c>
      <c r="Q215" s="249"/>
      <c r="R215" s="249"/>
      <c r="S215" s="249"/>
      <c r="T215" s="249"/>
      <c r="U215" s="249"/>
      <c r="V215" s="249"/>
      <c r="W215" s="249"/>
      <c r="X215" s="249"/>
      <c r="Y215" s="249"/>
      <c r="Z215" s="249"/>
      <c r="AA215" s="249"/>
      <c r="AB215" s="564"/>
      <c r="AC215" s="249"/>
      <c r="AD215" s="249"/>
      <c r="AE215" s="249"/>
      <c r="AF215" s="249"/>
    </row>
    <row r="216">
      <c r="A216" s="1" t="s">
        <v>912</v>
      </c>
      <c r="B216" s="1">
        <v>0.0</v>
      </c>
      <c r="C216" s="1" t="s">
        <v>333</v>
      </c>
      <c r="D216" s="1">
        <v>0.1</v>
      </c>
      <c r="E216" s="1">
        <v>0.4</v>
      </c>
      <c r="F216" s="9">
        <v>2.0E-4</v>
      </c>
      <c r="G216" s="1">
        <v>0.5</v>
      </c>
      <c r="H216" s="1">
        <v>0.2</v>
      </c>
      <c r="I216" s="1">
        <v>0.6</v>
      </c>
      <c r="J216" s="1">
        <v>1.7</v>
      </c>
      <c r="K216" s="1" t="s">
        <v>905</v>
      </c>
      <c r="L216" s="1" t="s">
        <v>680</v>
      </c>
      <c r="M216" s="5" t="str">
        <f t="shared" si="33"/>
        <v/>
      </c>
      <c r="N216" s="563" t="b">
        <f t="shared" si="65"/>
        <v>1</v>
      </c>
      <c r="O216" s="249" t="b">
        <f t="shared" si="34"/>
        <v>1</v>
      </c>
      <c r="P216" t="b">
        <f t="shared" si="35"/>
        <v>1</v>
      </c>
      <c r="Q216" s="249"/>
      <c r="R216" s="249"/>
      <c r="S216" s="249"/>
      <c r="T216" s="249"/>
      <c r="U216" s="249"/>
      <c r="V216" s="249"/>
      <c r="W216" s="249"/>
      <c r="X216" s="249"/>
      <c r="Y216" s="249"/>
      <c r="Z216" s="249"/>
      <c r="AA216" s="249"/>
      <c r="AB216" s="564"/>
      <c r="AC216" s="249"/>
      <c r="AD216" s="249"/>
      <c r="AE216" s="249"/>
      <c r="AF216" s="249"/>
    </row>
    <row r="217">
      <c r="A217" s="1" t="s">
        <v>913</v>
      </c>
      <c r="B217" s="1">
        <v>0.0</v>
      </c>
      <c r="C217" s="1" t="s">
        <v>242</v>
      </c>
      <c r="D217" s="1">
        <v>0.1</v>
      </c>
      <c r="E217" s="1">
        <v>0.4</v>
      </c>
      <c r="F217" s="9">
        <v>2.0E-4</v>
      </c>
      <c r="G217" s="1">
        <v>0.5</v>
      </c>
      <c r="H217" s="1">
        <v>0.2</v>
      </c>
      <c r="I217" s="1">
        <v>0.6</v>
      </c>
      <c r="J217" s="1">
        <v>1.7</v>
      </c>
      <c r="K217" s="1" t="s">
        <v>905</v>
      </c>
      <c r="L217" s="1" t="s">
        <v>684</v>
      </c>
      <c r="M217" s="5" t="str">
        <f t="shared" si="33"/>
        <v/>
      </c>
      <c r="N217" s="563" t="b">
        <f t="shared" si="65"/>
        <v>1</v>
      </c>
      <c r="O217" s="249" t="b">
        <f t="shared" si="34"/>
        <v>1</v>
      </c>
      <c r="P217" t="b">
        <f t="shared" si="35"/>
        <v>1</v>
      </c>
      <c r="Q217" s="249"/>
      <c r="R217" s="249"/>
      <c r="S217" s="249"/>
      <c r="T217" s="249"/>
      <c r="U217" s="249"/>
      <c r="V217" s="249"/>
      <c r="W217" s="249"/>
      <c r="X217" s="249"/>
      <c r="Y217" s="249"/>
      <c r="Z217" s="249"/>
      <c r="AA217" s="249"/>
      <c r="AB217" s="564"/>
      <c r="AC217" s="249"/>
      <c r="AD217" s="249"/>
      <c r="AE217" s="249"/>
      <c r="AF217" s="249"/>
    </row>
    <row r="218">
      <c r="A218" s="1" t="s">
        <v>915</v>
      </c>
      <c r="B218" s="1">
        <v>0.0</v>
      </c>
      <c r="C218" s="1" t="s">
        <v>155</v>
      </c>
      <c r="D218" s="1">
        <v>0.1</v>
      </c>
      <c r="E218" s="1">
        <v>0.4</v>
      </c>
      <c r="F218" s="9">
        <v>2.0E-4</v>
      </c>
      <c r="G218" s="1">
        <v>0.5</v>
      </c>
      <c r="H218" s="1">
        <v>0.2</v>
      </c>
      <c r="I218" s="1">
        <v>0.6</v>
      </c>
      <c r="J218" s="1">
        <v>1.7</v>
      </c>
      <c r="K218" s="1" t="s">
        <v>905</v>
      </c>
      <c r="L218" s="1" t="s">
        <v>688</v>
      </c>
      <c r="M218" s="5" t="str">
        <f t="shared" si="33"/>
        <v/>
      </c>
      <c r="N218" s="563" t="b">
        <f t="shared" si="65"/>
        <v>1</v>
      </c>
      <c r="O218" s="249" t="b">
        <f t="shared" si="34"/>
        <v>1</v>
      </c>
      <c r="P218" t="b">
        <f t="shared" si="35"/>
        <v>1</v>
      </c>
      <c r="Q218" s="249"/>
      <c r="R218" s="249"/>
      <c r="S218" s="249"/>
      <c r="T218" s="249"/>
      <c r="U218" s="249"/>
      <c r="V218" s="249"/>
      <c r="W218" s="249"/>
      <c r="X218" s="249"/>
      <c r="Y218" s="249"/>
      <c r="Z218" s="249"/>
      <c r="AA218" s="249"/>
      <c r="AB218" s="564"/>
      <c r="AC218" s="249"/>
      <c r="AD218" s="249"/>
      <c r="AE218" s="249"/>
      <c r="AF218" s="249"/>
    </row>
    <row r="219">
      <c r="A219" s="1" t="s">
        <v>917</v>
      </c>
      <c r="B219" s="1">
        <v>0.0</v>
      </c>
      <c r="C219" s="1" t="s">
        <v>918</v>
      </c>
      <c r="D219" s="1">
        <v>0.1</v>
      </c>
      <c r="E219" s="1">
        <v>0.4</v>
      </c>
      <c r="F219" s="9">
        <v>2.0E-4</v>
      </c>
      <c r="G219" s="1">
        <v>0.5</v>
      </c>
      <c r="H219" s="1">
        <v>0.2</v>
      </c>
      <c r="I219" s="1">
        <v>0.6</v>
      </c>
      <c r="J219" s="1">
        <v>1.7</v>
      </c>
      <c r="K219" s="1" t="s">
        <v>905</v>
      </c>
      <c r="L219" s="1" t="s">
        <v>693</v>
      </c>
      <c r="M219" s="5" t="str">
        <f t="shared" si="33"/>
        <v/>
      </c>
      <c r="N219" s="563" t="b">
        <f t="shared" si="65"/>
        <v>1</v>
      </c>
      <c r="O219" s="249" t="b">
        <f t="shared" si="34"/>
        <v>1</v>
      </c>
      <c r="P219" t="b">
        <f t="shared" si="35"/>
        <v>1</v>
      </c>
      <c r="Q219" s="249"/>
      <c r="R219" s="249"/>
      <c r="S219" s="249"/>
      <c r="T219" s="249"/>
      <c r="U219" s="249"/>
      <c r="V219" s="249"/>
      <c r="W219" s="249"/>
      <c r="X219" s="249"/>
      <c r="Y219" s="249"/>
      <c r="Z219" s="249"/>
      <c r="AA219" s="249"/>
      <c r="AB219" s="564"/>
      <c r="AC219" s="249"/>
      <c r="AD219" s="249"/>
      <c r="AE219" s="249"/>
      <c r="AF219" s="249"/>
    </row>
    <row r="220">
      <c r="A220" s="1" t="s">
        <v>920</v>
      </c>
      <c r="B220" s="1">
        <v>0.0</v>
      </c>
      <c r="C220" s="1" t="s">
        <v>273</v>
      </c>
      <c r="D220" s="1">
        <v>0.1</v>
      </c>
      <c r="E220" s="1">
        <v>0.4</v>
      </c>
      <c r="F220" s="9">
        <v>2.0E-4</v>
      </c>
      <c r="G220" s="1">
        <v>0.5</v>
      </c>
      <c r="H220" s="1">
        <v>0.2</v>
      </c>
      <c r="I220" s="1">
        <v>0.6</v>
      </c>
      <c r="J220" s="1">
        <v>1.7</v>
      </c>
      <c r="K220" s="1" t="s">
        <v>905</v>
      </c>
      <c r="L220" s="1" t="s">
        <v>699</v>
      </c>
      <c r="M220" s="5" t="str">
        <f t="shared" si="33"/>
        <v/>
      </c>
      <c r="N220" s="563" t="b">
        <f t="shared" si="65"/>
        <v>1</v>
      </c>
      <c r="O220" s="249" t="b">
        <f t="shared" si="34"/>
        <v>1</v>
      </c>
      <c r="P220" t="b">
        <f t="shared" si="35"/>
        <v>1</v>
      </c>
      <c r="Q220" s="249"/>
      <c r="R220" s="249"/>
      <c r="S220" s="249"/>
      <c r="T220" s="249"/>
      <c r="U220" s="249"/>
      <c r="V220" s="249"/>
      <c r="W220" s="249"/>
      <c r="X220" s="249"/>
      <c r="Y220" s="249"/>
      <c r="Z220" s="249"/>
      <c r="AA220" s="249"/>
      <c r="AB220" s="564"/>
      <c r="AC220" s="249"/>
      <c r="AD220" s="249"/>
      <c r="AE220" s="249"/>
      <c r="AF220" s="249"/>
    </row>
    <row r="221">
      <c r="A221" s="1" t="s">
        <v>921</v>
      </c>
      <c r="B221" s="1">
        <v>40.0</v>
      </c>
      <c r="C221" s="1" t="s">
        <v>922</v>
      </c>
      <c r="D221" s="1">
        <v>0.02</v>
      </c>
      <c r="E221" s="1">
        <v>0.0</v>
      </c>
      <c r="F221" s="9">
        <v>0.0</v>
      </c>
      <c r="G221" s="1">
        <v>1.0</v>
      </c>
      <c r="H221" s="1">
        <v>0.8</v>
      </c>
      <c r="I221" s="1">
        <v>0.5</v>
      </c>
      <c r="J221" s="1">
        <v>2.6</v>
      </c>
      <c r="K221" s="1" t="s">
        <v>914</v>
      </c>
      <c r="L221" s="1" t="s">
        <v>462</v>
      </c>
      <c r="M221" s="5" t="str">
        <f t="shared" si="33"/>
        <v/>
      </c>
      <c r="N221" s="563" t="b">
        <f t="shared" si="65"/>
        <v>1</v>
      </c>
      <c r="O221" s="249" t="b">
        <f t="shared" si="34"/>
        <v>1</v>
      </c>
      <c r="P221" t="b">
        <f t="shared" si="35"/>
        <v>1</v>
      </c>
      <c r="Q221" s="249"/>
      <c r="R221" s="249"/>
      <c r="S221" s="249"/>
      <c r="T221" s="249"/>
      <c r="U221" s="249"/>
      <c r="V221" s="249"/>
      <c r="W221" s="249"/>
      <c r="X221" s="249"/>
      <c r="Y221" s="249"/>
      <c r="Z221" s="249"/>
      <c r="AA221" s="249"/>
      <c r="AB221" s="564"/>
      <c r="AC221" s="249"/>
      <c r="AD221" s="249"/>
      <c r="AE221" s="249"/>
      <c r="AF221" s="249"/>
    </row>
    <row r="222">
      <c r="A222" s="1" t="s">
        <v>923</v>
      </c>
      <c r="B222" s="1">
        <v>30.0</v>
      </c>
      <c r="C222" s="1" t="s">
        <v>924</v>
      </c>
      <c r="D222" s="1">
        <v>1.0</v>
      </c>
      <c r="E222" s="1">
        <v>0.0</v>
      </c>
      <c r="F222" s="9">
        <v>0.0</v>
      </c>
      <c r="G222" s="1">
        <v>1.0</v>
      </c>
      <c r="H222" s="1">
        <v>0.8</v>
      </c>
      <c r="I222" s="1">
        <v>1.0</v>
      </c>
      <c r="J222" s="1">
        <v>3.0</v>
      </c>
      <c r="K222" s="1" t="s">
        <v>916</v>
      </c>
      <c r="L222" s="1" t="s">
        <v>468</v>
      </c>
      <c r="M222" s="5" t="str">
        <f t="shared" si="33"/>
        <v/>
      </c>
      <c r="N222" s="563" t="b">
        <f t="shared" si="65"/>
        <v>1</v>
      </c>
      <c r="O222" s="249" t="b">
        <f t="shared" si="34"/>
        <v>1</v>
      </c>
      <c r="P222" t="b">
        <f t="shared" si="35"/>
        <v>1</v>
      </c>
      <c r="Q222" s="249"/>
      <c r="R222" s="249"/>
      <c r="S222" s="249"/>
      <c r="T222" s="249"/>
      <c r="U222" s="249"/>
      <c r="V222" s="249"/>
      <c r="W222" s="249"/>
      <c r="X222" s="249"/>
      <c r="Y222" s="249"/>
      <c r="Z222" s="249"/>
      <c r="AA222" s="249"/>
      <c r="AB222" s="564"/>
      <c r="AC222" s="249"/>
      <c r="AD222" s="249"/>
      <c r="AE222" s="249"/>
      <c r="AF222" s="249"/>
    </row>
    <row r="223">
      <c r="A223" s="1" t="s">
        <v>925</v>
      </c>
      <c r="B223" s="1">
        <v>30.0</v>
      </c>
      <c r="C223" s="1" t="s">
        <v>335</v>
      </c>
      <c r="D223" s="1">
        <v>2.0</v>
      </c>
      <c r="E223" s="1">
        <v>0.0</v>
      </c>
      <c r="F223" s="9">
        <v>0.0</v>
      </c>
      <c r="G223" s="1">
        <v>1.0</v>
      </c>
      <c r="H223" s="1">
        <v>1.5</v>
      </c>
      <c r="I223" s="1">
        <v>0.6</v>
      </c>
      <c r="J223" s="1">
        <v>2.4</v>
      </c>
      <c r="K223" s="1" t="s">
        <v>919</v>
      </c>
      <c r="L223" s="1" t="s">
        <v>472</v>
      </c>
      <c r="M223" s="5" t="str">
        <f t="shared" si="33"/>
        <v/>
      </c>
      <c r="N223" s="563" t="b">
        <f t="shared" si="65"/>
        <v>1</v>
      </c>
      <c r="O223" s="249" t="b">
        <f t="shared" si="34"/>
        <v>1</v>
      </c>
      <c r="P223" t="b">
        <f t="shared" si="35"/>
        <v>1</v>
      </c>
      <c r="Q223" s="249"/>
      <c r="R223" s="249"/>
      <c r="S223" s="249"/>
      <c r="T223" s="249"/>
      <c r="U223" s="249"/>
      <c r="V223" s="249"/>
      <c r="W223" s="249"/>
      <c r="X223" s="249"/>
      <c r="Y223" s="249"/>
      <c r="Z223" s="249"/>
      <c r="AA223" s="249"/>
      <c r="AB223" s="564"/>
      <c r="AC223" s="249"/>
      <c r="AD223" s="249"/>
      <c r="AE223" s="249"/>
      <c r="AF223" s="249"/>
    </row>
    <row r="224">
      <c r="A224" s="1" t="s">
        <v>926</v>
      </c>
      <c r="B224" s="1">
        <v>30.0</v>
      </c>
      <c r="C224" s="1" t="s">
        <v>927</v>
      </c>
      <c r="D224" s="1">
        <v>2.0</v>
      </c>
      <c r="E224" s="1">
        <v>0.0</v>
      </c>
      <c r="F224" s="9">
        <v>0.0</v>
      </c>
      <c r="G224" s="1">
        <v>1.0</v>
      </c>
      <c r="H224" s="1">
        <v>1.5</v>
      </c>
      <c r="I224" s="1">
        <v>0.6</v>
      </c>
      <c r="J224" s="1">
        <v>2.4</v>
      </c>
      <c r="K224" s="1" t="s">
        <v>919</v>
      </c>
      <c r="L224" s="1" t="s">
        <v>477</v>
      </c>
      <c r="M224" s="5" t="str">
        <f t="shared" si="33"/>
        <v/>
      </c>
      <c r="N224" s="563" t="b">
        <f t="shared" si="65"/>
        <v>1</v>
      </c>
      <c r="O224" s="249" t="b">
        <f t="shared" si="34"/>
        <v>1</v>
      </c>
      <c r="P224" t="b">
        <f t="shared" si="35"/>
        <v>1</v>
      </c>
      <c r="Q224" s="249"/>
      <c r="R224" s="249"/>
      <c r="S224" s="249"/>
      <c r="T224" s="249"/>
      <c r="U224" s="249"/>
      <c r="V224" s="249"/>
      <c r="W224" s="249"/>
      <c r="X224" s="249"/>
      <c r="Y224" s="249"/>
      <c r="Z224" s="249"/>
      <c r="AA224" s="249"/>
      <c r="AB224" s="564"/>
      <c r="AC224" s="249"/>
      <c r="AD224" s="249"/>
      <c r="AE224" s="249"/>
      <c r="AF224" s="249"/>
    </row>
    <row r="225">
      <c r="A225" s="1" t="s">
        <v>930</v>
      </c>
      <c r="B225" s="1">
        <v>30.0</v>
      </c>
      <c r="C225" s="1" t="s">
        <v>156</v>
      </c>
      <c r="D225" s="1">
        <v>2.0</v>
      </c>
      <c r="E225" s="1">
        <v>0.0</v>
      </c>
      <c r="F225" s="9">
        <v>0.0</v>
      </c>
      <c r="G225" s="1">
        <v>1.0</v>
      </c>
      <c r="H225" s="1">
        <v>1.5</v>
      </c>
      <c r="I225" s="1">
        <v>0.6</v>
      </c>
      <c r="J225" s="1">
        <v>2.4</v>
      </c>
      <c r="K225" s="1" t="s">
        <v>919</v>
      </c>
      <c r="L225" s="1" t="s">
        <v>503</v>
      </c>
      <c r="M225" s="5" t="str">
        <f t="shared" si="33"/>
        <v/>
      </c>
      <c r="N225" s="563" t="b">
        <f t="shared" si="65"/>
        <v>1</v>
      </c>
      <c r="O225" s="249" t="b">
        <f t="shared" si="34"/>
        <v>1</v>
      </c>
      <c r="P225" t="b">
        <f t="shared" si="35"/>
        <v>1</v>
      </c>
      <c r="Q225" s="249"/>
      <c r="R225" s="249"/>
      <c r="S225" s="249"/>
      <c r="T225" s="249"/>
      <c r="U225" s="249"/>
      <c r="V225" s="249"/>
      <c r="W225" s="249"/>
      <c r="X225" s="249"/>
      <c r="Y225" s="249"/>
      <c r="Z225" s="249"/>
      <c r="AA225" s="249"/>
      <c r="AB225" s="564"/>
      <c r="AC225" s="249"/>
      <c r="AD225" s="249"/>
      <c r="AE225" s="249"/>
      <c r="AF225" s="249"/>
    </row>
    <row r="226">
      <c r="A226" s="1" t="s">
        <v>932</v>
      </c>
      <c r="B226" s="1">
        <v>30.0</v>
      </c>
      <c r="C226" s="1" t="s">
        <v>213</v>
      </c>
      <c r="D226" s="1">
        <v>2.0</v>
      </c>
      <c r="E226" s="1">
        <v>0.0</v>
      </c>
      <c r="F226" s="9">
        <v>0.0</v>
      </c>
      <c r="G226" s="1">
        <v>1.0</v>
      </c>
      <c r="H226" s="1">
        <v>1.5</v>
      </c>
      <c r="I226" s="1">
        <v>0.6</v>
      </c>
      <c r="J226" s="1">
        <v>2.4</v>
      </c>
      <c r="K226" s="1" t="s">
        <v>919</v>
      </c>
      <c r="L226" s="1" t="s">
        <v>516</v>
      </c>
      <c r="M226" s="5" t="str">
        <f t="shared" si="33"/>
        <v/>
      </c>
      <c r="N226" s="563" t="b">
        <f t="shared" si="65"/>
        <v>1</v>
      </c>
      <c r="O226" s="249" t="b">
        <f t="shared" si="34"/>
        <v>1</v>
      </c>
      <c r="P226" t="b">
        <f t="shared" si="35"/>
        <v>1</v>
      </c>
      <c r="Q226" s="249"/>
      <c r="R226" s="249"/>
      <c r="S226" s="249"/>
      <c r="T226" s="249"/>
      <c r="U226" s="249"/>
      <c r="V226" s="249"/>
      <c r="W226" s="249"/>
      <c r="X226" s="249"/>
      <c r="Y226" s="249"/>
      <c r="Z226" s="249"/>
      <c r="AA226" s="249"/>
      <c r="AB226" s="564"/>
      <c r="AC226" s="249"/>
      <c r="AD226" s="249"/>
      <c r="AE226" s="249"/>
      <c r="AF226" s="249"/>
    </row>
    <row r="227">
      <c r="A227" s="1" t="s">
        <v>933</v>
      </c>
      <c r="B227" s="1">
        <v>30.0</v>
      </c>
      <c r="C227" s="1" t="s">
        <v>295</v>
      </c>
      <c r="D227" s="1">
        <v>2.0</v>
      </c>
      <c r="E227" s="1">
        <v>0.0</v>
      </c>
      <c r="F227" s="9">
        <v>0.0</v>
      </c>
      <c r="G227" s="1">
        <v>1.0</v>
      </c>
      <c r="H227" s="1">
        <v>1.5</v>
      </c>
      <c r="I227" s="1">
        <v>0.6</v>
      </c>
      <c r="J227" s="1">
        <v>2.4</v>
      </c>
      <c r="K227" s="1" t="s">
        <v>919</v>
      </c>
      <c r="L227" s="1" t="s">
        <v>556</v>
      </c>
      <c r="M227" s="5" t="str">
        <f t="shared" si="33"/>
        <v/>
      </c>
      <c r="N227" s="563" t="b">
        <f t="shared" si="65"/>
        <v>1</v>
      </c>
      <c r="O227" s="249" t="b">
        <f t="shared" si="34"/>
        <v>1</v>
      </c>
      <c r="P227" t="b">
        <f t="shared" si="35"/>
        <v>1</v>
      </c>
      <c r="Q227" s="249"/>
      <c r="R227" s="249"/>
      <c r="S227" s="249"/>
      <c r="T227" s="249"/>
      <c r="U227" s="249"/>
      <c r="V227" s="249"/>
      <c r="W227" s="249"/>
      <c r="X227" s="249"/>
      <c r="Y227" s="249"/>
      <c r="Z227" s="249"/>
      <c r="AA227" s="249"/>
      <c r="AB227" s="564"/>
      <c r="AC227" s="249"/>
      <c r="AD227" s="249"/>
      <c r="AE227" s="249"/>
      <c r="AF227" s="249"/>
    </row>
    <row r="228">
      <c r="A228" s="1" t="s">
        <v>934</v>
      </c>
      <c r="B228" s="1">
        <v>20.0</v>
      </c>
      <c r="C228" s="1" t="s">
        <v>935</v>
      </c>
      <c r="D228" s="1">
        <v>1.0</v>
      </c>
      <c r="E228" s="1">
        <v>0.0</v>
      </c>
      <c r="F228" s="9">
        <v>0.0</v>
      </c>
      <c r="G228" s="1">
        <v>1.0</v>
      </c>
      <c r="H228" s="1">
        <v>0.9</v>
      </c>
      <c r="I228" s="1">
        <v>0.6</v>
      </c>
      <c r="J228" s="1">
        <v>3.0</v>
      </c>
      <c r="K228" s="1" t="s">
        <v>928</v>
      </c>
      <c r="L228" s="1" t="s">
        <v>567</v>
      </c>
      <c r="M228" s="5" t="str">
        <f t="shared" si="33"/>
        <v/>
      </c>
      <c r="N228" s="563" t="b">
        <f t="shared" si="65"/>
        <v>1</v>
      </c>
      <c r="O228" s="249" t="b">
        <f t="shared" si="34"/>
        <v>1</v>
      </c>
      <c r="P228" t="b">
        <f t="shared" si="35"/>
        <v>1</v>
      </c>
      <c r="Q228" s="249"/>
      <c r="R228" s="249"/>
      <c r="S228" s="249"/>
      <c r="T228" s="249"/>
      <c r="U228" s="249"/>
      <c r="V228" s="249"/>
      <c r="W228" s="249"/>
      <c r="X228" s="249"/>
      <c r="Y228" s="249"/>
      <c r="Z228" s="249"/>
      <c r="AA228" s="249"/>
      <c r="AB228" s="564"/>
      <c r="AC228" s="249"/>
      <c r="AD228" s="249"/>
      <c r="AE228" s="249"/>
      <c r="AF228" s="249"/>
    </row>
    <row r="229">
      <c r="A229" s="1" t="s">
        <v>936</v>
      </c>
      <c r="B229" s="1">
        <v>30.0</v>
      </c>
      <c r="C229" s="1" t="s">
        <v>937</v>
      </c>
      <c r="D229" s="1">
        <v>1.0</v>
      </c>
      <c r="E229" s="1">
        <v>0.0</v>
      </c>
      <c r="F229" s="9">
        <v>0.0</v>
      </c>
      <c r="G229" s="1">
        <v>1.0</v>
      </c>
      <c r="H229" s="1">
        <v>0.8</v>
      </c>
      <c r="I229" s="1">
        <v>0.6</v>
      </c>
      <c r="J229" s="1">
        <v>3.0</v>
      </c>
      <c r="K229" s="1" t="s">
        <v>928</v>
      </c>
      <c r="L229" s="1" t="s">
        <v>572</v>
      </c>
      <c r="M229" s="5" t="str">
        <f t="shared" si="33"/>
        <v/>
      </c>
      <c r="N229" s="563" t="b">
        <f t="shared" si="65"/>
        <v>1</v>
      </c>
      <c r="O229" s="249" t="b">
        <f t="shared" si="34"/>
        <v>1</v>
      </c>
      <c r="P229" t="b">
        <f t="shared" si="35"/>
        <v>1</v>
      </c>
      <c r="Q229" s="249"/>
      <c r="R229" s="249"/>
      <c r="S229" s="249"/>
      <c r="T229" s="249"/>
      <c r="U229" s="249"/>
      <c r="V229" s="249"/>
      <c r="W229" s="249"/>
      <c r="X229" s="249"/>
      <c r="Y229" s="249"/>
      <c r="Z229" s="249"/>
      <c r="AA229" s="249"/>
      <c r="AB229" s="564"/>
      <c r="AC229" s="249"/>
      <c r="AD229" s="249"/>
      <c r="AE229" s="249"/>
      <c r="AF229" s="249"/>
    </row>
    <row r="230">
      <c r="A230" s="1" t="s">
        <v>938</v>
      </c>
      <c r="B230" s="1">
        <v>40.0</v>
      </c>
      <c r="C230" s="1" t="s">
        <v>939</v>
      </c>
      <c r="D230" s="1">
        <v>1.0</v>
      </c>
      <c r="E230" s="1">
        <v>0.0</v>
      </c>
      <c r="F230" s="9">
        <v>0.0</v>
      </c>
      <c r="G230" s="1">
        <v>1.0</v>
      </c>
      <c r="H230" s="1">
        <v>0.8</v>
      </c>
      <c r="I230" s="1">
        <v>0.6</v>
      </c>
      <c r="J230" s="1">
        <v>3.0</v>
      </c>
      <c r="K230" s="1" t="s">
        <v>928</v>
      </c>
      <c r="L230" s="1" t="s">
        <v>574</v>
      </c>
      <c r="M230" s="5" t="str">
        <f t="shared" si="33"/>
        <v/>
      </c>
      <c r="N230" s="563" t="b">
        <f t="shared" si="65"/>
        <v>1</v>
      </c>
      <c r="O230" s="249" t="b">
        <f t="shared" si="34"/>
        <v>1</v>
      </c>
      <c r="P230" t="b">
        <f t="shared" si="35"/>
        <v>1</v>
      </c>
      <c r="Q230" s="249"/>
      <c r="R230" s="249"/>
      <c r="S230" s="249"/>
      <c r="T230" s="249"/>
      <c r="U230" s="249"/>
      <c r="V230" s="249"/>
      <c r="W230" s="249"/>
      <c r="X230" s="249"/>
      <c r="Y230" s="249"/>
      <c r="Z230" s="249"/>
      <c r="AA230" s="249"/>
      <c r="AB230" s="564"/>
      <c r="AC230" s="249"/>
      <c r="AD230" s="249"/>
      <c r="AE230" s="249"/>
      <c r="AF230" s="249"/>
    </row>
    <row r="231">
      <c r="A231" s="1" t="s">
        <v>941</v>
      </c>
      <c r="B231" s="1">
        <v>30.0</v>
      </c>
      <c r="C231" s="1" t="s">
        <v>942</v>
      </c>
      <c r="D231" s="1">
        <v>1.0</v>
      </c>
      <c r="E231" s="1">
        <v>0.0</v>
      </c>
      <c r="F231" s="9">
        <v>0.0</v>
      </c>
      <c r="G231" s="1">
        <v>1.0</v>
      </c>
      <c r="H231" s="1">
        <v>0.8</v>
      </c>
      <c r="I231" s="1">
        <v>0.6</v>
      </c>
      <c r="J231" s="1">
        <v>3.0</v>
      </c>
      <c r="K231" s="1" t="s">
        <v>928</v>
      </c>
      <c r="L231" s="1" t="s">
        <v>578</v>
      </c>
      <c r="M231" s="5" t="str">
        <f t="shared" si="33"/>
        <v/>
      </c>
      <c r="N231" s="563" t="b">
        <f t="shared" si="65"/>
        <v>1</v>
      </c>
      <c r="O231" s="249" t="b">
        <f t="shared" si="34"/>
        <v>1</v>
      </c>
      <c r="P231" t="b">
        <f t="shared" si="35"/>
        <v>1</v>
      </c>
      <c r="Q231" s="249"/>
      <c r="R231" s="249"/>
      <c r="S231" s="249"/>
      <c r="T231" s="249"/>
      <c r="U231" s="249"/>
      <c r="V231" s="249"/>
      <c r="W231" s="249"/>
      <c r="X231" s="249"/>
      <c r="Y231" s="249"/>
      <c r="Z231" s="249"/>
      <c r="AA231" s="249"/>
      <c r="AB231" s="564"/>
      <c r="AC231" s="249"/>
      <c r="AD231" s="249"/>
      <c r="AE231" s="249"/>
      <c r="AF231" s="249"/>
    </row>
    <row r="232">
      <c r="A232" s="1" t="s">
        <v>944</v>
      </c>
      <c r="B232" s="1">
        <v>40.0</v>
      </c>
      <c r="C232" s="1" t="s">
        <v>945</v>
      </c>
      <c r="D232" s="1">
        <v>1.0</v>
      </c>
      <c r="E232" s="1">
        <v>0.0</v>
      </c>
      <c r="F232" s="9">
        <v>0.0</v>
      </c>
      <c r="G232" s="1">
        <v>1.0</v>
      </c>
      <c r="H232" s="1">
        <v>0.8</v>
      </c>
      <c r="I232" s="1">
        <v>0.6</v>
      </c>
      <c r="J232" s="1">
        <v>3.0</v>
      </c>
      <c r="K232" s="1" t="s">
        <v>928</v>
      </c>
      <c r="L232" s="1" t="s">
        <v>581</v>
      </c>
      <c r="M232" s="5" t="str">
        <f t="shared" si="33"/>
        <v/>
      </c>
      <c r="N232" s="563" t="b">
        <f t="shared" si="65"/>
        <v>1</v>
      </c>
      <c r="O232" s="249" t="b">
        <f t="shared" si="34"/>
        <v>1</v>
      </c>
      <c r="P232" t="b">
        <f t="shared" si="35"/>
        <v>1</v>
      </c>
      <c r="Q232" s="249"/>
      <c r="R232" s="249"/>
      <c r="S232" s="249"/>
      <c r="T232" s="249"/>
      <c r="U232" s="249"/>
      <c r="V232" s="249"/>
      <c r="W232" s="249"/>
      <c r="X232" s="249"/>
      <c r="Y232" s="249"/>
      <c r="Z232" s="249"/>
      <c r="AA232" s="249"/>
      <c r="AB232" s="564"/>
      <c r="AC232" s="249"/>
      <c r="AD232" s="249"/>
      <c r="AE232" s="249"/>
      <c r="AF232" s="249"/>
    </row>
    <row r="233">
      <c r="A233" s="1" t="s">
        <v>947</v>
      </c>
      <c r="B233" s="1">
        <v>40.0</v>
      </c>
      <c r="C233" s="1" t="s">
        <v>948</v>
      </c>
      <c r="D233" s="1">
        <v>1.0</v>
      </c>
      <c r="E233" s="1">
        <v>0.0</v>
      </c>
      <c r="F233" s="9">
        <v>0.0</v>
      </c>
      <c r="G233" s="1">
        <v>1.0</v>
      </c>
      <c r="H233" s="1">
        <v>0.8</v>
      </c>
      <c r="I233" s="1">
        <v>0.6</v>
      </c>
      <c r="J233" s="1">
        <v>3.0</v>
      </c>
      <c r="K233" s="1" t="s">
        <v>928</v>
      </c>
      <c r="L233" s="1" t="s">
        <v>586</v>
      </c>
      <c r="M233" s="5" t="str">
        <f t="shared" si="33"/>
        <v/>
      </c>
      <c r="N233" s="563" t="b">
        <f t="shared" si="65"/>
        <v>1</v>
      </c>
      <c r="O233" s="249" t="b">
        <f t="shared" si="34"/>
        <v>1</v>
      </c>
      <c r="P233" t="b">
        <f t="shared" si="35"/>
        <v>1</v>
      </c>
      <c r="Q233" s="249"/>
      <c r="R233" s="249"/>
      <c r="S233" s="249"/>
      <c r="T233" s="249"/>
      <c r="U233" s="249"/>
      <c r="V233" s="249"/>
      <c r="W233" s="249"/>
      <c r="X233" s="249"/>
      <c r="Y233" s="249"/>
      <c r="Z233" s="249"/>
      <c r="AA233" s="249"/>
      <c r="AB233" s="564"/>
      <c r="AC233" s="249"/>
      <c r="AD233" s="249"/>
      <c r="AE233" s="249"/>
      <c r="AF233" s="249"/>
    </row>
    <row r="234">
      <c r="A234" s="1" t="s">
        <v>950</v>
      </c>
      <c r="B234" s="1">
        <v>40.0</v>
      </c>
      <c r="C234" s="1" t="s">
        <v>236</v>
      </c>
      <c r="D234" s="1">
        <v>2.0</v>
      </c>
      <c r="E234" s="1">
        <v>0.0</v>
      </c>
      <c r="F234" s="9">
        <v>0.0</v>
      </c>
      <c r="G234" s="1">
        <v>1.0</v>
      </c>
      <c r="H234" s="1">
        <v>0.8</v>
      </c>
      <c r="I234" s="1">
        <v>0.6</v>
      </c>
      <c r="J234" s="1">
        <v>3.0</v>
      </c>
      <c r="K234" s="1" t="s">
        <v>940</v>
      </c>
      <c r="L234" s="1" t="s">
        <v>591</v>
      </c>
      <c r="M234" s="5" t="str">
        <f t="shared" si="33"/>
        <v/>
      </c>
      <c r="N234" s="563" t="b">
        <f t="shared" si="65"/>
        <v>1</v>
      </c>
      <c r="O234" s="249" t="b">
        <f t="shared" si="34"/>
        <v>1</v>
      </c>
      <c r="P234" t="b">
        <f t="shared" si="35"/>
        <v>1</v>
      </c>
      <c r="Q234" s="249"/>
      <c r="R234" s="249"/>
      <c r="S234" s="249"/>
      <c r="T234" s="249"/>
      <c r="U234" s="249"/>
      <c r="V234" s="249"/>
      <c r="W234" s="249"/>
      <c r="X234" s="249"/>
      <c r="Y234" s="249"/>
      <c r="Z234" s="249"/>
      <c r="AA234" s="249"/>
      <c r="AB234" s="564"/>
      <c r="AC234" s="249"/>
      <c r="AD234" s="249"/>
      <c r="AE234" s="249"/>
      <c r="AF234" s="249"/>
    </row>
    <row r="235">
      <c r="A235" s="1" t="s">
        <v>952</v>
      </c>
      <c r="B235" s="1">
        <v>40.0</v>
      </c>
      <c r="C235" s="1" t="s">
        <v>237</v>
      </c>
      <c r="D235" s="1">
        <v>0.075</v>
      </c>
      <c r="E235" s="1">
        <v>0.0</v>
      </c>
      <c r="F235" s="9">
        <v>0.0</v>
      </c>
      <c r="G235" s="1">
        <v>1.0</v>
      </c>
      <c r="H235" s="1">
        <v>2.0</v>
      </c>
      <c r="I235" s="1">
        <v>0.5</v>
      </c>
      <c r="J235" s="1">
        <v>2.6</v>
      </c>
      <c r="K235" s="1" t="s">
        <v>943</v>
      </c>
      <c r="L235" s="1" t="s">
        <v>595</v>
      </c>
      <c r="M235" s="5" t="str">
        <f t="shared" si="33"/>
        <v/>
      </c>
      <c r="N235" s="563" t="b">
        <f t="shared" si="65"/>
        <v>1</v>
      </c>
      <c r="O235" s="249" t="b">
        <f t="shared" si="34"/>
        <v>1</v>
      </c>
      <c r="P235" t="b">
        <f t="shared" si="35"/>
        <v>1</v>
      </c>
      <c r="AB235" s="301"/>
    </row>
    <row r="236">
      <c r="A236" s="1" t="s">
        <v>954</v>
      </c>
      <c r="B236" s="1">
        <v>40.0</v>
      </c>
      <c r="C236" s="1" t="s">
        <v>955</v>
      </c>
      <c r="D236" s="1">
        <v>0.0025</v>
      </c>
      <c r="E236" s="1">
        <v>0.0</v>
      </c>
      <c r="F236" s="9">
        <v>0.0</v>
      </c>
      <c r="G236" s="1">
        <v>1.0</v>
      </c>
      <c r="H236" s="1">
        <v>2.0</v>
      </c>
      <c r="I236" s="1">
        <v>0.5</v>
      </c>
      <c r="J236" s="1">
        <v>2.6</v>
      </c>
      <c r="K236" s="1" t="s">
        <v>946</v>
      </c>
      <c r="L236" s="1" t="s">
        <v>601</v>
      </c>
      <c r="M236" s="5" t="str">
        <f t="shared" si="33"/>
        <v/>
      </c>
      <c r="N236" s="563" t="b">
        <f t="shared" si="65"/>
        <v>1</v>
      </c>
      <c r="O236" s="249" t="b">
        <f t="shared" si="34"/>
        <v>1</v>
      </c>
      <c r="P236" t="b">
        <f t="shared" si="35"/>
        <v>1</v>
      </c>
      <c r="AB236" s="301"/>
    </row>
    <row r="237">
      <c r="A237" s="1" t="s">
        <v>957</v>
      </c>
      <c r="B237" s="1">
        <v>40.0</v>
      </c>
      <c r="C237" s="1" t="s">
        <v>188</v>
      </c>
      <c r="D237" s="1">
        <v>0.005</v>
      </c>
      <c r="E237" s="1">
        <v>0.0</v>
      </c>
      <c r="F237" s="9">
        <v>0.0</v>
      </c>
      <c r="G237" s="1">
        <v>1.0</v>
      </c>
      <c r="H237" s="1">
        <v>2.0</v>
      </c>
      <c r="I237" s="1">
        <v>1.4</v>
      </c>
      <c r="J237" s="1">
        <v>3.0</v>
      </c>
      <c r="K237" s="1" t="s">
        <v>949</v>
      </c>
      <c r="L237" s="1" t="s">
        <v>605</v>
      </c>
      <c r="M237" s="5" t="str">
        <f t="shared" si="33"/>
        <v/>
      </c>
      <c r="N237" s="563" t="b">
        <f t="shared" si="65"/>
        <v>1</v>
      </c>
      <c r="O237" s="249" t="b">
        <f t="shared" si="34"/>
        <v>1</v>
      </c>
      <c r="P237" t="b">
        <f t="shared" si="35"/>
        <v>1</v>
      </c>
      <c r="AB237" s="301"/>
    </row>
    <row r="238">
      <c r="A238" s="1" t="s">
        <v>959</v>
      </c>
      <c r="B238" s="1">
        <v>50.0</v>
      </c>
      <c r="C238" s="1" t="s">
        <v>960</v>
      </c>
      <c r="D238" s="1">
        <v>0.01</v>
      </c>
      <c r="E238" s="1">
        <v>0.0</v>
      </c>
      <c r="F238" s="9">
        <v>0.0</v>
      </c>
      <c r="G238" s="1">
        <v>1.0</v>
      </c>
      <c r="H238" s="1">
        <v>1.0</v>
      </c>
      <c r="I238" s="1">
        <v>0.8</v>
      </c>
      <c r="J238" s="1">
        <v>2.6</v>
      </c>
      <c r="K238" s="1" t="s">
        <v>951</v>
      </c>
      <c r="L238" s="1" t="s">
        <v>611</v>
      </c>
      <c r="M238" s="5" t="str">
        <f t="shared" si="33"/>
        <v/>
      </c>
      <c r="N238" s="563" t="b">
        <f t="shared" si="65"/>
        <v>1</v>
      </c>
      <c r="O238" s="249" t="b">
        <f t="shared" si="34"/>
        <v>1</v>
      </c>
      <c r="P238" t="b">
        <f t="shared" si="35"/>
        <v>1</v>
      </c>
      <c r="AB238" s="301"/>
    </row>
    <row r="239">
      <c r="A239" s="1" t="s">
        <v>962</v>
      </c>
      <c r="B239" s="1">
        <v>50.0</v>
      </c>
      <c r="C239" s="1" t="s">
        <v>282</v>
      </c>
      <c r="D239" s="1">
        <v>0.005</v>
      </c>
      <c r="E239" s="1">
        <v>0.0</v>
      </c>
      <c r="F239" s="9">
        <v>0.0</v>
      </c>
      <c r="G239" s="1">
        <v>1.0</v>
      </c>
      <c r="H239" s="1">
        <v>1.6</v>
      </c>
      <c r="I239" s="1">
        <v>0.5</v>
      </c>
      <c r="J239" s="1">
        <v>2.1</v>
      </c>
      <c r="K239" s="1" t="s">
        <v>953</v>
      </c>
      <c r="L239" s="1" t="s">
        <v>618</v>
      </c>
      <c r="M239" s="5" t="str">
        <f t="shared" si="33"/>
        <v/>
      </c>
      <c r="N239" s="563" t="b">
        <f t="shared" si="65"/>
        <v>1</v>
      </c>
      <c r="O239" s="249" t="b">
        <f t="shared" si="34"/>
        <v>1</v>
      </c>
      <c r="P239" t="b">
        <f t="shared" si="35"/>
        <v>1</v>
      </c>
      <c r="Q239" t="str">
        <f t="shared" ref="Q239:Q242" si="76">$L157</f>
        <v/>
      </c>
      <c r="U239" s="249"/>
      <c r="V239" s="249"/>
      <c r="AR239" s="301"/>
    </row>
    <row r="240">
      <c r="A240" s="1" t="s">
        <v>964</v>
      </c>
      <c r="B240" s="1">
        <v>40.0</v>
      </c>
      <c r="C240" s="1" t="s">
        <v>149</v>
      </c>
      <c r="D240" s="1">
        <v>0.005</v>
      </c>
      <c r="E240" s="1">
        <v>0.0</v>
      </c>
      <c r="F240" s="9">
        <v>0.0</v>
      </c>
      <c r="G240" s="1">
        <v>1.0</v>
      </c>
      <c r="H240" s="1">
        <v>3.0</v>
      </c>
      <c r="I240" s="1">
        <v>0.8</v>
      </c>
      <c r="J240" s="1">
        <v>2.5</v>
      </c>
      <c r="K240" s="1" t="s">
        <v>956</v>
      </c>
      <c r="L240" s="1" t="s">
        <v>622</v>
      </c>
      <c r="M240" s="5" t="str">
        <f t="shared" si="33"/>
        <v/>
      </c>
      <c r="N240" s="563" t="b">
        <f t="shared" si="65"/>
        <v>1</v>
      </c>
      <c r="O240" s="249" t="b">
        <f t="shared" si="34"/>
        <v>1</v>
      </c>
      <c r="P240" t="b">
        <f t="shared" si="35"/>
        <v>1</v>
      </c>
      <c r="Q240" t="str">
        <f t="shared" si="76"/>
        <v/>
      </c>
      <c r="U240" s="249"/>
      <c r="V240" s="249"/>
      <c r="AR240" s="301"/>
    </row>
    <row r="241">
      <c r="A241" s="1" t="s">
        <v>966</v>
      </c>
      <c r="B241" s="1">
        <v>40.0</v>
      </c>
      <c r="C241" s="1" t="s">
        <v>342</v>
      </c>
      <c r="D241" s="1">
        <v>0.005</v>
      </c>
      <c r="E241" s="1">
        <v>0.0</v>
      </c>
      <c r="F241" s="9">
        <v>0.0</v>
      </c>
      <c r="G241" s="1">
        <v>1.0</v>
      </c>
      <c r="H241" s="1">
        <v>3.0</v>
      </c>
      <c r="I241" s="1">
        <v>0.8</v>
      </c>
      <c r="J241" s="1">
        <v>2.5</v>
      </c>
      <c r="K241" s="1" t="s">
        <v>958</v>
      </c>
      <c r="L241" s="1" t="s">
        <v>626</v>
      </c>
      <c r="M241" s="5" t="str">
        <f t="shared" si="33"/>
        <v/>
      </c>
      <c r="N241" s="563" t="b">
        <f t="shared" si="65"/>
        <v>1</v>
      </c>
      <c r="O241" s="249" t="b">
        <f t="shared" si="34"/>
        <v>1</v>
      </c>
      <c r="P241" t="b">
        <f t="shared" si="35"/>
        <v>1</v>
      </c>
      <c r="Q241" t="str">
        <f t="shared" si="76"/>
        <v/>
      </c>
      <c r="U241" s="249"/>
      <c r="V241" s="249"/>
      <c r="AR241" s="301"/>
    </row>
    <row r="242">
      <c r="A242" s="1" t="s">
        <v>968</v>
      </c>
      <c r="B242" s="1">
        <v>40.0</v>
      </c>
      <c r="C242" s="1" t="s">
        <v>969</v>
      </c>
      <c r="D242" s="1">
        <v>0.001</v>
      </c>
      <c r="E242" s="1">
        <v>0.0</v>
      </c>
      <c r="F242" s="9">
        <v>0.0</v>
      </c>
      <c r="G242" s="1">
        <v>1.0</v>
      </c>
      <c r="H242" s="1">
        <v>3.0</v>
      </c>
      <c r="I242" s="1">
        <v>0.8</v>
      </c>
      <c r="J242" s="1">
        <v>2.5</v>
      </c>
      <c r="K242" s="1" t="s">
        <v>961</v>
      </c>
      <c r="L242" s="1" t="s">
        <v>630</v>
      </c>
      <c r="M242" s="5" t="str">
        <f t="shared" si="33"/>
        <v/>
      </c>
      <c r="N242" s="563" t="b">
        <f t="shared" si="65"/>
        <v>1</v>
      </c>
      <c r="O242" s="249" t="b">
        <f t="shared" si="34"/>
        <v>1</v>
      </c>
      <c r="P242" t="b">
        <f t="shared" si="35"/>
        <v>1</v>
      </c>
      <c r="Q242" t="str">
        <f t="shared" si="76"/>
        <v/>
      </c>
      <c r="U242" s="249"/>
      <c r="V242" s="249"/>
      <c r="AR242" s="301"/>
    </row>
    <row r="243">
      <c r="A243" s="1" t="s">
        <v>971</v>
      </c>
      <c r="B243" s="1">
        <v>40.0</v>
      </c>
      <c r="C243" s="1" t="s">
        <v>972</v>
      </c>
      <c r="D243" s="1">
        <v>0.001</v>
      </c>
      <c r="E243" s="1">
        <v>0.0</v>
      </c>
      <c r="F243" s="9">
        <v>0.0</v>
      </c>
      <c r="G243" s="1">
        <v>1.0</v>
      </c>
      <c r="H243" s="1">
        <v>3.0</v>
      </c>
      <c r="I243" s="1">
        <v>0.8</v>
      </c>
      <c r="J243" s="1">
        <v>2.5</v>
      </c>
      <c r="K243" s="1" t="s">
        <v>963</v>
      </c>
      <c r="L243" s="1" t="s">
        <v>634</v>
      </c>
      <c r="M243" s="5" t="str">
        <f t="shared" si="33"/>
        <v/>
      </c>
      <c r="N243" s="563" t="b">
        <f t="shared" si="65"/>
        <v>1</v>
      </c>
      <c r="O243" s="249" t="b">
        <f t="shared" si="34"/>
        <v>0</v>
      </c>
      <c r="P243" t="b">
        <f t="shared" si="35"/>
        <v>0</v>
      </c>
      <c r="Q243" t="str">
        <f>$L164</f>
        <v/>
      </c>
      <c r="U243" s="249"/>
      <c r="V243" s="249"/>
      <c r="AR243" s="301"/>
    </row>
    <row r="244">
      <c r="A244" s="1" t="s">
        <v>974</v>
      </c>
      <c r="B244" s="1">
        <v>40.0</v>
      </c>
      <c r="C244" s="1" t="s">
        <v>304</v>
      </c>
      <c r="D244" s="1">
        <v>0.002</v>
      </c>
      <c r="E244" s="1">
        <v>0.0</v>
      </c>
      <c r="F244" s="9">
        <v>0.0</v>
      </c>
      <c r="G244" s="1">
        <v>1.0</v>
      </c>
      <c r="H244" s="1">
        <v>3.0</v>
      </c>
      <c r="I244" s="1">
        <v>0.8</v>
      </c>
      <c r="J244" s="1">
        <v>2.5</v>
      </c>
      <c r="K244" s="1" t="s">
        <v>965</v>
      </c>
      <c r="L244" s="1" t="s">
        <v>640</v>
      </c>
      <c r="M244" s="5" t="str">
        <f t="shared" si="33"/>
        <v/>
      </c>
      <c r="N244" s="563" t="b">
        <f t="shared" si="65"/>
        <v>1</v>
      </c>
      <c r="O244" s="249" t="b">
        <f t="shared" si="34"/>
        <v>1</v>
      </c>
      <c r="P244" t="b">
        <f t="shared" si="35"/>
        <v>1</v>
      </c>
      <c r="Q244" s="249"/>
      <c r="U244" s="249"/>
      <c r="V244" s="249"/>
      <c r="AR244" s="301"/>
    </row>
    <row r="245">
      <c r="A245" s="1" t="s">
        <v>976</v>
      </c>
      <c r="B245" s="1">
        <v>40.0</v>
      </c>
      <c r="C245" s="1" t="s">
        <v>977</v>
      </c>
      <c r="D245" s="1">
        <v>0.0025</v>
      </c>
      <c r="E245" s="1">
        <v>0.0</v>
      </c>
      <c r="F245" s="9">
        <v>0.0</v>
      </c>
      <c r="G245" s="1">
        <v>1.0</v>
      </c>
      <c r="H245" s="1">
        <v>2.0</v>
      </c>
      <c r="I245" s="1">
        <v>0.5</v>
      </c>
      <c r="J245" s="1">
        <v>2.6</v>
      </c>
      <c r="K245" s="1" t="s">
        <v>967</v>
      </c>
      <c r="L245" s="1" t="s">
        <v>652</v>
      </c>
      <c r="M245" s="5" t="str">
        <f t="shared" si="33"/>
        <v/>
      </c>
      <c r="N245" s="563" t="b">
        <f t="shared" si="65"/>
        <v>1</v>
      </c>
      <c r="O245" s="249" t="b">
        <f t="shared" si="34"/>
        <v>1</v>
      </c>
      <c r="P245" t="b">
        <f t="shared" si="35"/>
        <v>1</v>
      </c>
      <c r="Q245" s="249"/>
      <c r="U245" s="249"/>
      <c r="V245" s="249"/>
      <c r="AR245" s="301"/>
    </row>
    <row r="246">
      <c r="A246" s="1" t="s">
        <v>979</v>
      </c>
      <c r="B246" s="1">
        <v>40.0</v>
      </c>
      <c r="C246" s="1" t="s">
        <v>980</v>
      </c>
      <c r="D246" s="1">
        <v>0.02</v>
      </c>
      <c r="E246" s="1">
        <v>0.0</v>
      </c>
      <c r="F246" s="9">
        <v>0.0</v>
      </c>
      <c r="G246" s="1">
        <v>1.0</v>
      </c>
      <c r="H246" s="1">
        <v>0.8</v>
      </c>
      <c r="I246" s="1">
        <v>0.5</v>
      </c>
      <c r="J246" s="1">
        <v>3.0</v>
      </c>
      <c r="K246" s="1" t="s">
        <v>970</v>
      </c>
      <c r="L246" s="1" t="s">
        <v>658</v>
      </c>
      <c r="M246" s="5" t="str">
        <f t="shared" si="33"/>
        <v/>
      </c>
      <c r="N246" s="563" t="b">
        <f t="shared" si="65"/>
        <v>1</v>
      </c>
      <c r="O246" s="249" t="b">
        <f t="shared" si="34"/>
        <v>1</v>
      </c>
      <c r="P246" t="b">
        <f t="shared" si="35"/>
        <v>1</v>
      </c>
      <c r="Q246" s="249"/>
      <c r="U246" s="249"/>
      <c r="V246" s="249"/>
      <c r="AR246" s="301"/>
    </row>
    <row r="247">
      <c r="A247" s="1" t="s">
        <v>982</v>
      </c>
      <c r="B247" s="1">
        <v>40.0</v>
      </c>
      <c r="C247" s="1" t="s">
        <v>983</v>
      </c>
      <c r="D247" s="1">
        <v>0.02</v>
      </c>
      <c r="E247" s="1">
        <v>0.0</v>
      </c>
      <c r="F247" s="9">
        <v>0.0</v>
      </c>
      <c r="G247" s="1">
        <v>1.0</v>
      </c>
      <c r="H247" s="1">
        <v>0.8</v>
      </c>
      <c r="I247" s="1">
        <v>0.5</v>
      </c>
      <c r="J247" s="1">
        <v>2.6</v>
      </c>
      <c r="K247" s="1" t="s">
        <v>973</v>
      </c>
      <c r="L247" s="1" t="s">
        <v>665</v>
      </c>
      <c r="M247" s="5" t="str">
        <f t="shared" si="33"/>
        <v/>
      </c>
      <c r="N247" s="563" t="b">
        <f t="shared" si="65"/>
        <v>1</v>
      </c>
      <c r="O247" s="249" t="b">
        <f t="shared" si="34"/>
        <v>1</v>
      </c>
      <c r="P247" t="b">
        <f t="shared" si="35"/>
        <v>1</v>
      </c>
      <c r="Q247" s="249"/>
      <c r="U247" s="249"/>
      <c r="V247" s="249"/>
      <c r="AR247" s="301"/>
    </row>
    <row r="248">
      <c r="A248" s="1" t="s">
        <v>985</v>
      </c>
      <c r="B248" s="1">
        <v>50.0</v>
      </c>
      <c r="C248" s="1" t="s">
        <v>986</v>
      </c>
      <c r="D248" s="1">
        <v>0.01</v>
      </c>
      <c r="E248" s="1">
        <v>0.0</v>
      </c>
      <c r="F248" s="9">
        <v>0.0</v>
      </c>
      <c r="G248" s="1">
        <v>1.0</v>
      </c>
      <c r="H248" s="1">
        <v>0.8</v>
      </c>
      <c r="I248" s="1">
        <v>0.5</v>
      </c>
      <c r="J248" s="1">
        <v>3.0</v>
      </c>
      <c r="K248" s="1" t="s">
        <v>975</v>
      </c>
      <c r="L248" s="1" t="s">
        <v>669</v>
      </c>
      <c r="M248" s="5" t="str">
        <f t="shared" si="33"/>
        <v/>
      </c>
      <c r="N248" s="563" t="b">
        <f t="shared" si="65"/>
        <v>1</v>
      </c>
      <c r="O248" s="249" t="b">
        <f t="shared" si="34"/>
        <v>1</v>
      </c>
      <c r="P248" t="b">
        <f t="shared" si="35"/>
        <v>1</v>
      </c>
      <c r="Q248" s="249"/>
      <c r="U248" s="249"/>
      <c r="V248" s="249"/>
      <c r="AR248" s="301"/>
    </row>
    <row r="249">
      <c r="A249" s="1" t="s">
        <v>987</v>
      </c>
      <c r="B249" s="1">
        <v>40.0</v>
      </c>
      <c r="C249" s="1" t="s">
        <v>130</v>
      </c>
      <c r="D249" s="1">
        <v>1.0E-4</v>
      </c>
      <c r="E249" s="1">
        <v>0.0</v>
      </c>
      <c r="F249" s="9">
        <v>0.0</v>
      </c>
      <c r="G249" s="1">
        <v>1.0</v>
      </c>
      <c r="H249" s="1">
        <v>2.0</v>
      </c>
      <c r="I249" s="1">
        <v>0.5</v>
      </c>
      <c r="J249" s="1">
        <v>2.6</v>
      </c>
      <c r="K249" s="1" t="s">
        <v>978</v>
      </c>
      <c r="L249" s="1" t="s">
        <v>673</v>
      </c>
      <c r="M249" s="5" t="str">
        <f t="shared" si="33"/>
        <v/>
      </c>
      <c r="N249" s="563" t="b">
        <f t="shared" si="65"/>
        <v>1</v>
      </c>
      <c r="O249" s="249" t="b">
        <f t="shared" si="34"/>
        <v>1</v>
      </c>
      <c r="P249" t="b">
        <f t="shared" si="35"/>
        <v>1</v>
      </c>
      <c r="Q249" s="249"/>
      <c r="U249" s="249"/>
      <c r="V249" s="249"/>
      <c r="AR249" s="301"/>
    </row>
    <row r="250">
      <c r="A250" s="1" t="s">
        <v>994</v>
      </c>
      <c r="B250" s="1">
        <v>40.0</v>
      </c>
      <c r="C250" s="1" t="s">
        <v>995</v>
      </c>
      <c r="D250" s="1">
        <v>0.02</v>
      </c>
      <c r="E250" s="1">
        <v>0.0</v>
      </c>
      <c r="F250" s="9">
        <v>0.0</v>
      </c>
      <c r="G250" s="1">
        <v>1.0</v>
      </c>
      <c r="H250" s="1">
        <v>2.0</v>
      </c>
      <c r="I250" s="1">
        <v>0.5</v>
      </c>
      <c r="J250" s="1">
        <v>2.6</v>
      </c>
      <c r="K250" s="1" t="s">
        <v>981</v>
      </c>
      <c r="L250" s="1" t="s">
        <v>691</v>
      </c>
      <c r="M250" s="5" t="str">
        <f t="shared" si="33"/>
        <v/>
      </c>
      <c r="N250" s="563" t="b">
        <f t="shared" si="65"/>
        <v>1</v>
      </c>
      <c r="O250" s="249" t="b">
        <f t="shared" si="34"/>
        <v>1</v>
      </c>
      <c r="P250" t="b">
        <f t="shared" si="35"/>
        <v>1</v>
      </c>
      <c r="Q250" s="249"/>
      <c r="U250" s="249"/>
      <c r="V250" s="249"/>
      <c r="AR250" s="301"/>
    </row>
    <row r="251">
      <c r="A251" s="1" t="s">
        <v>996</v>
      </c>
      <c r="B251" s="1">
        <v>60.0</v>
      </c>
      <c r="C251" s="1" t="s">
        <v>997</v>
      </c>
      <c r="D251" s="1">
        <v>1.0</v>
      </c>
      <c r="E251" s="1">
        <v>0.0</v>
      </c>
      <c r="F251" s="9">
        <v>0.0</v>
      </c>
      <c r="G251" s="1">
        <v>1.0</v>
      </c>
      <c r="H251" s="1">
        <v>2.0</v>
      </c>
      <c r="I251" s="1">
        <v>0.5</v>
      </c>
      <c r="J251" s="1">
        <v>2.6</v>
      </c>
      <c r="K251" s="1" t="s">
        <v>984</v>
      </c>
      <c r="L251" s="1" t="s">
        <v>695</v>
      </c>
      <c r="M251" s="5" t="str">
        <f t="shared" si="33"/>
        <v/>
      </c>
      <c r="N251" s="563" t="b">
        <f t="shared" si="65"/>
        <v>1</v>
      </c>
      <c r="O251" s="249" t="b">
        <f t="shared" si="34"/>
        <v>1</v>
      </c>
      <c r="P251" t="b">
        <f t="shared" si="35"/>
        <v>1</v>
      </c>
      <c r="Q251" s="249"/>
      <c r="U251" s="249"/>
      <c r="V251" s="249"/>
      <c r="AR251" s="301"/>
    </row>
    <row r="252">
      <c r="A252" s="195"/>
      <c r="B252" s="195"/>
      <c r="C252" s="195"/>
      <c r="D252" s="195"/>
      <c r="E252" s="316"/>
      <c r="F252" s="195"/>
      <c r="G252" s="195"/>
      <c r="H252" s="195"/>
      <c r="I252" s="195"/>
      <c r="J252" s="195"/>
      <c r="K252" s="195"/>
      <c r="L252" s="195"/>
      <c r="M252" s="195"/>
      <c r="N252" s="195"/>
      <c r="O252" s="249"/>
      <c r="P252" s="249"/>
      <c r="Q252" s="249"/>
      <c r="U252" s="249"/>
      <c r="V252" s="249"/>
      <c r="AR252" s="301"/>
    </row>
    <row r="253">
      <c r="A253" s="195"/>
      <c r="B253" s="195"/>
      <c r="C253" s="195"/>
      <c r="D253" s="195"/>
      <c r="E253" s="316"/>
      <c r="F253" s="195"/>
      <c r="G253" s="195"/>
      <c r="H253" s="195"/>
      <c r="I253" s="195"/>
      <c r="J253" s="195"/>
      <c r="K253" s="195"/>
      <c r="L253" s="195"/>
      <c r="M253" s="195"/>
      <c r="N253" s="195"/>
      <c r="O253" s="249"/>
      <c r="P253" s="249"/>
      <c r="Q253" s="249"/>
      <c r="U253" s="249"/>
      <c r="V253" s="249"/>
      <c r="AR253" s="301"/>
    </row>
    <row r="254">
      <c r="A254" s="195"/>
      <c r="B254" s="195"/>
      <c r="C254" s="195"/>
      <c r="D254" s="195"/>
      <c r="E254" s="316"/>
      <c r="F254" s="195"/>
      <c r="G254" s="195"/>
      <c r="H254" s="195"/>
      <c r="I254" s="195"/>
      <c r="J254" s="195"/>
      <c r="K254" s="195"/>
      <c r="L254" s="195"/>
      <c r="M254" s="195"/>
      <c r="N254" s="195"/>
      <c r="O254" s="249"/>
      <c r="P254" s="249"/>
      <c r="Q254" s="249"/>
      <c r="U254" s="249"/>
      <c r="V254" s="249"/>
      <c r="AR254" s="301"/>
    </row>
    <row r="255">
      <c r="A255" s="195"/>
      <c r="B255" s="195"/>
      <c r="C255" s="195"/>
      <c r="D255" s="195"/>
      <c r="E255" s="316"/>
      <c r="F255" s="195"/>
      <c r="G255" s="195"/>
      <c r="H255" s="195"/>
      <c r="I255" s="195"/>
      <c r="J255" s="195"/>
      <c r="K255" s="195"/>
      <c r="L255" s="195"/>
      <c r="M255" s="195"/>
      <c r="N255" s="195"/>
      <c r="O255" s="249"/>
      <c r="P255" s="249"/>
      <c r="Q255" s="249"/>
      <c r="R255" s="249"/>
      <c r="S255" s="249"/>
      <c r="T255" s="249"/>
      <c r="U255" s="249"/>
      <c r="V255" s="249"/>
      <c r="W255" s="249"/>
      <c r="AS255" s="301"/>
    </row>
    <row r="256">
      <c r="A256" s="195"/>
      <c r="B256" s="5"/>
      <c r="C256" s="565"/>
      <c r="D256" s="565"/>
      <c r="E256" s="566"/>
      <c r="F256" s="565"/>
      <c r="G256" s="565"/>
      <c r="H256" s="565"/>
      <c r="I256" s="565"/>
      <c r="J256" s="567"/>
      <c r="K256" s="568" t="s">
        <v>1163</v>
      </c>
      <c r="L256" s="5"/>
      <c r="M256" s="5"/>
      <c r="N256" s="5"/>
      <c r="O256" s="5"/>
      <c r="P256" s="5"/>
      <c r="Q256" s="5"/>
      <c r="R256" s="249"/>
      <c r="S256" s="249"/>
      <c r="T256" s="249"/>
      <c r="U256" s="249"/>
      <c r="V256" s="5"/>
      <c r="W256" s="5"/>
      <c r="AS256" s="301"/>
    </row>
    <row r="257">
      <c r="A257" s="195"/>
      <c r="B257" s="569"/>
      <c r="C257" s="570" t="s">
        <v>1164</v>
      </c>
      <c r="D257" s="570" t="s">
        <v>1165</v>
      </c>
      <c r="E257" s="571" t="s">
        <v>491</v>
      </c>
      <c r="F257" s="572" t="s">
        <v>1135</v>
      </c>
      <c r="G257" s="572" t="s">
        <v>1166</v>
      </c>
      <c r="H257" s="572" t="s">
        <v>1167</v>
      </c>
      <c r="I257" s="572" t="s">
        <v>1168</v>
      </c>
      <c r="J257" s="573" t="s">
        <v>1169</v>
      </c>
      <c r="K257" s="574" t="str">
        <f>$B$3</f>
        <v>HS</v>
      </c>
      <c r="L257" s="5" t="s">
        <v>638</v>
      </c>
      <c r="M257" s="5" t="s">
        <v>368</v>
      </c>
      <c r="N257" s="5" t="s">
        <v>369</v>
      </c>
      <c r="O257" s="5" t="s">
        <v>370</v>
      </c>
      <c r="P257" s="5" t="s">
        <v>371</v>
      </c>
      <c r="Q257" s="5" t="s">
        <v>372</v>
      </c>
      <c r="R257" s="5" t="s">
        <v>373</v>
      </c>
      <c r="S257" s="5"/>
      <c r="T257" s="5" t="s">
        <v>1170</v>
      </c>
      <c r="U257" s="5" t="str">
        <f>T260</f>
        <v>Light</v>
      </c>
      <c r="V257" t="s">
        <v>1171</v>
      </c>
      <c r="W257" s="5" t="s">
        <v>258</v>
      </c>
      <c r="X257" t="s">
        <v>1172</v>
      </c>
      <c r="Y257" s="1" t="s">
        <v>377</v>
      </c>
      <c r="Z257" s="1" t="s">
        <v>378</v>
      </c>
      <c r="AA257">
        <f>countIF(F258:F335,"&gt;.99")</f>
        <v>76</v>
      </c>
      <c r="AS257" s="301"/>
    </row>
    <row r="258">
      <c r="A258" s="68" t="str">
        <f>image("https://vignette.wikia.nocookie.net/tap-titans-2/images/1/18/Book_of_Shadows.png/revision/latest?cb=20171024224110")</f>
        <v/>
      </c>
      <c r="B258" s="569" t="s">
        <v>1173</v>
      </c>
      <c r="C258" s="575" t="s">
        <v>1174</v>
      </c>
      <c r="D258" s="118" t="str">
        <f t="shared" ref="D258:D335" si="77">L174</f>
        <v>Book of Shadows</v>
      </c>
      <c r="E258" s="576">
        <f t="shared" ref="E258:E304" si="78">IFERROR(RANK(H258,$H$258:$H$304,0)+COUNTIF($H258:H$304,H258)-1,99)</f>
        <v>27</v>
      </c>
      <c r="F258" s="577">
        <f t="shared" ref="F258:F304" si="79">MAX(B6*(10^(INDEX($U$267:$U$270,Match($B$5,$T$267:$T$270,0),1))),0.01)</f>
        <v>33130000</v>
      </c>
      <c r="G258" s="578">
        <f t="shared" ref="G258:G335" si="80">B174</f>
        <v>0</v>
      </c>
      <c r="H258" s="579">
        <f>IF($G91, LOG(($F91*($C91))^($K258))/IF(I169&lt;L3,$I91/(D91),$I91),0)</f>
        <v>0</v>
      </c>
      <c r="I258" s="580">
        <f t="shared" ref="I258:I335" si="81">$B91</f>
        <v>1729236.541</v>
      </c>
      <c r="J258" s="5" t="str">
        <f t="shared" ref="J258:J335" si="82">IF(N174, "No","Yes")</f>
        <v>No</v>
      </c>
      <c r="K258" s="581">
        <f t="shared" ref="K258:K335" si="83">INDEX($N$258:$R$291,MATCH(L258,$M$258:$M$291,0),MATCH($K$257,$N$257:$R$257,0))</f>
        <v>1</v>
      </c>
      <c r="L258" s="4" t="s">
        <v>332</v>
      </c>
      <c r="M258" s="127" t="s">
        <v>385</v>
      </c>
      <c r="N258" s="128">
        <v>1.0</v>
      </c>
      <c r="O258" s="128">
        <v>1.0</v>
      </c>
      <c r="P258" s="151">
        <v>0.6</v>
      </c>
      <c r="Q258" s="128">
        <v>1.0</v>
      </c>
      <c r="R258" s="128">
        <v>0.0</v>
      </c>
      <c r="S258" s="5"/>
      <c r="T258" s="5" t="s">
        <v>1175</v>
      </c>
      <c r="U258" t="s">
        <v>1176</v>
      </c>
      <c r="V258" s="5">
        <v>1.0</v>
      </c>
      <c r="W258" s="582">
        <f t="shared" ref="W258:W262" si="84">IF(AND(K258&lt;&gt;0,(X258^K258)), B91, 1)</f>
        <v>1729236.541</v>
      </c>
      <c r="X258" s="8" t="b">
        <f t="shared" ref="X258:X262" si="85">N174</f>
        <v>1</v>
      </c>
      <c r="Y258" s="583">
        <v>1.0</v>
      </c>
      <c r="Z258" s="584" t="s">
        <v>388</v>
      </c>
      <c r="AA258" s="583">
        <f>SUM(offset(Y258,0,0,AA257,1))</f>
        <v>1.30049E+24</v>
      </c>
      <c r="AB258" s="584"/>
      <c r="AC258" s="584"/>
      <c r="AD258" s="584"/>
      <c r="AE258" s="584"/>
      <c r="AF258" s="584"/>
      <c r="AG258" s="584"/>
      <c r="AH258" s="584"/>
      <c r="AS258" s="301"/>
    </row>
    <row r="259">
      <c r="A259" s="118" t="str">
        <f>image("https://vignette.wikia.nocookie.net/tap-titans-2/images/0/06/Stone_of_the_Valrunes.png/revision/latest?cb=20171024225037")</f>
        <v/>
      </c>
      <c r="B259" s="569" t="s">
        <v>1177</v>
      </c>
      <c r="C259" s="292"/>
      <c r="D259" s="118" t="str">
        <f t="shared" si="77"/>
        <v>Stone of the Valrunes</v>
      </c>
      <c r="E259" s="576">
        <f t="shared" si="78"/>
        <v>5</v>
      </c>
      <c r="F259" s="577">
        <f t="shared" si="79"/>
        <v>537000000</v>
      </c>
      <c r="G259" s="578">
        <f t="shared" si="80"/>
        <v>0</v>
      </c>
      <c r="H259" s="579">
        <f t="shared" ref="H259:H335" si="86">IF($G92, LOG(($F92*($C92))^($K259))/$I92,0)</f>
        <v>0</v>
      </c>
      <c r="I259" s="580">
        <f t="shared" si="81"/>
        <v>11513981.6</v>
      </c>
      <c r="J259" s="5" t="str">
        <f t="shared" si="82"/>
        <v>No</v>
      </c>
      <c r="K259" s="581">
        <f t="shared" si="83"/>
        <v>3.2</v>
      </c>
      <c r="L259" s="190" t="s">
        <v>383</v>
      </c>
      <c r="M259" s="149" t="s">
        <v>395</v>
      </c>
      <c r="N259" s="128">
        <v>1.0</v>
      </c>
      <c r="O259" s="128">
        <f>1/2</f>
        <v>0.5</v>
      </c>
      <c r="P259" s="151">
        <v>0.6</v>
      </c>
      <c r="Q259" s="128">
        <f>1/2</f>
        <v>0.5</v>
      </c>
      <c r="R259" s="128">
        <v>1.0</v>
      </c>
      <c r="S259" s="5"/>
      <c r="T259" s="5" t="s">
        <v>1178</v>
      </c>
      <c r="U259" s="5">
        <v>1.0</v>
      </c>
      <c r="V259" s="435">
        <f t="shared" ref="V259:V298" si="87">MIN(U259,W258)*V258</f>
        <v>1</v>
      </c>
      <c r="W259" s="582">
        <f t="shared" si="84"/>
        <v>11513981.6</v>
      </c>
      <c r="X259" s="8" t="b">
        <f t="shared" si="85"/>
        <v>1</v>
      </c>
      <c r="Y259" s="583">
        <v>3.0</v>
      </c>
      <c r="AS259" s="301"/>
    </row>
    <row r="260">
      <c r="A260" s="118" t="str">
        <f>image("https://vignette.wikia.nocookie.net/tap-titans-2/images/c/c5/Chest_of_Contentment.png/revision/latest?cb=20171024225305")</f>
        <v/>
      </c>
      <c r="B260" s="569" t="s">
        <v>1179</v>
      </c>
      <c r="C260" s="292"/>
      <c r="D260" s="118" t="str">
        <f t="shared" si="77"/>
        <v>Chest of Contentment</v>
      </c>
      <c r="E260" s="576">
        <f t="shared" si="78"/>
        <v>10</v>
      </c>
      <c r="F260" s="577">
        <f t="shared" si="79"/>
        <v>293000000</v>
      </c>
      <c r="G260" s="578">
        <f t="shared" si="80"/>
        <v>0</v>
      </c>
      <c r="H260" s="579">
        <f t="shared" si="86"/>
        <v>0</v>
      </c>
      <c r="I260" s="580">
        <f t="shared" si="81"/>
        <v>115079507.2</v>
      </c>
      <c r="J260" s="5" t="str">
        <f t="shared" si="82"/>
        <v>No</v>
      </c>
      <c r="K260" s="581">
        <f t="shared" si="83"/>
        <v>0.79</v>
      </c>
      <c r="L260" s="116" t="s">
        <v>392</v>
      </c>
      <c r="M260" s="165" t="s">
        <v>400</v>
      </c>
      <c r="N260" s="128">
        <v>1.0</v>
      </c>
      <c r="O260" s="151">
        <v>0.67</v>
      </c>
      <c r="P260" s="151">
        <v>0.6</v>
      </c>
      <c r="Q260" s="128">
        <f>2/3</f>
        <v>0.6666666667</v>
      </c>
      <c r="R260" s="128">
        <f>1/2</f>
        <v>0.5</v>
      </c>
      <c r="S260" s="5"/>
      <c r="T260" s="5" t="s">
        <v>1180</v>
      </c>
      <c r="U260" s="5"/>
      <c r="V260" s="435">
        <f t="shared" si="87"/>
        <v>11513981.6</v>
      </c>
      <c r="W260" s="582">
        <f t="shared" si="84"/>
        <v>115079507.2</v>
      </c>
      <c r="X260" s="8" t="b">
        <f t="shared" si="85"/>
        <v>1</v>
      </c>
      <c r="Y260" s="583">
        <v>6.0</v>
      </c>
      <c r="AS260" s="301"/>
    </row>
    <row r="261">
      <c r="A261" s="118" t="str">
        <f>image("https://vignette.wikia.nocookie.net/tap-titans-2/images/e/ee/Heroic_Shield.png/revision/latest?cb=20170927231600")</f>
        <v/>
      </c>
      <c r="B261" s="569" t="s">
        <v>1181</v>
      </c>
      <c r="C261" s="292"/>
      <c r="D261" s="118" t="str">
        <f t="shared" si="77"/>
        <v>Heroic Shield</v>
      </c>
      <c r="E261" s="576">
        <f t="shared" si="78"/>
        <v>47</v>
      </c>
      <c r="F261" s="577">
        <f t="shared" si="79"/>
        <v>134000000</v>
      </c>
      <c r="G261" s="578">
        <f t="shared" si="80"/>
        <v>0</v>
      </c>
      <c r="H261" s="579">
        <f t="shared" si="86"/>
        <v>0</v>
      </c>
      <c r="I261" s="580">
        <f t="shared" si="81"/>
        <v>32718646.81</v>
      </c>
      <c r="J261" s="5" t="str">
        <f t="shared" si="82"/>
        <v>Yes</v>
      </c>
      <c r="K261" s="581">
        <f t="shared" si="83"/>
        <v>0.79</v>
      </c>
      <c r="L261" s="116" t="s">
        <v>392</v>
      </c>
      <c r="M261" s="149" t="s">
        <v>407</v>
      </c>
      <c r="N261" s="128">
        <f>1/2</f>
        <v>0.5</v>
      </c>
      <c r="O261" s="151">
        <v>0.5</v>
      </c>
      <c r="P261" s="128">
        <f>2/3</f>
        <v>0.6666666667</v>
      </c>
      <c r="Q261" s="128">
        <f>1/2</f>
        <v>0.5</v>
      </c>
      <c r="R261" s="128">
        <v>1.0</v>
      </c>
      <c r="S261" s="5"/>
      <c r="T261" s="5" t="s">
        <v>1182</v>
      </c>
      <c r="U261" s="5"/>
      <c r="V261" s="435">
        <f t="shared" si="87"/>
        <v>1.32502E+15</v>
      </c>
      <c r="W261" s="582">
        <f t="shared" si="84"/>
        <v>1</v>
      </c>
      <c r="X261" s="8" t="b">
        <f t="shared" si="85"/>
        <v>0</v>
      </c>
      <c r="Y261" s="583">
        <v>11.0</v>
      </c>
      <c r="AS261" s="301"/>
    </row>
    <row r="262">
      <c r="A262" s="118" t="str">
        <f>image("https://vignette.wikia.nocookie.net/tap-titans-2/images/2/2a/Book_of_Prophecy.png/revision/latest?cb=20171024224837")</f>
        <v/>
      </c>
      <c r="B262" s="569" t="s">
        <v>1183</v>
      </c>
      <c r="C262" s="292"/>
      <c r="D262" s="118" t="str">
        <f t="shared" si="77"/>
        <v>Book of Prophecy</v>
      </c>
      <c r="E262" s="576">
        <f t="shared" si="78"/>
        <v>20</v>
      </c>
      <c r="F262" s="577">
        <f t="shared" si="79"/>
        <v>31000000</v>
      </c>
      <c r="G262" s="578">
        <f t="shared" si="80"/>
        <v>0</v>
      </c>
      <c r="H262" s="579">
        <f t="shared" si="86"/>
        <v>0</v>
      </c>
      <c r="I262" s="580">
        <f t="shared" si="81"/>
        <v>6505243.834</v>
      </c>
      <c r="J262" s="5" t="str">
        <f t="shared" si="82"/>
        <v>No</v>
      </c>
      <c r="K262" s="581">
        <f t="shared" si="83"/>
        <v>0.79</v>
      </c>
      <c r="L262" s="116" t="s">
        <v>392</v>
      </c>
      <c r="M262" s="176" t="s">
        <v>412</v>
      </c>
      <c r="N262" s="128">
        <v>1.0</v>
      </c>
      <c r="O262" s="151">
        <v>1.0</v>
      </c>
      <c r="P262" s="151">
        <v>0.6</v>
      </c>
      <c r="Q262" s="128">
        <v>1.0</v>
      </c>
      <c r="R262" s="128">
        <v>0.0</v>
      </c>
      <c r="S262" s="5"/>
      <c r="T262" s="5" t="s">
        <v>1184</v>
      </c>
      <c r="U262" s="5"/>
      <c r="V262" s="435">
        <f t="shared" si="87"/>
        <v>1.32502E+15</v>
      </c>
      <c r="W262" s="582">
        <f t="shared" si="84"/>
        <v>6505243.834</v>
      </c>
      <c r="X262" s="8" t="b">
        <f t="shared" si="85"/>
        <v>1</v>
      </c>
      <c r="Y262" s="583">
        <v>19.0</v>
      </c>
      <c r="AS262" s="301"/>
    </row>
    <row r="263">
      <c r="A263" s="118" t="str">
        <f>image("https://vignette.wikia.nocookie.net/tap-titans-2/images/0/01/Khrysos_Bowl.png/revision/latest?cb=20180406183745")</f>
        <v/>
      </c>
      <c r="B263" s="569" t="s">
        <v>1185</v>
      </c>
      <c r="C263" s="292"/>
      <c r="D263" s="118" t="str">
        <f t="shared" si="77"/>
        <v>Khrysos Bowl</v>
      </c>
      <c r="E263" s="576">
        <f t="shared" si="78"/>
        <v>46</v>
      </c>
      <c r="F263" s="577">
        <f t="shared" si="79"/>
        <v>37600000</v>
      </c>
      <c r="G263" s="578">
        <f t="shared" si="80"/>
        <v>0</v>
      </c>
      <c r="H263" s="579">
        <f t="shared" si="86"/>
        <v>0</v>
      </c>
      <c r="I263" s="580">
        <f t="shared" si="81"/>
        <v>1584893.585</v>
      </c>
      <c r="J263" s="5" t="str">
        <f t="shared" si="82"/>
        <v>Yes</v>
      </c>
      <c r="K263" s="581">
        <f t="shared" si="83"/>
        <v>0.79</v>
      </c>
      <c r="L263" s="190" t="s">
        <v>411</v>
      </c>
      <c r="M263" s="176" t="s">
        <v>418</v>
      </c>
      <c r="N263" s="128">
        <v>1.0</v>
      </c>
      <c r="O263" s="128">
        <v>0.0</v>
      </c>
      <c r="P263" s="151">
        <v>0.6</v>
      </c>
      <c r="Q263" s="151">
        <v>1.0</v>
      </c>
      <c r="R263" s="128">
        <v>0.0</v>
      </c>
      <c r="S263" s="5"/>
      <c r="T263" s="5" t="s">
        <v>1186</v>
      </c>
      <c r="U263" s="5"/>
      <c r="V263" s="435">
        <f t="shared" si="87"/>
        <v>8.6196E+21</v>
      </c>
      <c r="W263" s="5">
        <f t="shared" ref="W263:W281" si="88">IF(AND(K264&lt;&gt;0,(X263^K264)), B96, 1)</f>
        <v>1</v>
      </c>
      <c r="X263" s="8" t="b">
        <f t="shared" ref="X263:X281" si="89">N180</f>
        <v>0</v>
      </c>
      <c r="Y263" s="583">
        <v>30.0</v>
      </c>
      <c r="AS263" s="301"/>
    </row>
    <row r="264">
      <c r="A264" s="118" t="str">
        <f>image("https://vignette.wikia.nocookie.net/tap-titans-2/images/8/81/Zakynthos_Coin.png/revision/latest?cb=20171024231542")</f>
        <v/>
      </c>
      <c r="B264" s="569" t="s">
        <v>1187</v>
      </c>
      <c r="C264" s="292"/>
      <c r="D264" s="118" t="str">
        <f t="shared" si="77"/>
        <v>Zakynthos Coin</v>
      </c>
      <c r="E264" s="576">
        <f t="shared" si="78"/>
        <v>45</v>
      </c>
      <c r="F264" s="577">
        <f t="shared" si="79"/>
        <v>36380000</v>
      </c>
      <c r="G264" s="578">
        <f t="shared" si="80"/>
        <v>0</v>
      </c>
      <c r="H264" s="579">
        <f t="shared" si="86"/>
        <v>0</v>
      </c>
      <c r="I264" s="580">
        <f t="shared" si="81"/>
        <v>22960808.15</v>
      </c>
      <c r="J264" s="5" t="str">
        <f t="shared" si="82"/>
        <v>Yes</v>
      </c>
      <c r="K264" s="581">
        <f t="shared" si="83"/>
        <v>0.79</v>
      </c>
      <c r="L264" s="116" t="s">
        <v>392</v>
      </c>
      <c r="M264" s="4" t="s">
        <v>420</v>
      </c>
      <c r="N264" s="128">
        <v>1.0</v>
      </c>
      <c r="O264" s="128">
        <v>1.0</v>
      </c>
      <c r="P264" s="128">
        <v>1.0</v>
      </c>
      <c r="Q264" s="128">
        <v>1.0</v>
      </c>
      <c r="R264" s="128">
        <v>1.0</v>
      </c>
      <c r="S264" s="5"/>
      <c r="T264" s="438" t="s">
        <v>1188</v>
      </c>
      <c r="U264" s="5"/>
      <c r="V264" s="435">
        <f t="shared" si="87"/>
        <v>8.6196E+21</v>
      </c>
      <c r="W264" s="582">
        <f t="shared" si="88"/>
        <v>22960808.15</v>
      </c>
      <c r="X264" s="8" t="b">
        <f t="shared" si="89"/>
        <v>1</v>
      </c>
      <c r="Y264" s="583">
        <v>46.0</v>
      </c>
      <c r="AS264" s="301"/>
    </row>
    <row r="265">
      <c r="A265" s="118" t="str">
        <f>image("https://vignette.wikia.nocookie.net/tap-titans-2/images/8/8e/Great_Fay_Medallion.png/revision/latest?cb=20171024221832")</f>
        <v/>
      </c>
      <c r="B265" s="569" t="s">
        <v>1189</v>
      </c>
      <c r="C265" s="292"/>
      <c r="D265" s="118" t="str">
        <f t="shared" si="77"/>
        <v>Great Fay Medallion</v>
      </c>
      <c r="E265" s="576">
        <f t="shared" si="78"/>
        <v>16</v>
      </c>
      <c r="F265" s="577">
        <f t="shared" si="79"/>
        <v>303000000</v>
      </c>
      <c r="G265" s="578">
        <f t="shared" si="80"/>
        <v>0</v>
      </c>
      <c r="H265" s="579">
        <f t="shared" si="86"/>
        <v>0</v>
      </c>
      <c r="I265" s="580">
        <f t="shared" si="81"/>
        <v>138554165</v>
      </c>
      <c r="J265" s="5" t="str">
        <f t="shared" si="82"/>
        <v>No</v>
      </c>
      <c r="K265" s="581">
        <f t="shared" si="83"/>
        <v>0.79</v>
      </c>
      <c r="L265" s="116" t="s">
        <v>392</v>
      </c>
      <c r="M265" s="116" t="s">
        <v>392</v>
      </c>
      <c r="N265" s="151">
        <v>0.79</v>
      </c>
      <c r="O265" s="151">
        <v>0.79</v>
      </c>
      <c r="P265" s="151">
        <v>0.79</v>
      </c>
      <c r="Q265" s="151">
        <v>0.79</v>
      </c>
      <c r="R265" s="151">
        <v>0.79</v>
      </c>
      <c r="S265" s="5"/>
      <c r="T265" s="438" t="s">
        <v>1190</v>
      </c>
      <c r="U265" s="5"/>
      <c r="V265" s="435">
        <f t="shared" si="87"/>
        <v>1.97913E+29</v>
      </c>
      <c r="W265" s="5">
        <f t="shared" si="88"/>
        <v>1</v>
      </c>
      <c r="X265" s="8" t="b">
        <f t="shared" si="89"/>
        <v>0</v>
      </c>
      <c r="Y265" s="583">
        <v>69.0</v>
      </c>
      <c r="AS265" s="301"/>
    </row>
    <row r="266">
      <c r="A266" s="118" t="str">
        <f>image("https://vignette.wikia.nocookie.net/tap-titans-2/images/6/66/Coins_of_Ebizu.png/revision/latest?cb=20171024231637")</f>
        <v/>
      </c>
      <c r="B266" s="569" t="s">
        <v>1191</v>
      </c>
      <c r="C266" s="292"/>
      <c r="D266" s="118" t="str">
        <f t="shared" si="77"/>
        <v>Coins of Ebizu</v>
      </c>
      <c r="E266" s="576">
        <f t="shared" si="78"/>
        <v>44</v>
      </c>
      <c r="F266" s="577">
        <f t="shared" si="79"/>
        <v>290000000</v>
      </c>
      <c r="G266" s="578">
        <f t="shared" si="80"/>
        <v>0</v>
      </c>
      <c r="H266" s="579">
        <f t="shared" si="86"/>
        <v>0</v>
      </c>
      <c r="I266" s="580">
        <f t="shared" si="81"/>
        <v>136025659.6</v>
      </c>
      <c r="J266" s="5" t="str">
        <f t="shared" si="82"/>
        <v>Yes</v>
      </c>
      <c r="K266" s="581">
        <f t="shared" si="83"/>
        <v>0.79</v>
      </c>
      <c r="L266" s="116" t="s">
        <v>1192</v>
      </c>
      <c r="M266" s="116" t="s">
        <v>1192</v>
      </c>
      <c r="N266" s="128">
        <v>0.0</v>
      </c>
      <c r="O266" s="151">
        <v>0.79</v>
      </c>
      <c r="P266" s="128">
        <f>if(F3="pHoM",0.79,0)</f>
        <v>0</v>
      </c>
      <c r="Q266" s="151">
        <v>0.79</v>
      </c>
      <c r="R266" s="151">
        <v>0.79</v>
      </c>
      <c r="S266" s="5"/>
      <c r="T266" s="5"/>
      <c r="U266" s="5"/>
      <c r="V266" s="435">
        <f t="shared" si="87"/>
        <v>1.97913E+29</v>
      </c>
      <c r="W266" s="582">
        <f t="shared" si="88"/>
        <v>136025659.6</v>
      </c>
      <c r="X266" s="8" t="b">
        <f t="shared" si="89"/>
        <v>1</v>
      </c>
      <c r="Y266" s="583">
        <v>102.0</v>
      </c>
      <c r="AS266" s="301"/>
    </row>
    <row r="267">
      <c r="A267" s="118" t="str">
        <f>image("https://vignette.wikia.nocookie.net/tap-titans-2/images/e/e6/Heavenly_Sword.png/revision/latest?cb=20171024233710")</f>
        <v/>
      </c>
      <c r="B267" s="569" t="s">
        <v>1193</v>
      </c>
      <c r="C267" s="585" t="s">
        <v>1194</v>
      </c>
      <c r="D267" s="118" t="str">
        <f t="shared" si="77"/>
        <v>Heavenly Sword</v>
      </c>
      <c r="E267" s="576">
        <f t="shared" si="78"/>
        <v>23</v>
      </c>
      <c r="F267" s="577">
        <f t="shared" si="79"/>
        <v>33660000</v>
      </c>
      <c r="G267" s="578">
        <f t="shared" si="80"/>
        <v>0</v>
      </c>
      <c r="H267" s="579">
        <f t="shared" si="86"/>
        <v>0</v>
      </c>
      <c r="I267" s="580">
        <f t="shared" si="81"/>
        <v>1836509.972</v>
      </c>
      <c r="J267" s="5" t="str">
        <f t="shared" si="82"/>
        <v>No</v>
      </c>
      <c r="K267" s="581">
        <f t="shared" si="83"/>
        <v>1</v>
      </c>
      <c r="L267" s="4" t="s">
        <v>332</v>
      </c>
      <c r="M267" s="196" t="s">
        <v>429</v>
      </c>
      <c r="N267" s="128">
        <v>1.0</v>
      </c>
      <c r="O267" s="128">
        <v>1.0</v>
      </c>
      <c r="P267" s="128">
        <v>1.0</v>
      </c>
      <c r="Q267" s="128">
        <v>1.0</v>
      </c>
      <c r="R267" s="128">
        <v>1.0</v>
      </c>
      <c r="S267" s="5"/>
      <c r="T267" s="586" t="s">
        <v>1195</v>
      </c>
      <c r="U267" s="586">
        <v>0.0</v>
      </c>
      <c r="V267" s="435">
        <f t="shared" si="87"/>
        <v>0</v>
      </c>
      <c r="W267" s="582">
        <f t="shared" si="88"/>
        <v>1836509.972</v>
      </c>
      <c r="X267" s="8" t="b">
        <f t="shared" si="89"/>
        <v>1</v>
      </c>
      <c r="Y267" s="583">
        <v>148.0</v>
      </c>
      <c r="AS267" s="301"/>
    </row>
    <row r="268">
      <c r="A268" s="118" t="str">
        <f>image("https://vignette.wikia.nocookie.net/tap-titans-2/images/3/38/Divine_Retribution.png/revision/latest?cb=20171024233639")</f>
        <v/>
      </c>
      <c r="B268" s="569" t="s">
        <v>1196</v>
      </c>
      <c r="C268" s="292"/>
      <c r="D268" s="118" t="str">
        <f t="shared" si="77"/>
        <v>Divine Retribution</v>
      </c>
      <c r="E268" s="576">
        <f t="shared" si="78"/>
        <v>1</v>
      </c>
      <c r="F268" s="577">
        <f t="shared" si="79"/>
        <v>80000000</v>
      </c>
      <c r="G268" s="578">
        <f t="shared" si="80"/>
        <v>0</v>
      </c>
      <c r="H268" s="579">
        <f t="shared" si="86"/>
        <v>0</v>
      </c>
      <c r="I268" s="580">
        <f t="shared" si="81"/>
        <v>8920047.503</v>
      </c>
      <c r="J268" s="5" t="str">
        <f t="shared" si="82"/>
        <v>No</v>
      </c>
      <c r="K268" s="581">
        <f t="shared" si="83"/>
        <v>1</v>
      </c>
      <c r="L268" s="4" t="s">
        <v>332</v>
      </c>
      <c r="M268" s="4" t="s">
        <v>332</v>
      </c>
      <c r="N268" s="128">
        <v>1.0</v>
      </c>
      <c r="O268" s="128">
        <v>1.0</v>
      </c>
      <c r="P268" s="128">
        <v>1.0</v>
      </c>
      <c r="Q268" s="128">
        <v>1.0</v>
      </c>
      <c r="R268" s="128">
        <v>1.0</v>
      </c>
      <c r="S268" s="5"/>
      <c r="T268" s="586" t="s">
        <v>387</v>
      </c>
      <c r="U268" s="586">
        <v>6.0</v>
      </c>
      <c r="V268" s="435">
        <f t="shared" si="87"/>
        <v>0</v>
      </c>
      <c r="W268" s="582">
        <f t="shared" si="88"/>
        <v>8920047.503</v>
      </c>
      <c r="X268" s="8" t="b">
        <f t="shared" si="89"/>
        <v>1</v>
      </c>
      <c r="Y268" s="583">
        <v>214.0</v>
      </c>
      <c r="Z268" s="584"/>
      <c r="AA268" s="584"/>
      <c r="AB268" s="584"/>
      <c r="AC268" s="584"/>
      <c r="AD268" s="587"/>
      <c r="AE268" s="587"/>
      <c r="AF268" s="587"/>
      <c r="AG268" s="587"/>
      <c r="AH268" s="587"/>
      <c r="AS268" s="301"/>
    </row>
    <row r="269">
      <c r="A269" s="118" t="str">
        <f>image("https://vignette.wikia.nocookie.net/tap-titans-2/images/e/e8/Drunken_Hammer.png/revision/latest?cb=20171024233643")</f>
        <v/>
      </c>
      <c r="B269" s="569" t="s">
        <v>1197</v>
      </c>
      <c r="C269" s="292"/>
      <c r="D269" s="118" t="str">
        <f t="shared" si="77"/>
        <v>Drunken Hammer</v>
      </c>
      <c r="E269" s="576">
        <f t="shared" si="78"/>
        <v>13</v>
      </c>
      <c r="F269" s="577">
        <f t="shared" si="79"/>
        <v>800000000</v>
      </c>
      <c r="G269" s="578">
        <f t="shared" si="80"/>
        <v>0</v>
      </c>
      <c r="H269" s="579">
        <f t="shared" si="86"/>
        <v>0</v>
      </c>
      <c r="I269" s="580">
        <f t="shared" si="81"/>
        <v>244587344</v>
      </c>
      <c r="J269" s="5" t="str">
        <f t="shared" si="82"/>
        <v>No</v>
      </c>
      <c r="K269" s="581">
        <f t="shared" si="83"/>
        <v>1</v>
      </c>
      <c r="L269" s="127" t="s">
        <v>385</v>
      </c>
      <c r="M269" s="208" t="s">
        <v>435</v>
      </c>
      <c r="N269" s="210">
        <v>0.0</v>
      </c>
      <c r="O269" s="210">
        <v>0.0</v>
      </c>
      <c r="P269" s="210">
        <v>1.0</v>
      </c>
      <c r="Q269" s="210">
        <v>0.0</v>
      </c>
      <c r="R269" s="210">
        <v>0.0</v>
      </c>
      <c r="S269" s="5"/>
      <c r="T269" s="586" t="s">
        <v>397</v>
      </c>
      <c r="U269" s="586">
        <v>9.0</v>
      </c>
      <c r="V269" s="435">
        <f t="shared" si="87"/>
        <v>0</v>
      </c>
      <c r="W269" s="582">
        <f t="shared" si="88"/>
        <v>244587344</v>
      </c>
      <c r="X269" s="8" t="b">
        <f t="shared" si="89"/>
        <v>1</v>
      </c>
      <c r="Y269" s="583">
        <v>306.0</v>
      </c>
      <c r="AS269" s="301"/>
    </row>
    <row r="270">
      <c r="A270" s="118" t="str">
        <f>image("https://vignette.wikia.nocookie.net/tap-titans-2/images/a/a2/Samosek_Sword.png/revision/latest?cb=20171024223128")</f>
        <v/>
      </c>
      <c r="B270" s="569" t="s">
        <v>1198</v>
      </c>
      <c r="C270" s="292"/>
      <c r="D270" s="118" t="str">
        <f t="shared" si="77"/>
        <v>Samosek Sword</v>
      </c>
      <c r="E270" s="576">
        <f t="shared" si="78"/>
        <v>9</v>
      </c>
      <c r="F270" s="577">
        <f t="shared" si="79"/>
        <v>95000000</v>
      </c>
      <c r="G270" s="578">
        <f t="shared" si="80"/>
        <v>0</v>
      </c>
      <c r="H270" s="579">
        <f t="shared" si="86"/>
        <v>0</v>
      </c>
      <c r="I270" s="580">
        <f t="shared" si="81"/>
        <v>10730013.63</v>
      </c>
      <c r="J270" s="5" t="str">
        <f t="shared" si="82"/>
        <v>No</v>
      </c>
      <c r="K270" s="581">
        <f t="shared" si="83"/>
        <v>1</v>
      </c>
      <c r="L270" s="176" t="s">
        <v>418</v>
      </c>
      <c r="M270" s="149" t="s">
        <v>441</v>
      </c>
      <c r="N270" s="210">
        <v>0.0</v>
      </c>
      <c r="O270" s="210">
        <v>0.0</v>
      </c>
      <c r="P270" s="210">
        <v>0.0</v>
      </c>
      <c r="Q270" s="210">
        <v>0.0</v>
      </c>
      <c r="R270" s="210">
        <v>1.0</v>
      </c>
      <c r="S270" s="5"/>
      <c r="T270" s="586" t="s">
        <v>402</v>
      </c>
      <c r="U270" s="586">
        <v>12.0</v>
      </c>
      <c r="V270" s="435">
        <f t="shared" si="87"/>
        <v>0</v>
      </c>
      <c r="W270" s="582">
        <f t="shared" si="88"/>
        <v>10730013.63</v>
      </c>
      <c r="X270" s="8" t="b">
        <f t="shared" si="89"/>
        <v>1</v>
      </c>
      <c r="Y270" s="583">
        <v>434.0</v>
      </c>
      <c r="AS270" s="301"/>
    </row>
    <row r="271">
      <c r="A271" s="118" t="str">
        <f>image("https://vignette.wikia.nocookie.net/tap-titans-2/images/a/ae/The_Retaliator.png/revision/latest?cb=20171117220555")</f>
        <v/>
      </c>
      <c r="B271" s="569" t="s">
        <v>1199</v>
      </c>
      <c r="C271" s="292"/>
      <c r="D271" s="118" t="str">
        <f t="shared" si="77"/>
        <v>The Retaliator</v>
      </c>
      <c r="E271" s="576">
        <f t="shared" si="78"/>
        <v>17</v>
      </c>
      <c r="F271" s="577">
        <f t="shared" si="79"/>
        <v>818000000</v>
      </c>
      <c r="G271" s="578">
        <f t="shared" si="80"/>
        <v>0</v>
      </c>
      <c r="H271" s="579">
        <f t="shared" si="86"/>
        <v>0</v>
      </c>
      <c r="I271" s="580">
        <f t="shared" si="81"/>
        <v>256606455.7</v>
      </c>
      <c r="J271" s="5" t="str">
        <f t="shared" si="82"/>
        <v>No</v>
      </c>
      <c r="K271" s="581">
        <f t="shared" si="83"/>
        <v>1</v>
      </c>
      <c r="L271" s="4" t="s">
        <v>420</v>
      </c>
      <c r="M271" s="229" t="s">
        <v>446</v>
      </c>
      <c r="N271" s="210">
        <v>0.0</v>
      </c>
      <c r="O271" s="210">
        <v>0.0</v>
      </c>
      <c r="P271" s="210">
        <v>0.0</v>
      </c>
      <c r="Q271" s="210">
        <v>1.0</v>
      </c>
      <c r="R271" s="210">
        <v>0.0</v>
      </c>
      <c r="S271" s="5"/>
      <c r="T271" s="586"/>
      <c r="U271" s="586"/>
      <c r="V271" s="435">
        <f t="shared" si="87"/>
        <v>0</v>
      </c>
      <c r="W271" s="582">
        <f t="shared" si="88"/>
        <v>256606455.7</v>
      </c>
      <c r="X271" s="8" t="b">
        <f t="shared" si="89"/>
        <v>1</v>
      </c>
      <c r="Y271" s="583">
        <v>613.0</v>
      </c>
      <c r="AS271" s="301"/>
    </row>
    <row r="272">
      <c r="A272" s="118" t="str">
        <f>image("https://vignette.wikia.nocookie.net/tap-titans-2/images/5/5e/Hero%27s_Blade.png/revision/latest?cb=20170927233654")</f>
        <v/>
      </c>
      <c r="B272" s="569" t="s">
        <v>1200</v>
      </c>
      <c r="C272" s="292"/>
      <c r="D272" s="118" t="str">
        <f t="shared" si="77"/>
        <v>Hero's Blade</v>
      </c>
      <c r="E272" s="576">
        <f t="shared" si="78"/>
        <v>24</v>
      </c>
      <c r="F272" s="577">
        <f t="shared" si="79"/>
        <v>650000000</v>
      </c>
      <c r="G272" s="578">
        <f t="shared" si="80"/>
        <v>0</v>
      </c>
      <c r="H272" s="579">
        <f t="shared" si="86"/>
        <v>0</v>
      </c>
      <c r="I272" s="580">
        <f t="shared" si="81"/>
        <v>240581695.5</v>
      </c>
      <c r="J272" s="5" t="str">
        <f t="shared" si="82"/>
        <v>No</v>
      </c>
      <c r="K272" s="581">
        <f t="shared" si="83"/>
        <v>0.5</v>
      </c>
      <c r="L272" s="149" t="s">
        <v>395</v>
      </c>
      <c r="M272" s="242" t="s">
        <v>454</v>
      </c>
      <c r="N272" s="210">
        <v>0.0</v>
      </c>
      <c r="O272" s="210">
        <v>1.0</v>
      </c>
      <c r="P272" s="210">
        <v>0.0</v>
      </c>
      <c r="Q272" s="210">
        <v>0.0</v>
      </c>
      <c r="R272" s="210">
        <v>0.0</v>
      </c>
      <c r="S272" s="5"/>
      <c r="T272" s="5"/>
      <c r="U272" s="5"/>
      <c r="V272" s="435">
        <f t="shared" si="87"/>
        <v>0</v>
      </c>
      <c r="W272" s="5">
        <f t="shared" si="88"/>
        <v>1</v>
      </c>
      <c r="X272" s="8" t="b">
        <f t="shared" si="89"/>
        <v>0</v>
      </c>
      <c r="Y272" s="583">
        <v>861.0</v>
      </c>
      <c r="AS272" s="301"/>
    </row>
    <row r="273">
      <c r="A273" s="118" t="str">
        <f>image("https://vignette.wikia.nocookie.net/tap-titans-2/images/5/5a/The_Sword_of_Storms.png/revision/latest?cb=20171024234124")</f>
        <v/>
      </c>
      <c r="B273" s="569" t="s">
        <v>1201</v>
      </c>
      <c r="C273" s="292"/>
      <c r="D273" s="118" t="str">
        <f t="shared" si="77"/>
        <v>The Sword of Storms</v>
      </c>
      <c r="E273" s="576">
        <f t="shared" si="78"/>
        <v>43</v>
      </c>
      <c r="F273" s="577">
        <f t="shared" si="79"/>
        <v>1530000</v>
      </c>
      <c r="G273" s="578">
        <f t="shared" si="80"/>
        <v>0</v>
      </c>
      <c r="H273" s="579">
        <f t="shared" si="86"/>
        <v>0</v>
      </c>
      <c r="I273" s="580">
        <f t="shared" si="81"/>
        <v>306468.0384</v>
      </c>
      <c r="J273" s="5" t="str">
        <f t="shared" si="82"/>
        <v>Yes</v>
      </c>
      <c r="K273" s="581">
        <f t="shared" si="83"/>
        <v>0.5</v>
      </c>
      <c r="L273" s="149" t="s">
        <v>395</v>
      </c>
      <c r="M273" s="253" t="s">
        <v>459</v>
      </c>
      <c r="N273" s="210">
        <v>0.0</v>
      </c>
      <c r="O273" s="210">
        <v>1.0</v>
      </c>
      <c r="P273" s="210">
        <v>1.0</v>
      </c>
      <c r="Q273" s="210">
        <v>0.0</v>
      </c>
      <c r="R273" s="210">
        <v>1.0</v>
      </c>
      <c r="S273" s="5"/>
      <c r="T273" s="5"/>
      <c r="U273" s="5"/>
      <c r="V273" s="435">
        <f t="shared" si="87"/>
        <v>0</v>
      </c>
      <c r="W273" s="5">
        <f t="shared" si="88"/>
        <v>1</v>
      </c>
      <c r="X273" s="8" t="b">
        <f t="shared" si="89"/>
        <v>0</v>
      </c>
      <c r="Y273" s="583">
        <v>1203.0</v>
      </c>
      <c r="AS273" s="301"/>
    </row>
    <row r="274">
      <c r="A274" s="118" t="str">
        <f>image("https://vignette.wikia.nocookie.net/tap-titans-2/images/9/9f/Furies_Bow.png/revision/latest?cb=20171024233706")</f>
        <v/>
      </c>
      <c r="B274" s="569" t="s">
        <v>1202</v>
      </c>
      <c r="C274" s="292"/>
      <c r="D274" s="118" t="str">
        <f t="shared" si="77"/>
        <v>Furies Bow</v>
      </c>
      <c r="E274" s="576">
        <f t="shared" si="78"/>
        <v>42</v>
      </c>
      <c r="F274" s="577">
        <f t="shared" si="79"/>
        <v>100000000</v>
      </c>
      <c r="G274" s="578">
        <f t="shared" si="80"/>
        <v>0</v>
      </c>
      <c r="H274" s="579">
        <f t="shared" si="86"/>
        <v>0</v>
      </c>
      <c r="I274" s="580">
        <f t="shared" si="81"/>
        <v>22742351.88</v>
      </c>
      <c r="J274" s="5" t="str">
        <f t="shared" si="82"/>
        <v>Yes</v>
      </c>
      <c r="K274" s="581">
        <f t="shared" si="83"/>
        <v>0.5</v>
      </c>
      <c r="L274" s="149" t="s">
        <v>395</v>
      </c>
      <c r="M274" s="258" t="s">
        <v>465</v>
      </c>
      <c r="N274" s="210">
        <v>6.0</v>
      </c>
      <c r="O274" s="210">
        <v>6.0</v>
      </c>
      <c r="P274" s="210">
        <v>6.0</v>
      </c>
      <c r="Q274" s="210">
        <v>6.0</v>
      </c>
      <c r="R274" s="210">
        <v>6.0</v>
      </c>
      <c r="S274" s="5"/>
      <c r="T274" s="5"/>
      <c r="U274" s="5"/>
      <c r="V274" s="435">
        <f t="shared" si="87"/>
        <v>0</v>
      </c>
      <c r="W274" s="582">
        <f t="shared" si="88"/>
        <v>22742351.88</v>
      </c>
      <c r="X274" s="8" t="b">
        <f t="shared" si="89"/>
        <v>1</v>
      </c>
      <c r="Y274" s="583">
        <v>1675.0</v>
      </c>
      <c r="AS274" s="301"/>
    </row>
    <row r="275">
      <c r="A275" s="118" t="str">
        <f>image("https://vignette.wikia.nocookie.net/tap-titans-2/images/e/e9/Charm_of_the_Ancient.png/revision/latest?cb=20171024233634")</f>
        <v/>
      </c>
      <c r="B275" s="569" t="s">
        <v>1203</v>
      </c>
      <c r="C275" s="292"/>
      <c r="D275" s="118" t="str">
        <f t="shared" si="77"/>
        <v>Charm of the Ancient</v>
      </c>
      <c r="E275" s="576">
        <f t="shared" si="78"/>
        <v>26</v>
      </c>
      <c r="F275" s="577">
        <f t="shared" si="79"/>
        <v>700000000</v>
      </c>
      <c r="G275" s="578">
        <f t="shared" si="80"/>
        <v>0</v>
      </c>
      <c r="H275" s="579">
        <f t="shared" si="86"/>
        <v>0</v>
      </c>
      <c r="I275" s="580">
        <f t="shared" si="81"/>
        <v>371030641.4</v>
      </c>
      <c r="J275" s="5" t="str">
        <f t="shared" si="82"/>
        <v>No</v>
      </c>
      <c r="K275" s="581">
        <f t="shared" si="83"/>
        <v>0.5</v>
      </c>
      <c r="L275" s="149" t="s">
        <v>395</v>
      </c>
      <c r="M275" s="258" t="s">
        <v>469</v>
      </c>
      <c r="N275" s="210">
        <f t="shared" ref="N275:R275" si="90">2*N265</f>
        <v>1.58</v>
      </c>
      <c r="O275" s="210">
        <f t="shared" si="90"/>
        <v>1.58</v>
      </c>
      <c r="P275" s="210">
        <f t="shared" si="90"/>
        <v>1.58</v>
      </c>
      <c r="Q275" s="210">
        <f t="shared" si="90"/>
        <v>1.58</v>
      </c>
      <c r="R275" s="210">
        <f t="shared" si="90"/>
        <v>1.58</v>
      </c>
      <c r="S275" s="5"/>
      <c r="T275" s="5"/>
      <c r="U275" s="5"/>
      <c r="V275" s="435">
        <f t="shared" si="87"/>
        <v>0</v>
      </c>
      <c r="W275" s="582">
        <f t="shared" si="88"/>
        <v>371030641.4</v>
      </c>
      <c r="X275" s="8" t="b">
        <f t="shared" si="89"/>
        <v>1</v>
      </c>
      <c r="Y275" s="583">
        <v>2323.0</v>
      </c>
      <c r="AS275" s="301"/>
    </row>
    <row r="276">
      <c r="A276" s="281" t="str">
        <f>image("https://vignette.wikia.nocookie.net/tap-titans-2/images/a/ac/Tiny_Titan_Tree.png/revision/latest?cb=20171206185815")</f>
        <v/>
      </c>
      <c r="B276" s="569" t="s">
        <v>1204</v>
      </c>
      <c r="C276" s="588" t="s">
        <v>1205</v>
      </c>
      <c r="D276" s="118" t="str">
        <f t="shared" si="77"/>
        <v>Tiny Titan Tree</v>
      </c>
      <c r="E276" s="576">
        <f t="shared" si="78"/>
        <v>25</v>
      </c>
      <c r="F276" s="577">
        <f t="shared" si="79"/>
        <v>669000000</v>
      </c>
      <c r="G276" s="578">
        <f t="shared" si="80"/>
        <v>0</v>
      </c>
      <c r="H276" s="579">
        <f t="shared" si="86"/>
        <v>0</v>
      </c>
      <c r="I276" s="580">
        <f t="shared" si="81"/>
        <v>339235902.6</v>
      </c>
      <c r="J276" s="5" t="str">
        <f t="shared" si="82"/>
        <v>No</v>
      </c>
      <c r="K276" s="581">
        <f t="shared" si="83"/>
        <v>0.5</v>
      </c>
      <c r="L276" s="149" t="s">
        <v>395</v>
      </c>
      <c r="M276" s="258" t="s">
        <v>474</v>
      </c>
      <c r="N276" s="128">
        <f t="shared" ref="N276:R276" si="91">N277+N278+N280+N265+N284</f>
        <v>3.79</v>
      </c>
      <c r="O276" s="128">
        <f t="shared" si="91"/>
        <v>4.29</v>
      </c>
      <c r="P276" s="128">
        <f t="shared" si="91"/>
        <v>4.39</v>
      </c>
      <c r="Q276" s="128">
        <f t="shared" si="91"/>
        <v>3.79</v>
      </c>
      <c r="R276" s="128">
        <f t="shared" si="91"/>
        <v>4.79</v>
      </c>
      <c r="S276" s="5"/>
      <c r="T276" s="5"/>
      <c r="U276" s="5"/>
      <c r="V276" s="435">
        <f t="shared" si="87"/>
        <v>0</v>
      </c>
      <c r="W276" s="5">
        <f t="shared" si="88"/>
        <v>1</v>
      </c>
      <c r="X276" s="8" t="b">
        <f t="shared" si="89"/>
        <v>0</v>
      </c>
      <c r="Y276" s="583">
        <v>3212.0</v>
      </c>
      <c r="AS276" s="301"/>
    </row>
    <row r="277">
      <c r="A277" s="281" t="str">
        <f>image("https://vignette.wikia.nocookie.net/tap-titans-2/images/a/a6/Helm_of_Hermes.png/revision/latest?cb=20171206185744")</f>
        <v/>
      </c>
      <c r="B277" s="569" t="s">
        <v>1206</v>
      </c>
      <c r="C277" s="292"/>
      <c r="D277" s="118" t="str">
        <f t="shared" si="77"/>
        <v>Helm of Hermes</v>
      </c>
      <c r="E277" s="576">
        <f t="shared" si="78"/>
        <v>41</v>
      </c>
      <c r="F277" s="577">
        <f t="shared" si="79"/>
        <v>4000000</v>
      </c>
      <c r="G277" s="578">
        <f t="shared" si="80"/>
        <v>0</v>
      </c>
      <c r="H277" s="579">
        <f t="shared" si="86"/>
        <v>0</v>
      </c>
      <c r="I277" s="580">
        <f t="shared" si="81"/>
        <v>803412.9831</v>
      </c>
      <c r="J277" s="5" t="str">
        <f t="shared" si="82"/>
        <v>Yes</v>
      </c>
      <c r="K277" s="581">
        <f t="shared" si="83"/>
        <v>0.5</v>
      </c>
      <c r="L277" s="149" t="s">
        <v>395</v>
      </c>
      <c r="M277" s="258" t="s">
        <v>501</v>
      </c>
      <c r="N277" s="210">
        <v>1.0</v>
      </c>
      <c r="O277" s="128">
        <f t="shared" ref="O277:Q277" si="92">O264</f>
        <v>1</v>
      </c>
      <c r="P277" s="128">
        <f t="shared" si="92"/>
        <v>1</v>
      </c>
      <c r="Q277" s="128">
        <f t="shared" si="92"/>
        <v>1</v>
      </c>
      <c r="R277" s="128">
        <f>R259</f>
        <v>1</v>
      </c>
      <c r="S277" s="5"/>
      <c r="T277" s="5"/>
      <c r="U277" s="5"/>
      <c r="V277" s="435">
        <f t="shared" si="87"/>
        <v>0</v>
      </c>
      <c r="W277" s="5">
        <f t="shared" si="88"/>
        <v>1</v>
      </c>
      <c r="X277" s="8" t="b">
        <f t="shared" si="89"/>
        <v>1</v>
      </c>
      <c r="Y277" s="583">
        <v>4430.0</v>
      </c>
      <c r="AS277" s="301"/>
    </row>
    <row r="278">
      <c r="A278" s="118" t="str">
        <f>image("https://vignette.wikia.nocookie.net/tap-titans-2/images/0/00/Fruit_of_Eden.png/revision/latest?cb=20171024233701")</f>
        <v/>
      </c>
      <c r="B278" s="569" t="s">
        <v>1207</v>
      </c>
      <c r="C278" s="292"/>
      <c r="D278" s="118" t="str">
        <f t="shared" si="77"/>
        <v>Fruit of Eden</v>
      </c>
      <c r="E278" s="576">
        <f t="shared" si="78"/>
        <v>40</v>
      </c>
      <c r="F278" s="577">
        <f t="shared" si="79"/>
        <v>4000000</v>
      </c>
      <c r="G278" s="578">
        <f t="shared" si="80"/>
        <v>0</v>
      </c>
      <c r="H278" s="579">
        <f t="shared" si="86"/>
        <v>0</v>
      </c>
      <c r="I278" s="580">
        <f t="shared" si="81"/>
        <v>401829.1078</v>
      </c>
      <c r="J278" s="5" t="str">
        <f t="shared" si="82"/>
        <v>No</v>
      </c>
      <c r="K278" s="581">
        <f t="shared" si="83"/>
        <v>0</v>
      </c>
      <c r="L278" s="242" t="s">
        <v>454</v>
      </c>
      <c r="M278" s="258" t="s">
        <v>513</v>
      </c>
      <c r="N278" s="128">
        <f>N263</f>
        <v>1</v>
      </c>
      <c r="O278" s="128">
        <f t="shared" ref="O278:P278" si="93">O259</f>
        <v>0.5</v>
      </c>
      <c r="P278" s="128">
        <f t="shared" si="93"/>
        <v>0.6</v>
      </c>
      <c r="Q278" s="128">
        <f>Q263</f>
        <v>1</v>
      </c>
      <c r="R278" s="128">
        <f>R259</f>
        <v>1</v>
      </c>
      <c r="S278" s="5"/>
      <c r="T278" s="5"/>
      <c r="U278" s="5"/>
      <c r="V278" s="435">
        <f t="shared" si="87"/>
        <v>0</v>
      </c>
      <c r="W278" s="5">
        <f t="shared" si="88"/>
        <v>1</v>
      </c>
      <c r="X278" s="8" t="b">
        <f t="shared" si="89"/>
        <v>1</v>
      </c>
      <c r="Y278" s="583">
        <v>6094.0</v>
      </c>
      <c r="Z278" s="587"/>
      <c r="AA278" s="587"/>
      <c r="AB278" s="587"/>
      <c r="AC278" s="587"/>
      <c r="AD278" s="587"/>
      <c r="AE278" s="587"/>
      <c r="AF278" s="587"/>
      <c r="AG278" s="587"/>
      <c r="AH278" s="587"/>
      <c r="AS278" s="301"/>
    </row>
    <row r="279">
      <c r="A279" s="118" t="str">
        <f>image("https://vignette.wikia.nocookie.net/tap-titans-2/images/8/82/Influential_Elixir.png/revision/latest?cb=20171024233723")</f>
        <v/>
      </c>
      <c r="B279" s="569" t="s">
        <v>1208</v>
      </c>
      <c r="C279" s="292"/>
      <c r="D279" s="118" t="str">
        <f t="shared" si="77"/>
        <v>Influential Elixir</v>
      </c>
      <c r="E279" s="576">
        <f t="shared" si="78"/>
        <v>39</v>
      </c>
      <c r="F279" s="577">
        <f t="shared" si="79"/>
        <v>685000000</v>
      </c>
      <c r="G279" s="578">
        <f t="shared" si="80"/>
        <v>0</v>
      </c>
      <c r="H279" s="579">
        <f t="shared" si="86"/>
        <v>0</v>
      </c>
      <c r="I279" s="580">
        <f t="shared" si="81"/>
        <v>140581175.8</v>
      </c>
      <c r="J279" s="5" t="str">
        <f t="shared" si="82"/>
        <v>No</v>
      </c>
      <c r="K279" s="581">
        <f t="shared" si="83"/>
        <v>0</v>
      </c>
      <c r="L279" s="149" t="s">
        <v>441</v>
      </c>
      <c r="M279" s="258" t="s">
        <v>554</v>
      </c>
      <c r="N279" s="128">
        <f t="shared" ref="N279:R279" si="94">N271+N261+N262+N283+N269+N260</f>
        <v>2.9</v>
      </c>
      <c r="O279" s="128">
        <f t="shared" si="94"/>
        <v>2.57</v>
      </c>
      <c r="P279" s="128">
        <f t="shared" si="94"/>
        <v>3.266666667</v>
      </c>
      <c r="Q279" s="128">
        <f t="shared" si="94"/>
        <v>3.566666667</v>
      </c>
      <c r="R279" s="128">
        <f t="shared" si="94"/>
        <v>1.9</v>
      </c>
      <c r="S279" s="5"/>
      <c r="T279" s="5"/>
      <c r="U279" s="5"/>
      <c r="V279" s="435">
        <f t="shared" si="87"/>
        <v>0</v>
      </c>
      <c r="W279" s="582">
        <f t="shared" si="88"/>
        <v>1</v>
      </c>
      <c r="X279" s="8" t="b">
        <f t="shared" si="89"/>
        <v>1</v>
      </c>
      <c r="Y279" s="583">
        <v>8363.0</v>
      </c>
      <c r="AS279" s="301"/>
    </row>
    <row r="280">
      <c r="A280" s="281" t="str">
        <f>image("https://vignette.wikia.nocookie.net/tap-titans-2/images/c/cf/O%27Ryan%27s_Charm.png/revision/latest?cb=20171206185808")</f>
        <v/>
      </c>
      <c r="B280" s="569" t="s">
        <v>1209</v>
      </c>
      <c r="C280" s="292"/>
      <c r="D280" s="118" t="str">
        <f t="shared" si="77"/>
        <v>O'Ryan's Charm</v>
      </c>
      <c r="E280" s="576">
        <f t="shared" si="78"/>
        <v>38</v>
      </c>
      <c r="F280" s="577">
        <f t="shared" si="79"/>
        <v>302000000</v>
      </c>
      <c r="G280" s="578">
        <f t="shared" si="80"/>
        <v>0</v>
      </c>
      <c r="H280" s="579">
        <f t="shared" si="86"/>
        <v>0</v>
      </c>
      <c r="I280" s="580">
        <f t="shared" si="81"/>
        <v>42884189.67</v>
      </c>
      <c r="J280" s="5" t="str">
        <f t="shared" si="82"/>
        <v>No</v>
      </c>
      <c r="K280" s="581">
        <f t="shared" si="83"/>
        <v>0</v>
      </c>
      <c r="L280" s="253" t="s">
        <v>459</v>
      </c>
      <c r="M280" s="258" t="s">
        <v>562</v>
      </c>
      <c r="N280" s="210">
        <v>0.0</v>
      </c>
      <c r="O280" s="210">
        <v>1.0</v>
      </c>
      <c r="P280" s="210">
        <v>1.0</v>
      </c>
      <c r="Q280" s="210">
        <v>0.0</v>
      </c>
      <c r="R280" s="210">
        <v>1.0</v>
      </c>
      <c r="S280" s="5"/>
      <c r="T280" s="5"/>
      <c r="U280" s="5"/>
      <c r="V280" s="435">
        <f t="shared" si="87"/>
        <v>0</v>
      </c>
      <c r="W280" s="582">
        <f t="shared" si="88"/>
        <v>42884189.67</v>
      </c>
      <c r="X280" s="8" t="b">
        <f t="shared" si="89"/>
        <v>1</v>
      </c>
      <c r="Y280" s="583">
        <v>11454.0</v>
      </c>
      <c r="AS280" s="301"/>
    </row>
    <row r="281">
      <c r="A281" s="118" t="str">
        <f>image("https://vignette.wikia.nocookie.net/tap-titans-2/images/7/7b/Heart_of_Storms.png/revision/latest?cb=20171024223024")</f>
        <v/>
      </c>
      <c r="B281" s="569" t="s">
        <v>1210</v>
      </c>
      <c r="C281" s="292"/>
      <c r="D281" s="118" t="str">
        <f t="shared" si="77"/>
        <v>Heart of Storms</v>
      </c>
      <c r="E281" s="576">
        <f t="shared" si="78"/>
        <v>8</v>
      </c>
      <c r="F281" s="577">
        <f t="shared" si="79"/>
        <v>50480000</v>
      </c>
      <c r="G281" s="578">
        <f t="shared" si="80"/>
        <v>0</v>
      </c>
      <c r="H281" s="579">
        <f t="shared" si="86"/>
        <v>0</v>
      </c>
      <c r="I281" s="580">
        <f t="shared" si="81"/>
        <v>273532.2957</v>
      </c>
      <c r="J281" s="5" t="str">
        <f t="shared" si="82"/>
        <v>No</v>
      </c>
      <c r="K281" s="581">
        <f t="shared" si="83"/>
        <v>6</v>
      </c>
      <c r="L281" s="258" t="s">
        <v>465</v>
      </c>
      <c r="M281" s="5" t="s">
        <v>570</v>
      </c>
      <c r="N281" s="5">
        <v>0.2</v>
      </c>
      <c r="O281" s="5">
        <v>0.2</v>
      </c>
      <c r="P281" s="5">
        <v>0.2</v>
      </c>
      <c r="Q281" s="5">
        <v>0.2</v>
      </c>
      <c r="R281">
        <v>0.2</v>
      </c>
      <c r="S281" s="5"/>
      <c r="T281" s="5"/>
      <c r="U281" s="5"/>
      <c r="V281" s="435">
        <f t="shared" si="87"/>
        <v>0</v>
      </c>
      <c r="W281" s="582">
        <f t="shared" si="88"/>
        <v>273532.2957</v>
      </c>
      <c r="X281" s="8" t="b">
        <f t="shared" si="89"/>
        <v>1</v>
      </c>
      <c r="Y281" s="583">
        <v>15657.0</v>
      </c>
      <c r="AS281" s="301"/>
    </row>
    <row r="282">
      <c r="A282" s="118" t="str">
        <f>image("https://vignette.wikia.nocookie.net/tap-titans-2/images/7/74/Apollo_Orb.png/revision/latest?cb=20171117220833")</f>
        <v/>
      </c>
      <c r="B282" s="569" t="s">
        <v>1211</v>
      </c>
      <c r="C282" s="292"/>
      <c r="D282" s="118" t="str">
        <f t="shared" si="77"/>
        <v>Apollo Orb</v>
      </c>
      <c r="E282" s="576">
        <f t="shared" si="78"/>
        <v>18</v>
      </c>
      <c r="F282" s="577">
        <f t="shared" si="79"/>
        <v>36000000</v>
      </c>
      <c r="G282" s="578">
        <f t="shared" si="80"/>
        <v>0</v>
      </c>
      <c r="H282" s="579">
        <f t="shared" si="86"/>
        <v>0</v>
      </c>
      <c r="I282" s="580">
        <f t="shared" si="81"/>
        <v>761685.9649</v>
      </c>
      <c r="J282" s="5" t="str">
        <f t="shared" si="82"/>
        <v>No</v>
      </c>
      <c r="K282" s="581">
        <f t="shared" si="83"/>
        <v>1.58</v>
      </c>
      <c r="L282" s="258" t="s">
        <v>469</v>
      </c>
      <c r="M282" s="586" t="s">
        <v>383</v>
      </c>
      <c r="N282" s="586">
        <v>3.2</v>
      </c>
      <c r="O282" s="586">
        <v>3.2</v>
      </c>
      <c r="P282" s="586">
        <v>3.2</v>
      </c>
      <c r="Q282" s="586">
        <v>3.2</v>
      </c>
      <c r="R282" s="586">
        <v>3.2</v>
      </c>
      <c r="S282" s="5"/>
      <c r="T282" s="5"/>
      <c r="U282" s="5"/>
      <c r="V282" s="435">
        <f t="shared" si="87"/>
        <v>0</v>
      </c>
      <c r="W282" s="5">
        <f t="shared" ref="W282:W289" si="95">IF(AND(K284&lt;&gt;0,(X282^K284)), B115, 1)</f>
        <v>1</v>
      </c>
      <c r="X282" s="8" t="b">
        <f t="shared" ref="X282:X297" si="96">N200</f>
        <v>0</v>
      </c>
      <c r="Y282" s="583">
        <v>21365.0</v>
      </c>
      <c r="AS282" s="301"/>
    </row>
    <row r="283">
      <c r="A283" s="118" t="str">
        <f>image("https://vignette.wikia.nocookie.net/tap-titans-2/images/1/12/Earrings_of_Portara.png/revision/latest?cb=20180406183721")</f>
        <v/>
      </c>
      <c r="B283" s="569" t="s">
        <v>1212</v>
      </c>
      <c r="C283" s="292"/>
      <c r="D283" s="118" t="str">
        <f t="shared" si="77"/>
        <v>Earrings of Portara</v>
      </c>
      <c r="E283" s="576">
        <f t="shared" si="78"/>
        <v>37</v>
      </c>
      <c r="F283" s="577">
        <f t="shared" si="79"/>
        <v>45000000</v>
      </c>
      <c r="G283" s="578">
        <f t="shared" si="80"/>
        <v>0</v>
      </c>
      <c r="H283" s="579">
        <f t="shared" si="86"/>
        <v>0</v>
      </c>
      <c r="I283" s="580">
        <f t="shared" si="81"/>
        <v>1426933.855</v>
      </c>
      <c r="J283" s="5" t="str">
        <f t="shared" si="82"/>
        <v>Yes</v>
      </c>
      <c r="K283" s="581">
        <f t="shared" si="83"/>
        <v>1</v>
      </c>
      <c r="L283" s="589" t="s">
        <v>587</v>
      </c>
      <c r="M283" s="586" t="s">
        <v>575</v>
      </c>
      <c r="N283" s="586">
        <v>0.4</v>
      </c>
      <c r="O283" s="586">
        <v>0.4</v>
      </c>
      <c r="P283" s="586">
        <v>0.4</v>
      </c>
      <c r="Q283" s="586">
        <v>0.4</v>
      </c>
      <c r="R283" s="586">
        <v>0.4</v>
      </c>
      <c r="S283" s="5"/>
      <c r="T283" s="5"/>
      <c r="U283" s="5"/>
      <c r="V283" s="435">
        <f t="shared" si="87"/>
        <v>0</v>
      </c>
      <c r="W283" s="5">
        <f t="shared" si="95"/>
        <v>1</v>
      </c>
      <c r="X283" s="8" t="b">
        <f t="shared" si="96"/>
        <v>0</v>
      </c>
      <c r="Y283" s="583">
        <v>29108.0</v>
      </c>
      <c r="AS283" s="301"/>
    </row>
    <row r="284">
      <c r="A284" s="118" t="str">
        <f>image("https://vignette.wikia.nocookie.net/tap-titans-2/images/1/10/Avian_Feather.png/revision/latest?cb=20171024233625")</f>
        <v/>
      </c>
      <c r="B284" s="569" t="s">
        <v>1213</v>
      </c>
      <c r="C284" s="292"/>
      <c r="D284" s="118" t="str">
        <f t="shared" si="77"/>
        <v>Avian Feather</v>
      </c>
      <c r="E284" s="576">
        <f t="shared" si="78"/>
        <v>36</v>
      </c>
      <c r="F284" s="577">
        <f t="shared" si="79"/>
        <v>120</v>
      </c>
      <c r="G284" s="578">
        <f t="shared" si="80"/>
        <v>0</v>
      </c>
      <c r="H284" s="579">
        <f t="shared" si="86"/>
        <v>0</v>
      </c>
      <c r="I284" s="580">
        <f t="shared" si="81"/>
        <v>61.00000241</v>
      </c>
      <c r="J284" s="5" t="str">
        <f t="shared" si="82"/>
        <v>Yes</v>
      </c>
      <c r="K284" s="581">
        <f t="shared" si="83"/>
        <v>1</v>
      </c>
      <c r="L284" s="4" t="s">
        <v>332</v>
      </c>
      <c r="M284" s="258" t="s">
        <v>579</v>
      </c>
      <c r="N284" s="294">
        <f t="shared" ref="N284:R284" si="97">max(N278,N277,N280,N265)</f>
        <v>1</v>
      </c>
      <c r="O284" s="294">
        <f t="shared" si="97"/>
        <v>1</v>
      </c>
      <c r="P284" s="294">
        <f t="shared" si="97"/>
        <v>1</v>
      </c>
      <c r="Q284" s="294">
        <f t="shared" si="97"/>
        <v>1</v>
      </c>
      <c r="R284" s="294">
        <f t="shared" si="97"/>
        <v>1</v>
      </c>
      <c r="S284" s="5"/>
      <c r="T284" s="5"/>
      <c r="U284" s="5"/>
      <c r="V284" s="435">
        <f t="shared" si="87"/>
        <v>0</v>
      </c>
      <c r="W284" s="5">
        <f t="shared" si="95"/>
        <v>1</v>
      </c>
      <c r="X284" s="8" t="b">
        <f t="shared" si="96"/>
        <v>0</v>
      </c>
      <c r="Y284" s="583">
        <v>39599.0</v>
      </c>
      <c r="AS284" s="301"/>
    </row>
    <row r="285">
      <c r="A285" s="118" t="str">
        <f>image("https://vignette.wikia.nocookie.net/tap-titans-2/images/e/ed/Corrupted_Rune_Heart.png/revision/latest?cb=20171117212027")</f>
        <v/>
      </c>
      <c r="B285" s="569" t="s">
        <v>1214</v>
      </c>
      <c r="C285" s="590" t="s">
        <v>1215</v>
      </c>
      <c r="D285" s="118" t="str">
        <f t="shared" si="77"/>
        <v>Corrupted Rune Heart</v>
      </c>
      <c r="E285" s="576">
        <f t="shared" si="78"/>
        <v>35</v>
      </c>
      <c r="F285" s="577">
        <f t="shared" si="79"/>
        <v>600000</v>
      </c>
      <c r="G285" s="578">
        <f t="shared" si="80"/>
        <v>0</v>
      </c>
      <c r="H285" s="579">
        <f t="shared" si="86"/>
        <v>0</v>
      </c>
      <c r="I285" s="580">
        <f t="shared" si="81"/>
        <v>151.0838412</v>
      </c>
      <c r="J285" s="5" t="str">
        <f t="shared" si="82"/>
        <v>Yes</v>
      </c>
      <c r="K285" s="581">
        <f t="shared" si="83"/>
        <v>0.2</v>
      </c>
      <c r="L285" s="4" t="s">
        <v>570</v>
      </c>
      <c r="M285" s="258" t="s">
        <v>583</v>
      </c>
      <c r="N285" s="5">
        <f t="shared" ref="N285:R285" si="98">MAX(N280,N278,N277)</f>
        <v>1</v>
      </c>
      <c r="O285" s="5">
        <f t="shared" si="98"/>
        <v>1</v>
      </c>
      <c r="P285" s="5">
        <f t="shared" si="98"/>
        <v>1</v>
      </c>
      <c r="Q285" s="5">
        <f t="shared" si="98"/>
        <v>1</v>
      </c>
      <c r="R285" s="5">
        <f t="shared" si="98"/>
        <v>1</v>
      </c>
      <c r="S285" s="5"/>
      <c r="T285" s="5"/>
      <c r="U285" s="5"/>
      <c r="V285" s="435">
        <f t="shared" si="87"/>
        <v>0</v>
      </c>
      <c r="W285" s="582">
        <f t="shared" si="95"/>
        <v>151.0838412</v>
      </c>
      <c r="X285" s="8" t="b">
        <f t="shared" si="96"/>
        <v>1</v>
      </c>
      <c r="Y285" s="583">
        <v>53796.0</v>
      </c>
      <c r="AS285" s="301"/>
    </row>
    <row r="286">
      <c r="A286" s="118" t="str">
        <f>image("https://vignette.wikia.nocookie.net/tap-titans-2/images/2/24/Durendal_Sword.png/revision/latest?cb=20171117220636")</f>
        <v/>
      </c>
      <c r="B286" s="569" t="s">
        <v>1216</v>
      </c>
      <c r="C286" s="292"/>
      <c r="D286" s="118" t="str">
        <f t="shared" si="77"/>
        <v>Durendal Sword</v>
      </c>
      <c r="E286" s="576">
        <f t="shared" si="78"/>
        <v>34</v>
      </c>
      <c r="F286" s="577">
        <f t="shared" si="79"/>
        <v>500000</v>
      </c>
      <c r="G286" s="578">
        <f t="shared" si="80"/>
        <v>0</v>
      </c>
      <c r="H286" s="579">
        <f t="shared" si="86"/>
        <v>0</v>
      </c>
      <c r="I286" s="580">
        <f t="shared" si="81"/>
        <v>120060.0641</v>
      </c>
      <c r="J286" s="5" t="str">
        <f t="shared" si="82"/>
        <v>Yes</v>
      </c>
      <c r="K286" s="581">
        <f t="shared" si="83"/>
        <v>0.2</v>
      </c>
      <c r="L286" s="4" t="s">
        <v>570</v>
      </c>
      <c r="M286" s="258" t="s">
        <v>587</v>
      </c>
      <c r="N286" s="586">
        <f t="shared" ref="N286:R286" si="99">IF($I$3="offline",2,1)</f>
        <v>1</v>
      </c>
      <c r="O286" s="586">
        <f t="shared" si="99"/>
        <v>1</v>
      </c>
      <c r="P286" s="586">
        <f t="shared" si="99"/>
        <v>1</v>
      </c>
      <c r="Q286" s="586">
        <f t="shared" si="99"/>
        <v>1</v>
      </c>
      <c r="R286" s="586">
        <f t="shared" si="99"/>
        <v>1</v>
      </c>
      <c r="S286" s="5"/>
      <c r="T286" s="5"/>
      <c r="U286" s="5"/>
      <c r="V286" s="435">
        <f t="shared" si="87"/>
        <v>0</v>
      </c>
      <c r="W286" s="582">
        <f t="shared" si="95"/>
        <v>1</v>
      </c>
      <c r="X286" s="8" t="b">
        <f t="shared" si="96"/>
        <v>0</v>
      </c>
      <c r="Y286" s="583">
        <v>72990.0</v>
      </c>
      <c r="AS286" s="301"/>
    </row>
    <row r="287">
      <c r="A287" s="118" t="str">
        <f>image("https://vignette.wikia.nocookie.net/tap-titans-2/images/3/3d/Helheim_Skull.png/revision/latest?cb=20171117215841")</f>
        <v/>
      </c>
      <c r="B287" s="569" t="s">
        <v>1217</v>
      </c>
      <c r="C287" s="292"/>
      <c r="D287" s="118" t="str">
        <f t="shared" si="77"/>
        <v>Helheim Skull</v>
      </c>
      <c r="E287" s="576">
        <f t="shared" si="78"/>
        <v>12</v>
      </c>
      <c r="F287" s="577">
        <f t="shared" si="79"/>
        <v>86720000</v>
      </c>
      <c r="G287" s="578">
        <f t="shared" si="80"/>
        <v>0</v>
      </c>
      <c r="H287" s="579">
        <f t="shared" si="86"/>
        <v>0</v>
      </c>
      <c r="I287" s="580">
        <f t="shared" si="81"/>
        <v>11715565.7</v>
      </c>
      <c r="J287" s="5" t="str">
        <f t="shared" si="82"/>
        <v>No</v>
      </c>
      <c r="K287" s="581">
        <f t="shared" si="83"/>
        <v>1</v>
      </c>
      <c r="L287" s="4" t="s">
        <v>332</v>
      </c>
      <c r="M287" s="258" t="s">
        <v>411</v>
      </c>
      <c r="N287" s="586">
        <f t="shared" ref="N287:R287" si="100">IF($I$3="offline",2*0.79,0.79)</f>
        <v>0.79</v>
      </c>
      <c r="O287" s="586">
        <f t="shared" si="100"/>
        <v>0.79</v>
      </c>
      <c r="P287" s="586">
        <f t="shared" si="100"/>
        <v>0.79</v>
      </c>
      <c r="Q287" s="586">
        <f t="shared" si="100"/>
        <v>0.79</v>
      </c>
      <c r="R287" s="586">
        <f t="shared" si="100"/>
        <v>0.79</v>
      </c>
      <c r="S287" s="5"/>
      <c r="T287" s="5"/>
      <c r="U287" s="5"/>
      <c r="V287" s="435">
        <f t="shared" si="87"/>
        <v>0</v>
      </c>
      <c r="W287" s="582">
        <f t="shared" si="95"/>
        <v>1</v>
      </c>
      <c r="X287" s="8" t="b">
        <f t="shared" si="96"/>
        <v>0</v>
      </c>
      <c r="Y287" s="583">
        <v>98914.0</v>
      </c>
      <c r="AS287" s="301"/>
    </row>
    <row r="288">
      <c r="A288" s="1" t="str">
        <f>image("https://i.imgur.com/1ea8UXR.png")</f>
        <v/>
      </c>
      <c r="C288" s="292"/>
      <c r="D288" s="118" t="str">
        <f t="shared" si="77"/>
        <v>Oath's Burden</v>
      </c>
      <c r="E288" s="576">
        <f t="shared" si="78"/>
        <v>33</v>
      </c>
      <c r="F288" s="577">
        <f t="shared" si="79"/>
        <v>1000000</v>
      </c>
      <c r="G288" s="578">
        <f t="shared" si="80"/>
        <v>0</v>
      </c>
      <c r="H288" s="579">
        <f t="shared" si="86"/>
        <v>0</v>
      </c>
      <c r="I288" s="580">
        <f t="shared" si="81"/>
        <v>20025.88227</v>
      </c>
      <c r="J288" s="5" t="str">
        <f t="shared" si="82"/>
        <v>Yes</v>
      </c>
      <c r="K288" s="581">
        <f t="shared" si="83"/>
        <v>2</v>
      </c>
      <c r="L288" s="258" t="s">
        <v>602</v>
      </c>
      <c r="M288" s="258" t="s">
        <v>597</v>
      </c>
      <c r="N288" s="294">
        <f t="shared" ref="N288:R288" si="101">N259+N270+N261</f>
        <v>1.5</v>
      </c>
      <c r="O288" s="294">
        <f t="shared" si="101"/>
        <v>1</v>
      </c>
      <c r="P288" s="294">
        <f t="shared" si="101"/>
        <v>1.266666667</v>
      </c>
      <c r="Q288" s="294">
        <f t="shared" si="101"/>
        <v>1</v>
      </c>
      <c r="R288" s="294">
        <f t="shared" si="101"/>
        <v>3</v>
      </c>
      <c r="S288" s="5"/>
      <c r="T288" s="5"/>
      <c r="U288" s="5"/>
      <c r="V288" s="435">
        <f t="shared" si="87"/>
        <v>0</v>
      </c>
      <c r="W288" s="582">
        <f t="shared" si="95"/>
        <v>1</v>
      </c>
      <c r="X288" s="8" t="b">
        <f t="shared" si="96"/>
        <v>0</v>
      </c>
      <c r="Y288" s="583">
        <v>133000.0</v>
      </c>
      <c r="Z288" s="584"/>
      <c r="AA288" s="584"/>
      <c r="AB288" s="584"/>
      <c r="AC288" s="584"/>
      <c r="AD288" s="584"/>
      <c r="AE288" s="584"/>
      <c r="AF288" s="584"/>
      <c r="AG288" s="584"/>
      <c r="AH288" s="584"/>
      <c r="AS288" s="301"/>
    </row>
    <row r="289">
      <c r="A289" s="1" t="str">
        <f>image("https://i.imgur.com/zzZXk82.png")</f>
        <v/>
      </c>
      <c r="C289" s="292"/>
      <c r="D289" s="118" t="str">
        <f t="shared" si="77"/>
        <v>Crown of the Constellation</v>
      </c>
      <c r="E289" s="576">
        <f t="shared" si="78"/>
        <v>32</v>
      </c>
      <c r="F289" s="577">
        <f t="shared" si="79"/>
        <v>1000000</v>
      </c>
      <c r="G289" s="578">
        <f t="shared" si="80"/>
        <v>0</v>
      </c>
      <c r="H289" s="579">
        <f t="shared" si="86"/>
        <v>0</v>
      </c>
      <c r="I289" s="580">
        <f t="shared" si="81"/>
        <v>20025.88227</v>
      </c>
      <c r="J289" s="5" t="str">
        <f t="shared" si="82"/>
        <v>Yes</v>
      </c>
      <c r="K289" s="581">
        <f t="shared" si="83"/>
        <v>1</v>
      </c>
      <c r="L289" s="258" t="s">
        <v>597</v>
      </c>
      <c r="M289" s="258" t="s">
        <v>602</v>
      </c>
      <c r="N289" s="294">
        <f t="shared" ref="N289:R289" si="102">N258+N272+N262</f>
        <v>2</v>
      </c>
      <c r="O289" s="294">
        <f t="shared" si="102"/>
        <v>3</v>
      </c>
      <c r="P289" s="294">
        <f t="shared" si="102"/>
        <v>1.2</v>
      </c>
      <c r="Q289" s="294">
        <f t="shared" si="102"/>
        <v>2</v>
      </c>
      <c r="R289" s="294">
        <f t="shared" si="102"/>
        <v>0</v>
      </c>
      <c r="S289" s="5"/>
      <c r="T289" s="5"/>
      <c r="U289" s="5"/>
      <c r="V289" s="435">
        <f t="shared" si="87"/>
        <v>0</v>
      </c>
      <c r="W289" s="582">
        <f t="shared" si="95"/>
        <v>20025.88227</v>
      </c>
      <c r="X289" s="8" t="b">
        <f t="shared" si="96"/>
        <v>1</v>
      </c>
      <c r="Y289" s="583">
        <v>181000.0</v>
      </c>
      <c r="AS289" s="301"/>
    </row>
    <row r="290">
      <c r="A290" s="1" t="str">
        <f>image("https://i.imgur.com/cI4MhAI.png")</f>
        <v/>
      </c>
      <c r="C290" s="292"/>
      <c r="D290" s="118" t="str">
        <f t="shared" si="77"/>
        <v>Titania's Sceptre</v>
      </c>
      <c r="E290" s="576">
        <f t="shared" si="78"/>
        <v>31</v>
      </c>
      <c r="F290" s="577">
        <f t="shared" si="79"/>
        <v>1000000</v>
      </c>
      <c r="G290" s="578">
        <f t="shared" si="80"/>
        <v>0</v>
      </c>
      <c r="H290" s="579">
        <f t="shared" si="86"/>
        <v>0</v>
      </c>
      <c r="I290" s="580">
        <f t="shared" si="81"/>
        <v>20025.88227</v>
      </c>
      <c r="J290" s="5" t="str">
        <f t="shared" si="82"/>
        <v>Yes</v>
      </c>
      <c r="K290" s="581">
        <f t="shared" si="83"/>
        <v>1.4</v>
      </c>
      <c r="L290" s="258" t="s">
        <v>608</v>
      </c>
      <c r="M290" s="258" t="s">
        <v>608</v>
      </c>
      <c r="N290" s="5">
        <f t="shared" ref="N290:R290" si="103">N271+N269+N283</f>
        <v>0.4</v>
      </c>
      <c r="O290" s="5">
        <f t="shared" si="103"/>
        <v>0.4</v>
      </c>
      <c r="P290" s="5">
        <f t="shared" si="103"/>
        <v>1.4</v>
      </c>
      <c r="Q290" s="5">
        <f t="shared" si="103"/>
        <v>1.4</v>
      </c>
      <c r="R290" s="5">
        <f t="shared" si="103"/>
        <v>0.4</v>
      </c>
      <c r="S290" s="5"/>
      <c r="T290" s="5"/>
      <c r="U290" s="5"/>
      <c r="V290" s="435">
        <f t="shared" si="87"/>
        <v>0</v>
      </c>
      <c r="W290" s="582">
        <f t="shared" ref="W290:W297" si="105">IF(AND(K293&lt;&gt;0,(X290^K293)), B123, 1)</f>
        <v>20025.88227</v>
      </c>
      <c r="X290" s="8" t="b">
        <f t="shared" si="96"/>
        <v>1</v>
      </c>
      <c r="Y290" s="583">
        <v>244000.0</v>
      </c>
      <c r="AS290" s="301"/>
    </row>
    <row r="291">
      <c r="A291" s="1" t="str">
        <f>image("https://i.imgur.com/UgBikYr.png")</f>
        <v/>
      </c>
      <c r="C291" s="292"/>
      <c r="D291" s="118" t="str">
        <f t="shared" si="77"/>
        <v>Fagin's Grip</v>
      </c>
      <c r="E291" s="576">
        <f t="shared" si="78"/>
        <v>30</v>
      </c>
      <c r="F291" s="577">
        <f t="shared" si="79"/>
        <v>0.01</v>
      </c>
      <c r="G291" s="578">
        <f t="shared" si="80"/>
        <v>0</v>
      </c>
      <c r="H291" s="579">
        <f t="shared" si="86"/>
        <v>0</v>
      </c>
      <c r="I291" s="580">
        <f t="shared" si="81"/>
        <v>1.0002</v>
      </c>
      <c r="J291" s="5" t="str">
        <f t="shared" si="82"/>
        <v>No</v>
      </c>
      <c r="K291" s="581">
        <f t="shared" si="83"/>
        <v>0.6666666667</v>
      </c>
      <c r="L291" s="258" t="s">
        <v>615</v>
      </c>
      <c r="M291" s="258" t="s">
        <v>615</v>
      </c>
      <c r="N291" s="294">
        <f t="shared" ref="N291:R291" si="104">N260</f>
        <v>1</v>
      </c>
      <c r="O291" s="294">
        <f t="shared" si="104"/>
        <v>0.67</v>
      </c>
      <c r="P291" s="294">
        <f t="shared" si="104"/>
        <v>0.6</v>
      </c>
      <c r="Q291" s="294">
        <f t="shared" si="104"/>
        <v>0.6666666667</v>
      </c>
      <c r="R291" s="294">
        <f t="shared" si="104"/>
        <v>0.5</v>
      </c>
      <c r="S291" s="5"/>
      <c r="T291" s="5"/>
      <c r="U291" s="5"/>
      <c r="V291" s="435">
        <f t="shared" si="87"/>
        <v>0</v>
      </c>
      <c r="W291" s="582">
        <f t="shared" si="105"/>
        <v>1.0002</v>
      </c>
      <c r="X291" s="8" t="b">
        <f t="shared" si="96"/>
        <v>1</v>
      </c>
      <c r="Y291" s="583">
        <v>330000.0</v>
      </c>
      <c r="AS291" s="301"/>
    </row>
    <row r="292">
      <c r="A292" s="118" t="str">
        <f>image("https://vignette.wikia.nocookie.net/tap-titans-2/images/3/3e/Ring_of_Calisto.png/revision/latest?cb=20171117220740")</f>
        <v/>
      </c>
      <c r="B292" s="569" t="s">
        <v>1218</v>
      </c>
      <c r="C292" s="292"/>
      <c r="D292" s="118" t="str">
        <f t="shared" si="77"/>
        <v>Ring of Calisto</v>
      </c>
      <c r="E292" s="576">
        <f t="shared" si="78"/>
        <v>7</v>
      </c>
      <c r="F292" s="577">
        <f t="shared" si="79"/>
        <v>44980000</v>
      </c>
      <c r="G292" s="578">
        <f t="shared" si="80"/>
        <v>0</v>
      </c>
      <c r="H292" s="579">
        <f t="shared" si="86"/>
        <v>0</v>
      </c>
      <c r="I292" s="580">
        <f t="shared" si="81"/>
        <v>482990.7881</v>
      </c>
      <c r="J292" s="5" t="str">
        <f t="shared" si="82"/>
        <v>No</v>
      </c>
      <c r="K292" s="581">
        <f t="shared" si="83"/>
        <v>3.79</v>
      </c>
      <c r="L292" s="258" t="s">
        <v>474</v>
      </c>
      <c r="M292" s="5"/>
      <c r="N292" s="5"/>
      <c r="O292" s="5"/>
      <c r="P292" s="5"/>
      <c r="Q292" s="5"/>
      <c r="R292" s="5"/>
      <c r="S292" s="5"/>
      <c r="T292" s="5"/>
      <c r="U292" s="5"/>
      <c r="V292" s="435">
        <f t="shared" si="87"/>
        <v>0</v>
      </c>
      <c r="W292" s="582">
        <f t="shared" si="105"/>
        <v>482990.7881</v>
      </c>
      <c r="X292" s="8" t="b">
        <f t="shared" si="96"/>
        <v>1</v>
      </c>
      <c r="Y292" s="583">
        <v>445000.0</v>
      </c>
      <c r="AS292" s="301"/>
    </row>
    <row r="293">
      <c r="A293" s="118" t="str">
        <f>image("https://vignette.wikia.nocookie.net/tap-titans-2/images/8/85/Blade_of_Damocles.png/revision/latest?cb=20171025224428")</f>
        <v/>
      </c>
      <c r="B293" s="569" t="s">
        <v>1219</v>
      </c>
      <c r="C293" s="292"/>
      <c r="D293" s="118" t="str">
        <f t="shared" si="77"/>
        <v>Blade of Damocles</v>
      </c>
      <c r="E293" s="576">
        <f t="shared" si="78"/>
        <v>15</v>
      </c>
      <c r="F293" s="577">
        <f t="shared" si="79"/>
        <v>100000000</v>
      </c>
      <c r="G293" s="578">
        <f t="shared" si="80"/>
        <v>0</v>
      </c>
      <c r="H293" s="579">
        <f t="shared" si="86"/>
        <v>0</v>
      </c>
      <c r="I293" s="580">
        <f t="shared" si="81"/>
        <v>9180507.847</v>
      </c>
      <c r="J293" s="5" t="str">
        <f t="shared" si="82"/>
        <v>No</v>
      </c>
      <c r="K293" s="581">
        <f t="shared" si="83"/>
        <v>1</v>
      </c>
      <c r="L293" s="4" t="s">
        <v>332</v>
      </c>
      <c r="M293" s="5"/>
      <c r="N293" s="5"/>
      <c r="O293" s="5"/>
      <c r="P293" s="5"/>
      <c r="Q293" s="5"/>
      <c r="R293" s="5"/>
      <c r="S293" s="5"/>
      <c r="T293" s="5"/>
      <c r="U293" s="5"/>
      <c r="V293" s="435">
        <f t="shared" si="87"/>
        <v>0</v>
      </c>
      <c r="W293" s="582">
        <f t="shared" si="105"/>
        <v>9180507.847</v>
      </c>
      <c r="X293" s="8" t="b">
        <f t="shared" si="96"/>
        <v>1</v>
      </c>
      <c r="Y293" s="583">
        <v>599000.0</v>
      </c>
      <c r="AS293" s="301"/>
    </row>
    <row r="294">
      <c r="A294" s="118" t="str">
        <f>image("https://vignette.wikia.nocookie.net/tap-titans-2/images/6/6f/Helmet_of_Madness.png/revision/latest?cb=20170927235000")</f>
        <v/>
      </c>
      <c r="B294" s="569" t="s">
        <v>1220</v>
      </c>
      <c r="C294" s="591" t="s">
        <v>1221</v>
      </c>
      <c r="D294" s="118" t="str">
        <f t="shared" si="77"/>
        <v>Helmet of Madness</v>
      </c>
      <c r="E294" s="576">
        <f t="shared" si="78"/>
        <v>14</v>
      </c>
      <c r="F294" s="577">
        <f t="shared" si="79"/>
        <v>100000000</v>
      </c>
      <c r="G294" s="578">
        <f t="shared" si="80"/>
        <v>0</v>
      </c>
      <c r="H294" s="579">
        <f t="shared" si="86"/>
        <v>0</v>
      </c>
      <c r="I294" s="580">
        <f t="shared" si="81"/>
        <v>9180507.847</v>
      </c>
      <c r="J294" s="5" t="str">
        <f t="shared" si="82"/>
        <v>No</v>
      </c>
      <c r="K294" s="581">
        <f t="shared" si="83"/>
        <v>1</v>
      </c>
      <c r="L294" s="258" t="s">
        <v>513</v>
      </c>
      <c r="M294" s="5"/>
      <c r="N294" s="5"/>
      <c r="O294" s="5"/>
      <c r="P294" s="5"/>
      <c r="Q294" s="5"/>
      <c r="R294" s="5"/>
      <c r="S294" s="5"/>
      <c r="T294" s="5"/>
      <c r="U294" s="5"/>
      <c r="V294" s="435">
        <f t="shared" si="87"/>
        <v>0</v>
      </c>
      <c r="W294" s="5">
        <f t="shared" si="105"/>
        <v>1</v>
      </c>
      <c r="X294" s="8" t="b">
        <f t="shared" si="96"/>
        <v>1</v>
      </c>
      <c r="Y294" s="583">
        <v>807000.0</v>
      </c>
      <c r="AS294" s="301"/>
    </row>
    <row r="295">
      <c r="A295" s="118" t="str">
        <f>image("https://vignette.wikia.nocookie.net/tap-titans-2/images/7/73/Titanium_Plating.png/revision/latest?cb=20171024233750")</f>
        <v/>
      </c>
      <c r="B295" s="569" t="s">
        <v>1222</v>
      </c>
      <c r="C295" s="292"/>
      <c r="D295" s="118" t="str">
        <f t="shared" si="77"/>
        <v>Titanium Plating</v>
      </c>
      <c r="E295" s="576">
        <f t="shared" si="78"/>
        <v>22</v>
      </c>
      <c r="F295" s="577">
        <f t="shared" si="79"/>
        <v>100000000</v>
      </c>
      <c r="G295" s="578">
        <f t="shared" si="80"/>
        <v>0</v>
      </c>
      <c r="H295" s="579">
        <f t="shared" si="86"/>
        <v>0</v>
      </c>
      <c r="I295" s="580">
        <f t="shared" si="81"/>
        <v>9180507.847</v>
      </c>
      <c r="J295" s="5" t="str">
        <f t="shared" si="82"/>
        <v>No</v>
      </c>
      <c r="K295" s="581">
        <f t="shared" si="83"/>
        <v>0.79</v>
      </c>
      <c r="L295" s="116" t="s">
        <v>392</v>
      </c>
      <c r="M295" s="5"/>
      <c r="N295" s="5"/>
      <c r="O295" s="5"/>
      <c r="P295" s="5"/>
      <c r="Q295" s="5"/>
      <c r="R295" s="5"/>
      <c r="S295" s="5"/>
      <c r="T295" s="5"/>
      <c r="U295" s="5"/>
      <c r="V295" s="435">
        <f t="shared" si="87"/>
        <v>0</v>
      </c>
      <c r="W295" s="582">
        <f t="shared" si="105"/>
        <v>9180507.847</v>
      </c>
      <c r="X295" s="8" t="b">
        <f t="shared" si="96"/>
        <v>1</v>
      </c>
      <c r="Y295" s="583">
        <v>1080000.0</v>
      </c>
      <c r="AS295" s="301"/>
    </row>
    <row r="296">
      <c r="A296" s="118" t="str">
        <f>image("https://vignette.wikia.nocookie.net/tap-titans-2/images/1/1a/Moonlight_Bracelet.png/revision/latest?cb=20180525170728")</f>
        <v/>
      </c>
      <c r="B296" s="569" t="s">
        <v>1223</v>
      </c>
      <c r="C296" s="292"/>
      <c r="D296" s="118" t="str">
        <f t="shared" si="77"/>
        <v>Moonlight Bracelet</v>
      </c>
      <c r="E296" s="576">
        <f t="shared" si="78"/>
        <v>4</v>
      </c>
      <c r="F296" s="577">
        <f t="shared" si="79"/>
        <v>95000000</v>
      </c>
      <c r="G296" s="578">
        <f t="shared" si="80"/>
        <v>0</v>
      </c>
      <c r="H296" s="579">
        <f t="shared" si="86"/>
        <v>0</v>
      </c>
      <c r="I296" s="580">
        <f t="shared" si="81"/>
        <v>8658723.194</v>
      </c>
      <c r="J296" s="5" t="str">
        <f t="shared" si="82"/>
        <v>No</v>
      </c>
      <c r="K296" s="581">
        <f t="shared" si="83"/>
        <v>1</v>
      </c>
      <c r="L296" s="592" t="s">
        <v>583</v>
      </c>
      <c r="M296" s="5"/>
      <c r="N296" s="5"/>
      <c r="O296" s="5"/>
      <c r="P296" s="5"/>
      <c r="Q296" s="5"/>
      <c r="R296" s="5"/>
      <c r="S296" s="5"/>
      <c r="T296" s="5"/>
      <c r="U296" s="5"/>
      <c r="V296" s="435">
        <f t="shared" si="87"/>
        <v>0</v>
      </c>
      <c r="W296" s="582">
        <f t="shared" si="105"/>
        <v>8658723.194</v>
      </c>
      <c r="X296" s="8" t="b">
        <f t="shared" si="96"/>
        <v>1</v>
      </c>
      <c r="Y296" s="583">
        <v>1460000.0</v>
      </c>
      <c r="AS296" s="301"/>
    </row>
    <row r="297">
      <c r="A297" s="118" t="str">
        <f>image("https://vignette.wikia.nocookie.net/tap-titans-2/images/a/a1/Amethyst_Staff.png/revision/latest?cb=20171024233619")</f>
        <v/>
      </c>
      <c r="B297" s="569" t="s">
        <v>1224</v>
      </c>
      <c r="C297" s="292"/>
      <c r="D297" s="118" t="str">
        <f t="shared" si="77"/>
        <v>Amethyst Staff</v>
      </c>
      <c r="E297" s="576">
        <f t="shared" si="78"/>
        <v>29</v>
      </c>
      <c r="F297" s="577">
        <f t="shared" si="79"/>
        <v>85000000</v>
      </c>
      <c r="G297" s="578">
        <f t="shared" si="80"/>
        <v>0</v>
      </c>
      <c r="H297" s="579">
        <f t="shared" si="86"/>
        <v>0</v>
      </c>
      <c r="I297" s="580">
        <f t="shared" si="81"/>
        <v>7636580.005</v>
      </c>
      <c r="J297" s="5" t="str">
        <f t="shared" si="82"/>
        <v>No</v>
      </c>
      <c r="K297" s="581">
        <f t="shared" si="83"/>
        <v>0</v>
      </c>
      <c r="L297" s="258" t="s">
        <v>562</v>
      </c>
      <c r="M297" s="5"/>
      <c r="N297" s="5"/>
      <c r="O297" s="5"/>
      <c r="P297" s="5"/>
      <c r="Q297" s="5"/>
      <c r="R297" s="5"/>
      <c r="S297" s="5"/>
      <c r="T297" s="5"/>
      <c r="U297" s="5"/>
      <c r="V297" s="435">
        <f t="shared" si="87"/>
        <v>0</v>
      </c>
      <c r="W297" s="582">
        <f t="shared" si="105"/>
        <v>7636580.005</v>
      </c>
      <c r="X297" s="8" t="b">
        <f t="shared" si="96"/>
        <v>1</v>
      </c>
      <c r="Y297" s="583">
        <v>1960000.0</v>
      </c>
      <c r="AS297" s="301"/>
    </row>
    <row r="298">
      <c r="A298" s="118" t="str">
        <f>image("https://vignette.wikia.nocookie.net/tap-titans-2/images/d/dd/Invader%27s_Gjallarhorn.png/revision/latest?cb=20171024223345")</f>
        <v/>
      </c>
      <c r="B298" s="569" t="s">
        <v>1225</v>
      </c>
      <c r="C298" s="292"/>
      <c r="D298" s="118" t="str">
        <f t="shared" si="77"/>
        <v>Invader's Gjallarhorn</v>
      </c>
      <c r="E298" s="576">
        <f t="shared" si="78"/>
        <v>2</v>
      </c>
      <c r="F298" s="577">
        <f t="shared" si="79"/>
        <v>548000000</v>
      </c>
      <c r="G298" s="578">
        <f t="shared" si="80"/>
        <v>0</v>
      </c>
      <c r="H298" s="579">
        <f t="shared" si="86"/>
        <v>0</v>
      </c>
      <c r="I298" s="580">
        <f t="shared" si="81"/>
        <v>23881498.61</v>
      </c>
      <c r="J298" s="5" t="str">
        <f t="shared" si="82"/>
        <v>No</v>
      </c>
      <c r="K298" s="581">
        <f t="shared" si="83"/>
        <v>3.566666667</v>
      </c>
      <c r="L298" s="258" t="s">
        <v>554</v>
      </c>
      <c r="M298" s="5"/>
      <c r="N298" s="5"/>
      <c r="O298" s="5"/>
      <c r="P298" s="5"/>
      <c r="Q298" s="5"/>
      <c r="R298" s="5"/>
      <c r="S298" s="5"/>
      <c r="T298" s="5"/>
      <c r="U298" s="5"/>
      <c r="V298" s="435">
        <f t="shared" si="87"/>
        <v>0</v>
      </c>
      <c r="W298" s="5"/>
      <c r="Y298" s="583">
        <v>2800000.0</v>
      </c>
      <c r="Z298" s="584"/>
      <c r="AA298" s="584"/>
      <c r="AB298" s="584"/>
      <c r="AC298" s="584"/>
      <c r="AD298" s="584"/>
      <c r="AE298" s="584"/>
      <c r="AF298" s="584"/>
      <c r="AG298" s="584"/>
      <c r="AH298" s="584"/>
      <c r="AS298" s="301"/>
    </row>
    <row r="299">
      <c r="A299" s="118" t="str">
        <f>image("https://vignette.wikia.nocookie.net/tap-titans-2/images/5/55/Titan%27s_Mask.png/revision/latest?cb=20171024233742")</f>
        <v/>
      </c>
      <c r="B299" s="569" t="s">
        <v>1226</v>
      </c>
      <c r="C299" s="292"/>
      <c r="D299" s="118" t="str">
        <f t="shared" si="77"/>
        <v>Titan's Mask</v>
      </c>
      <c r="E299" s="576">
        <f t="shared" si="78"/>
        <v>19</v>
      </c>
      <c r="F299" s="577">
        <f t="shared" si="79"/>
        <v>845000000</v>
      </c>
      <c r="G299" s="578">
        <f t="shared" si="80"/>
        <v>0</v>
      </c>
      <c r="H299" s="579">
        <f t="shared" si="86"/>
        <v>0</v>
      </c>
      <c r="I299" s="580">
        <f t="shared" si="81"/>
        <v>275501895.8</v>
      </c>
      <c r="J299" s="5" t="str">
        <f t="shared" si="82"/>
        <v>No</v>
      </c>
      <c r="K299" s="581">
        <f t="shared" si="83"/>
        <v>1</v>
      </c>
      <c r="L299" s="229" t="s">
        <v>446</v>
      </c>
      <c r="M299" s="5"/>
      <c r="N299" s="5"/>
      <c r="O299" s="5"/>
      <c r="P299" s="5"/>
      <c r="Q299" s="5"/>
      <c r="R299" s="5"/>
      <c r="S299" s="5"/>
      <c r="T299" s="5"/>
      <c r="U299" s="5"/>
      <c r="V299" s="5"/>
      <c r="W299" s="5"/>
      <c r="Y299" s="583">
        <v>4270000.0</v>
      </c>
      <c r="AS299" s="301"/>
    </row>
    <row r="300">
      <c r="A300" s="118" t="str">
        <f>image("https://vignette.wikia.nocookie.net/tap-titans-2/images/1/1a/Royal_Toxin.png/revision/latest?cb=20171024234318")</f>
        <v/>
      </c>
      <c r="B300" s="569" t="s">
        <v>1227</v>
      </c>
      <c r="C300" s="292"/>
      <c r="D300" s="118" t="str">
        <f t="shared" si="77"/>
        <v>Royal Toxin</v>
      </c>
      <c r="E300" s="576">
        <f t="shared" si="78"/>
        <v>11</v>
      </c>
      <c r="F300" s="577">
        <f t="shared" si="79"/>
        <v>680000000</v>
      </c>
      <c r="G300" s="578">
        <f t="shared" si="80"/>
        <v>0</v>
      </c>
      <c r="H300" s="579">
        <f t="shared" si="86"/>
        <v>0</v>
      </c>
      <c r="I300" s="580">
        <f t="shared" si="81"/>
        <v>175137797.6</v>
      </c>
      <c r="J300" s="5" t="str">
        <f t="shared" si="82"/>
        <v>No</v>
      </c>
      <c r="K300" s="581">
        <f t="shared" si="83"/>
        <v>0.6666666667</v>
      </c>
      <c r="L300" s="165" t="s">
        <v>400</v>
      </c>
      <c r="M300" s="5"/>
      <c r="N300" s="5"/>
      <c r="O300" s="5"/>
      <c r="P300" s="5"/>
      <c r="Q300" s="5"/>
      <c r="R300" s="5"/>
      <c r="S300" s="5"/>
      <c r="T300" s="5"/>
      <c r="U300" s="5"/>
      <c r="V300" s="5"/>
      <c r="W300" s="5"/>
      <c r="Y300" s="583">
        <v>6540000.0</v>
      </c>
      <c r="AS300" s="301"/>
    </row>
    <row r="301">
      <c r="A301" s="118" t="str">
        <f>image("https://vignette.wikia.nocookie.net/tap-titans-2/images/5/5a/Laborer%27s_Pendant.png/revision/latest?cb=20171024233729")</f>
        <v/>
      </c>
      <c r="B301" s="569" t="s">
        <v>1228</v>
      </c>
      <c r="C301" s="292"/>
      <c r="D301" s="118" t="str">
        <f t="shared" si="77"/>
        <v>Laborer's Pendant</v>
      </c>
      <c r="E301" s="576">
        <f t="shared" si="78"/>
        <v>6</v>
      </c>
      <c r="F301" s="577">
        <f t="shared" si="79"/>
        <v>540000000</v>
      </c>
      <c r="G301" s="578">
        <f t="shared" si="80"/>
        <v>0</v>
      </c>
      <c r="H301" s="579">
        <f t="shared" si="86"/>
        <v>0</v>
      </c>
      <c r="I301" s="580">
        <f t="shared" si="81"/>
        <v>113884569.8</v>
      </c>
      <c r="J301" s="5" t="str">
        <f t="shared" si="82"/>
        <v>No</v>
      </c>
      <c r="K301" s="581">
        <f t="shared" si="83"/>
        <v>0.4</v>
      </c>
      <c r="L301" s="190" t="s">
        <v>575</v>
      </c>
      <c r="M301" s="5"/>
      <c r="N301" s="5"/>
      <c r="O301" s="5"/>
      <c r="P301" s="5"/>
      <c r="Q301" s="5"/>
      <c r="R301" s="5"/>
      <c r="S301" s="5"/>
      <c r="T301" s="5"/>
      <c r="U301" s="5"/>
      <c r="V301" s="5"/>
      <c r="W301" s="5"/>
      <c r="Y301" s="583">
        <v>1.008E7</v>
      </c>
      <c r="AS301" s="301"/>
    </row>
    <row r="302">
      <c r="A302" s="118" t="str">
        <f>image("https://vignette.wikia.nocookie.net/tap-titans-2/images/0/07/Bringer_of_Ragnarok.png/revision/latest?cb=20171024225626")</f>
        <v/>
      </c>
      <c r="B302" s="569" t="s">
        <v>1229</v>
      </c>
      <c r="C302" s="292"/>
      <c r="D302" s="118" t="str">
        <f t="shared" si="77"/>
        <v>Bringer of Ragnarok</v>
      </c>
      <c r="E302" s="576">
        <f t="shared" si="78"/>
        <v>3</v>
      </c>
      <c r="F302" s="577">
        <f t="shared" si="79"/>
        <v>750000000</v>
      </c>
      <c r="G302" s="578">
        <f t="shared" si="80"/>
        <v>0</v>
      </c>
      <c r="H302" s="579">
        <f t="shared" si="86"/>
        <v>0</v>
      </c>
      <c r="I302" s="580">
        <f t="shared" si="81"/>
        <v>213488209.5</v>
      </c>
      <c r="J302" s="5" t="str">
        <f t="shared" si="82"/>
        <v>No</v>
      </c>
      <c r="K302" s="581">
        <f t="shared" si="83"/>
        <v>1</v>
      </c>
      <c r="L302" s="176" t="s">
        <v>412</v>
      </c>
      <c r="M302" s="5"/>
      <c r="N302" s="5"/>
      <c r="O302" s="5"/>
      <c r="P302" s="5"/>
      <c r="Q302" s="5"/>
      <c r="R302" s="5"/>
      <c r="S302" s="5"/>
      <c r="T302" s="5"/>
      <c r="U302" s="5"/>
      <c r="V302" s="5"/>
      <c r="W302" s="5"/>
      <c r="Y302" s="583">
        <v>1.561E7</v>
      </c>
      <c r="AS302" s="301"/>
    </row>
    <row r="303">
      <c r="A303" s="118" t="str">
        <f>image("https://vignette.wikia.nocookie.net/tap-titans-2/images/9/92/Parchment_of_Foresight.png/revision/latest?cb=20171024233735")</f>
        <v/>
      </c>
      <c r="B303" s="569" t="s">
        <v>1230</v>
      </c>
      <c r="C303" s="593" t="s">
        <v>1231</v>
      </c>
      <c r="D303" s="118" t="str">
        <f t="shared" si="77"/>
        <v>Parchment of Foresight</v>
      </c>
      <c r="E303" s="576">
        <f t="shared" si="78"/>
        <v>21</v>
      </c>
      <c r="F303" s="577">
        <f t="shared" si="79"/>
        <v>670000000</v>
      </c>
      <c r="G303" s="578">
        <f t="shared" si="80"/>
        <v>0</v>
      </c>
      <c r="H303" s="579">
        <f t="shared" si="86"/>
        <v>0</v>
      </c>
      <c r="I303" s="580">
        <f t="shared" si="81"/>
        <v>170114352.7</v>
      </c>
      <c r="J303" s="5" t="str">
        <f t="shared" si="82"/>
        <v>No</v>
      </c>
      <c r="K303" s="581">
        <f t="shared" si="83"/>
        <v>0.5</v>
      </c>
      <c r="L303" s="149" t="s">
        <v>407</v>
      </c>
      <c r="M303" s="5"/>
      <c r="N303" s="5"/>
      <c r="O303" s="5"/>
      <c r="P303" s="5"/>
      <c r="Q303" s="5"/>
      <c r="R303" s="5"/>
      <c r="S303" s="5"/>
      <c r="T303" s="5"/>
      <c r="U303" s="5"/>
      <c r="V303" s="5"/>
      <c r="W303" s="5"/>
      <c r="Y303" s="583">
        <v>2.429E7</v>
      </c>
      <c r="AS303" s="301"/>
    </row>
    <row r="304">
      <c r="A304" s="118" t="str">
        <f>image("https://vignette.wikia.nocookie.net/tap-titans-2/images/a/a6/Elixir_of_Eden.png/revision/latest?cb=20171024233648")</f>
        <v/>
      </c>
      <c r="B304" s="569" t="s">
        <v>1232</v>
      </c>
      <c r="C304" s="292"/>
      <c r="D304" s="118" t="str">
        <f t="shared" si="77"/>
        <v>Elixir of Eden</v>
      </c>
      <c r="E304" s="576">
        <f t="shared" si="78"/>
        <v>28</v>
      </c>
      <c r="F304" s="577">
        <f t="shared" si="79"/>
        <v>70590000</v>
      </c>
      <c r="G304" s="578">
        <f t="shared" si="80"/>
        <v>0</v>
      </c>
      <c r="H304" s="579">
        <f t="shared" si="86"/>
        <v>0</v>
      </c>
      <c r="I304" s="580">
        <f t="shared" si="81"/>
        <v>7716686.986</v>
      </c>
      <c r="J304" s="5" t="str">
        <f t="shared" si="82"/>
        <v>No</v>
      </c>
      <c r="K304" s="581">
        <f t="shared" si="83"/>
        <v>0</v>
      </c>
      <c r="L304" s="208" t="s">
        <v>435</v>
      </c>
      <c r="M304" s="5"/>
      <c r="N304" s="5"/>
      <c r="O304" s="5"/>
      <c r="P304" s="5"/>
      <c r="Q304" s="5"/>
      <c r="R304" s="5"/>
      <c r="S304" s="5"/>
      <c r="T304" s="5"/>
      <c r="U304" s="5"/>
      <c r="V304" s="5"/>
      <c r="W304" s="5"/>
      <c r="Y304" s="583">
        <v>3.798E7</v>
      </c>
      <c r="AS304" s="301"/>
    </row>
    <row r="305">
      <c r="A305" s="281" t="str">
        <f>image("https://vignette.wikia.nocookie.net/tap-titans-2/images/1/16/Hourglass_of_the_Impatient.png/revision/latest?cb=20171206185750")</f>
        <v/>
      </c>
      <c r="B305" s="569" t="s">
        <v>1233</v>
      </c>
      <c r="C305" s="292"/>
      <c r="D305" s="118" t="str">
        <f t="shared" si="77"/>
        <v>Hourglass of the Impatient</v>
      </c>
      <c r="E305" s="576">
        <f t="shared" ref="E305:E335" si="106">IFERROR(RANK(H305,$H$258:$H$300,0)+COUNTIF($H$300:H305,H305)-1,99)</f>
        <v>99</v>
      </c>
      <c r="F305" s="577">
        <f t="shared" ref="F305:F335" si="107">B53</f>
        <v>40</v>
      </c>
      <c r="G305" s="578">
        <f t="shared" si="80"/>
        <v>40</v>
      </c>
      <c r="H305" s="579">
        <f t="shared" si="86"/>
        <v>0.000003139934397</v>
      </c>
      <c r="I305" s="580">
        <f t="shared" si="81"/>
        <v>1.8</v>
      </c>
      <c r="J305" s="5" t="str">
        <f t="shared" si="82"/>
        <v>No</v>
      </c>
      <c r="K305" s="581">
        <f t="shared" si="83"/>
        <v>1</v>
      </c>
      <c r="L305" s="4" t="s">
        <v>332</v>
      </c>
      <c r="M305" s="5"/>
      <c r="N305" s="5"/>
      <c r="O305" s="5"/>
      <c r="P305" s="5"/>
      <c r="Q305" s="5"/>
      <c r="R305" s="5"/>
      <c r="S305" s="5"/>
      <c r="T305" s="5"/>
      <c r="U305" s="5"/>
      <c r="V305" s="5"/>
      <c r="W305" s="5"/>
      <c r="Y305" s="583">
        <v>5.971E7</v>
      </c>
      <c r="AS305" s="301"/>
    </row>
    <row r="306">
      <c r="A306" s="118" t="str">
        <f>image("https://vignette.wikia.nocookie.net/tap-titans-2/images/7/75/Phantom_Timepiece.png/revision/latest?cb=20171024223340")</f>
        <v/>
      </c>
      <c r="B306" s="569" t="s">
        <v>1234</v>
      </c>
      <c r="C306" s="292"/>
      <c r="D306" s="118" t="str">
        <f t="shared" si="77"/>
        <v>Phantom Timepiece</v>
      </c>
      <c r="E306" s="576">
        <f t="shared" si="106"/>
        <v>99</v>
      </c>
      <c r="F306" s="577">
        <f t="shared" si="107"/>
        <v>30</v>
      </c>
      <c r="G306" s="578">
        <f t="shared" si="80"/>
        <v>30</v>
      </c>
      <c r="H306" s="579">
        <f t="shared" si="86"/>
        <v>0.000007364749119</v>
      </c>
      <c r="I306" s="580">
        <f t="shared" si="81"/>
        <v>31</v>
      </c>
      <c r="J306" s="5" t="str">
        <f t="shared" si="82"/>
        <v>No</v>
      </c>
      <c r="K306" s="581">
        <f t="shared" si="83"/>
        <v>1</v>
      </c>
      <c r="L306" s="4" t="s">
        <v>332</v>
      </c>
      <c r="M306" s="5"/>
      <c r="N306" s="5"/>
      <c r="O306" s="5"/>
      <c r="P306" s="5"/>
      <c r="Q306" s="5"/>
      <c r="R306" s="5"/>
      <c r="S306" s="5"/>
      <c r="T306" s="5"/>
      <c r="U306" s="5"/>
      <c r="V306" s="5"/>
      <c r="W306" s="5"/>
      <c r="Y306" s="583">
        <v>9.432E7</v>
      </c>
      <c r="AS306" s="301"/>
    </row>
    <row r="307">
      <c r="A307" s="118" t="str">
        <f>image("https://vignette.wikia.nocookie.net/tap-titans-2/images/5/5a/Forbidden_Scroll.png/revision/latest?cb=20171024232056")</f>
        <v/>
      </c>
      <c r="B307" s="569" t="s">
        <v>1235</v>
      </c>
      <c r="C307" s="292"/>
      <c r="D307" s="118" t="str">
        <f t="shared" si="77"/>
        <v>Forbidden Scroll</v>
      </c>
      <c r="E307" s="576">
        <f t="shared" si="106"/>
        <v>99</v>
      </c>
      <c r="F307" s="577">
        <f t="shared" si="107"/>
        <v>30</v>
      </c>
      <c r="G307" s="578">
        <f t="shared" si="80"/>
        <v>30</v>
      </c>
      <c r="H307" s="579">
        <f t="shared" si="86"/>
        <v>0.00009612444926</v>
      </c>
      <c r="I307" s="580">
        <f t="shared" si="81"/>
        <v>61</v>
      </c>
      <c r="J307" s="5" t="str">
        <f t="shared" si="82"/>
        <v>No</v>
      </c>
      <c r="K307" s="581">
        <f t="shared" si="83"/>
        <v>1</v>
      </c>
      <c r="L307" s="4" t="s">
        <v>332</v>
      </c>
      <c r="M307" s="5"/>
      <c r="N307" s="5"/>
      <c r="O307" s="5"/>
      <c r="P307" s="5"/>
      <c r="Q307" s="5"/>
      <c r="R307" s="5"/>
      <c r="S307" s="5"/>
      <c r="T307" s="5"/>
      <c r="U307" s="5"/>
      <c r="V307" s="5"/>
      <c r="W307" s="5"/>
      <c r="Y307" s="583">
        <v>1.4976E8</v>
      </c>
      <c r="AS307" s="301"/>
    </row>
    <row r="308">
      <c r="A308" s="118" t="str">
        <f>image("https://vignette.wikia.nocookie.net/tap-titans-2/images/7/74/Ring_of_Fealty.png/revision/latest?cb=20170927231949")</f>
        <v/>
      </c>
      <c r="B308" s="569" t="s">
        <v>1236</v>
      </c>
      <c r="C308" s="292"/>
      <c r="D308" s="118" t="str">
        <f t="shared" si="77"/>
        <v>Ring of Fealty</v>
      </c>
      <c r="E308" s="576">
        <f t="shared" si="106"/>
        <v>99</v>
      </c>
      <c r="F308" s="577">
        <f t="shared" si="107"/>
        <v>30</v>
      </c>
      <c r="G308" s="578">
        <f t="shared" si="80"/>
        <v>30</v>
      </c>
      <c r="H308" s="579">
        <f t="shared" si="86"/>
        <v>0.00009612444926</v>
      </c>
      <c r="I308" s="580">
        <f t="shared" si="81"/>
        <v>61</v>
      </c>
      <c r="J308" s="5" t="str">
        <f t="shared" si="82"/>
        <v>No</v>
      </c>
      <c r="K308" s="581">
        <f t="shared" si="83"/>
        <v>1</v>
      </c>
      <c r="L308" s="4" t="s">
        <v>332</v>
      </c>
      <c r="M308" s="5"/>
      <c r="N308" s="5"/>
      <c r="O308" s="5"/>
      <c r="P308" s="5"/>
      <c r="Q308" s="5"/>
      <c r="R308" s="5"/>
      <c r="S308" s="5"/>
      <c r="T308" s="5"/>
      <c r="U308" s="5"/>
      <c r="V308" s="5"/>
      <c r="W308" s="5"/>
      <c r="Y308" s="583">
        <v>2.3898E8</v>
      </c>
      <c r="Z308" s="584"/>
      <c r="AA308" s="584"/>
      <c r="AB308" s="584"/>
      <c r="AC308" s="584"/>
      <c r="AD308" s="584"/>
      <c r="AE308" s="584"/>
      <c r="AF308" s="584"/>
      <c r="AG308" s="584"/>
      <c r="AH308" s="584"/>
      <c r="AS308" s="301"/>
    </row>
    <row r="309">
      <c r="A309" s="118" t="str">
        <f>image("https://vignette.wikia.nocookie.net/tap-titans-2/images/9/9c/Glacial_Axe.png/revision/latest?cb=20171024232136")</f>
        <v/>
      </c>
      <c r="B309" s="569" t="s">
        <v>1237</v>
      </c>
      <c r="C309" s="292"/>
      <c r="D309" s="118" t="str">
        <f t="shared" si="77"/>
        <v>Glacial Axe</v>
      </c>
      <c r="E309" s="576">
        <f t="shared" si="106"/>
        <v>99</v>
      </c>
      <c r="F309" s="577">
        <f t="shared" si="107"/>
        <v>30</v>
      </c>
      <c r="G309" s="578">
        <f t="shared" si="80"/>
        <v>30</v>
      </c>
      <c r="H309" s="579">
        <f t="shared" si="86"/>
        <v>0.00009612444926</v>
      </c>
      <c r="I309" s="580">
        <f t="shared" si="81"/>
        <v>61</v>
      </c>
      <c r="J309" s="5" t="str">
        <f t="shared" si="82"/>
        <v>No</v>
      </c>
      <c r="K309" s="581">
        <f t="shared" si="83"/>
        <v>1</v>
      </c>
      <c r="L309" s="4" t="s">
        <v>332</v>
      </c>
      <c r="M309" s="5"/>
      <c r="N309" s="5"/>
      <c r="O309" s="5"/>
      <c r="P309" s="5"/>
      <c r="Q309" s="5"/>
      <c r="R309" s="5"/>
      <c r="S309" s="5"/>
      <c r="T309" s="5"/>
      <c r="U309" s="5"/>
      <c r="V309" s="5"/>
      <c r="W309" s="5"/>
      <c r="Y309" s="583">
        <v>3.8327E8</v>
      </c>
      <c r="AS309" s="301"/>
    </row>
    <row r="310">
      <c r="A310" s="118" t="str">
        <f>image("https://vignette.wikia.nocookie.net/tap-titans-2/images/e/e5/Aegis.png/revision/latest?cb=20171024230411")</f>
        <v/>
      </c>
      <c r="B310" s="569" t="s">
        <v>1238</v>
      </c>
      <c r="C310" s="292"/>
      <c r="D310" s="118" t="str">
        <f t="shared" si="77"/>
        <v>Aegis</v>
      </c>
      <c r="E310" s="576">
        <f t="shared" si="106"/>
        <v>99</v>
      </c>
      <c r="F310" s="577">
        <f t="shared" si="107"/>
        <v>30</v>
      </c>
      <c r="G310" s="578">
        <f t="shared" si="80"/>
        <v>30</v>
      </c>
      <c r="H310" s="579">
        <f t="shared" si="86"/>
        <v>0.00009612444926</v>
      </c>
      <c r="I310" s="580">
        <f t="shared" si="81"/>
        <v>61</v>
      </c>
      <c r="J310" s="5" t="str">
        <f t="shared" si="82"/>
        <v>No</v>
      </c>
      <c r="K310" s="581">
        <f t="shared" si="83"/>
        <v>1</v>
      </c>
      <c r="L310" s="4" t="s">
        <v>332</v>
      </c>
      <c r="M310" s="5"/>
      <c r="N310" s="5"/>
      <c r="O310" s="5"/>
      <c r="P310" s="5"/>
      <c r="Q310" s="5"/>
      <c r="R310" s="5"/>
      <c r="S310" s="5"/>
      <c r="T310" s="5"/>
      <c r="U310" s="5"/>
      <c r="V310" s="5"/>
      <c r="W310" s="5"/>
      <c r="Y310" s="583">
        <v>6.1778E8</v>
      </c>
      <c r="AS310" s="301"/>
    </row>
    <row r="311">
      <c r="A311" s="118" t="str">
        <f>image("https://vignette.wikia.nocookie.net/tap-titans-2/images/d/d5/Swamp_Gauntlet.png/revision/latest?cb=20171024225727")</f>
        <v/>
      </c>
      <c r="B311" s="569" t="s">
        <v>1239</v>
      </c>
      <c r="C311" s="292"/>
      <c r="D311" s="118" t="str">
        <f t="shared" si="77"/>
        <v>Swamp Gauntlet</v>
      </c>
      <c r="E311" s="576">
        <f t="shared" si="106"/>
        <v>99</v>
      </c>
      <c r="F311" s="577">
        <f t="shared" si="107"/>
        <v>30</v>
      </c>
      <c r="G311" s="578">
        <f t="shared" si="80"/>
        <v>30</v>
      </c>
      <c r="H311" s="579">
        <f t="shared" si="86"/>
        <v>0.00009612444926</v>
      </c>
      <c r="I311" s="580">
        <f t="shared" si="81"/>
        <v>61</v>
      </c>
      <c r="J311" s="5" t="str">
        <f t="shared" si="82"/>
        <v>No</v>
      </c>
      <c r="K311" s="581">
        <f t="shared" si="83"/>
        <v>1</v>
      </c>
      <c r="L311" s="4" t="s">
        <v>332</v>
      </c>
      <c r="M311" s="5"/>
      <c r="N311" s="5"/>
      <c r="O311" s="5"/>
      <c r="P311" s="5"/>
      <c r="Q311" s="5"/>
      <c r="R311" s="5"/>
      <c r="S311" s="5"/>
      <c r="T311" s="5"/>
      <c r="U311" s="5"/>
      <c r="V311" s="5"/>
      <c r="W311" s="5"/>
      <c r="Y311" s="583">
        <v>1.0E9</v>
      </c>
      <c r="AS311" s="301"/>
    </row>
    <row r="312">
      <c r="A312" s="118" t="str">
        <f>image("https://vignette.wikia.nocookie.net/tap-titans-2/images/2/2e/Infinity_Pendulum.png/revision/latest?cb=20171024232242")</f>
        <v/>
      </c>
      <c r="B312" s="569" t="s">
        <v>1240</v>
      </c>
      <c r="C312" s="594" t="s">
        <v>1241</v>
      </c>
      <c r="D312" s="118" t="str">
        <f t="shared" si="77"/>
        <v>Infinity Pendulum</v>
      </c>
      <c r="E312" s="576">
        <f t="shared" si="106"/>
        <v>99</v>
      </c>
      <c r="F312" s="577">
        <f t="shared" si="107"/>
        <v>20</v>
      </c>
      <c r="G312" s="578">
        <f t="shared" si="80"/>
        <v>20</v>
      </c>
      <c r="H312" s="579">
        <f t="shared" si="86"/>
        <v>0.0000550924707</v>
      </c>
      <c r="I312" s="580">
        <f t="shared" si="81"/>
        <v>21</v>
      </c>
      <c r="J312" s="5" t="str">
        <f t="shared" si="82"/>
        <v>No</v>
      </c>
      <c r="K312" s="581">
        <f t="shared" si="83"/>
        <v>1</v>
      </c>
      <c r="L312" s="4" t="s">
        <v>332</v>
      </c>
      <c r="M312" s="5"/>
      <c r="N312" s="5"/>
      <c r="O312" s="5"/>
      <c r="P312" s="5"/>
      <c r="Q312" s="5"/>
      <c r="R312" s="5"/>
      <c r="S312" s="5"/>
      <c r="T312" s="5"/>
      <c r="U312" s="5"/>
      <c r="V312" s="5"/>
      <c r="W312" s="5"/>
      <c r="Y312" s="583">
        <v>1.62E9</v>
      </c>
      <c r="AS312" s="301"/>
    </row>
    <row r="313">
      <c r="A313" s="118" t="str">
        <f>image("https://vignette.wikia.nocookie.net/tap-titans-2/images/a/a2/Glove_of_Kuma.png/revision/latest?cb=20171024232333")</f>
        <v/>
      </c>
      <c r="B313" s="569" t="s">
        <v>1242</v>
      </c>
      <c r="C313" s="292"/>
      <c r="D313" s="118" t="str">
        <f t="shared" si="77"/>
        <v>Glove of Kuma</v>
      </c>
      <c r="E313" s="576">
        <f t="shared" si="106"/>
        <v>99</v>
      </c>
      <c r="F313" s="577">
        <f t="shared" si="107"/>
        <v>30</v>
      </c>
      <c r="G313" s="578">
        <f t="shared" si="80"/>
        <v>30</v>
      </c>
      <c r="H313" s="579">
        <f t="shared" si="86"/>
        <v>0.00001227458187</v>
      </c>
      <c r="I313" s="580">
        <f t="shared" si="81"/>
        <v>31</v>
      </c>
      <c r="J313" s="5" t="str">
        <f t="shared" si="82"/>
        <v>No</v>
      </c>
      <c r="K313" s="581">
        <f t="shared" si="83"/>
        <v>1</v>
      </c>
      <c r="L313" s="4" t="s">
        <v>332</v>
      </c>
      <c r="M313" s="5"/>
      <c r="N313" s="5"/>
      <c r="O313" s="5"/>
      <c r="P313" s="5"/>
      <c r="Q313" s="5"/>
      <c r="R313" s="5"/>
      <c r="S313" s="5"/>
      <c r="T313" s="5"/>
      <c r="U313" s="5"/>
      <c r="V313" s="5"/>
      <c r="W313" s="5"/>
      <c r="Y313" s="583">
        <v>2.66E9</v>
      </c>
      <c r="AS313" s="301"/>
    </row>
    <row r="314">
      <c r="A314" s="118" t="str">
        <f>image("https://vignette.wikia.nocookie.net/tap-titans-2/images/4/4f/Titan_Spear.png/revision/latest?cb=20171024233755")</f>
        <v/>
      </c>
      <c r="B314" s="569" t="s">
        <v>1243</v>
      </c>
      <c r="C314" s="292"/>
      <c r="D314" s="118" t="str">
        <f t="shared" si="77"/>
        <v>Titan Spear</v>
      </c>
      <c r="E314" s="576">
        <f t="shared" si="106"/>
        <v>99</v>
      </c>
      <c r="F314" s="577">
        <f t="shared" si="107"/>
        <v>40</v>
      </c>
      <c r="G314" s="578">
        <f t="shared" si="80"/>
        <v>40</v>
      </c>
      <c r="H314" s="579">
        <f t="shared" si="86"/>
        <v>0.00000419995797</v>
      </c>
      <c r="I314" s="580">
        <f t="shared" si="81"/>
        <v>41</v>
      </c>
      <c r="J314" s="5" t="str">
        <f t="shared" si="82"/>
        <v>No</v>
      </c>
      <c r="K314" s="581">
        <f t="shared" si="83"/>
        <v>1</v>
      </c>
      <c r="L314" s="4" t="s">
        <v>332</v>
      </c>
      <c r="M314" s="5"/>
      <c r="N314" s="5"/>
      <c r="O314" s="5"/>
      <c r="P314" s="5"/>
      <c r="Q314" s="5"/>
      <c r="R314" s="5"/>
      <c r="S314" s="5"/>
      <c r="T314" s="5"/>
      <c r="U314" s="5"/>
      <c r="V314" s="5"/>
      <c r="W314" s="5"/>
      <c r="Y314" s="583">
        <v>4.38E9</v>
      </c>
      <c r="AS314" s="301"/>
    </row>
    <row r="315">
      <c r="A315" s="118" t="str">
        <f>image("https://vignette.wikia.nocookie.net/tap-titans-2/images/f/f1/Oak_Staff.png/revision/latest?cb=20171024230310")</f>
        <v/>
      </c>
      <c r="B315" s="569" t="s">
        <v>1244</v>
      </c>
      <c r="C315" s="292"/>
      <c r="D315" s="118" t="str">
        <f t="shared" si="77"/>
        <v>Oak Staff</v>
      </c>
      <c r="E315" s="576">
        <f t="shared" si="106"/>
        <v>99</v>
      </c>
      <c r="F315" s="577">
        <f t="shared" si="107"/>
        <v>30</v>
      </c>
      <c r="G315" s="578">
        <f t="shared" si="80"/>
        <v>30</v>
      </c>
      <c r="H315" s="579">
        <f t="shared" si="86"/>
        <v>0.00001227458187</v>
      </c>
      <c r="I315" s="580">
        <f t="shared" si="81"/>
        <v>31</v>
      </c>
      <c r="J315" s="5" t="str">
        <f t="shared" si="82"/>
        <v>No</v>
      </c>
      <c r="K315" s="581">
        <f t="shared" si="83"/>
        <v>1</v>
      </c>
      <c r="L315" s="4" t="s">
        <v>332</v>
      </c>
      <c r="M315" s="5"/>
      <c r="N315" s="5"/>
      <c r="O315" s="5"/>
      <c r="P315" s="5"/>
      <c r="Q315" s="5"/>
      <c r="R315" s="5"/>
      <c r="S315" s="5"/>
      <c r="T315" s="5"/>
      <c r="U315" s="5"/>
      <c r="V315" s="5"/>
      <c r="W315" s="5"/>
      <c r="Y315" s="583">
        <v>7.24E9</v>
      </c>
      <c r="AS315" s="301"/>
    </row>
    <row r="316">
      <c r="A316" s="118" t="str">
        <f>image("https://vignette.wikia.nocookie.net/tap-titans-2/images/a/a0/The_Arcana_Cloak.png/revision/latest?cb=20171024233611")</f>
        <v/>
      </c>
      <c r="B316" s="569" t="s">
        <v>1245</v>
      </c>
      <c r="C316" s="292"/>
      <c r="D316" s="118" t="str">
        <f t="shared" si="77"/>
        <v>The Arcana Cloak</v>
      </c>
      <c r="E316" s="576">
        <f t="shared" si="106"/>
        <v>99</v>
      </c>
      <c r="F316" s="577">
        <f t="shared" si="107"/>
        <v>40</v>
      </c>
      <c r="G316" s="578">
        <f t="shared" si="80"/>
        <v>40</v>
      </c>
      <c r="H316" s="579">
        <f t="shared" si="86"/>
        <v>0.00000419995797</v>
      </c>
      <c r="I316" s="580">
        <f t="shared" si="81"/>
        <v>41</v>
      </c>
      <c r="J316" s="5" t="str">
        <f t="shared" si="82"/>
        <v>No</v>
      </c>
      <c r="K316" s="581">
        <f t="shared" si="83"/>
        <v>1</v>
      </c>
      <c r="L316" s="4" t="s">
        <v>332</v>
      </c>
      <c r="M316" s="5"/>
      <c r="N316" s="5"/>
      <c r="O316" s="5"/>
      <c r="P316" s="5"/>
      <c r="Q316" s="5"/>
      <c r="R316" s="5"/>
      <c r="S316" s="5"/>
      <c r="T316" s="5"/>
      <c r="U316" s="5"/>
      <c r="V316" s="5"/>
      <c r="W316" s="5"/>
      <c r="Y316" s="583">
        <v>1.203E10</v>
      </c>
      <c r="AS316" s="301"/>
    </row>
    <row r="317">
      <c r="A317" s="118" t="str">
        <f>image("https://vignette.wikia.nocookie.net/tap-titans-2/images/a/a6/Hunter%27s_Ointment.png/revision/latest?cb=20170927233819")</f>
        <v/>
      </c>
      <c r="B317" s="569" t="s">
        <v>1246</v>
      </c>
      <c r="C317" s="292"/>
      <c r="D317" s="118" t="str">
        <f t="shared" si="77"/>
        <v>Hunter's Ointment</v>
      </c>
      <c r="E317" s="576">
        <f t="shared" si="106"/>
        <v>99</v>
      </c>
      <c r="F317" s="577">
        <f t="shared" si="107"/>
        <v>40</v>
      </c>
      <c r="G317" s="578">
        <f t="shared" si="80"/>
        <v>40</v>
      </c>
      <c r="H317" s="579">
        <f t="shared" si="86"/>
        <v>0.00000419995797</v>
      </c>
      <c r="I317" s="580">
        <f t="shared" si="81"/>
        <v>41</v>
      </c>
      <c r="J317" s="5" t="str">
        <f t="shared" si="82"/>
        <v>No</v>
      </c>
      <c r="K317" s="581">
        <f t="shared" si="83"/>
        <v>1</v>
      </c>
      <c r="L317" s="4" t="s">
        <v>332</v>
      </c>
      <c r="M317" s="5"/>
      <c r="N317" s="5"/>
      <c r="O317" s="5"/>
      <c r="P317" s="5"/>
      <c r="Q317" s="5"/>
      <c r="R317" s="5"/>
      <c r="S317" s="5"/>
      <c r="T317" s="5"/>
      <c r="U317" s="5"/>
      <c r="V317" s="5"/>
      <c r="W317" s="5"/>
      <c r="Y317" s="583">
        <v>2.007E10</v>
      </c>
      <c r="AS317" s="301"/>
    </row>
    <row r="318">
      <c r="A318" s="118" t="str">
        <f>image("https://vignette.wikia.nocookie.net/tap-titans-2/images/5/5c/Ambrosia_Elixir.png/revision/latest?cb=20180522002003")</f>
        <v/>
      </c>
      <c r="B318" s="569" t="s">
        <v>1247</v>
      </c>
      <c r="C318" s="292"/>
      <c r="D318" s="118" t="str">
        <f t="shared" si="77"/>
        <v>Ambrosia Elixir</v>
      </c>
      <c r="E318" s="576">
        <f t="shared" si="106"/>
        <v>99</v>
      </c>
      <c r="F318" s="577">
        <f t="shared" si="107"/>
        <v>40</v>
      </c>
      <c r="G318" s="578">
        <f t="shared" si="80"/>
        <v>40</v>
      </c>
      <c r="H318" s="579">
        <f t="shared" si="86"/>
        <v>0.00000497001308</v>
      </c>
      <c r="I318" s="580">
        <f t="shared" si="81"/>
        <v>81</v>
      </c>
      <c r="J318" s="5" t="str">
        <f t="shared" si="82"/>
        <v>No</v>
      </c>
      <c r="K318" s="581">
        <f t="shared" si="83"/>
        <v>1</v>
      </c>
      <c r="L318" s="4" t="s">
        <v>332</v>
      </c>
      <c r="M318" s="5"/>
      <c r="N318" s="5"/>
      <c r="O318" s="5"/>
      <c r="P318" s="5"/>
      <c r="Q318" s="5"/>
      <c r="R318" s="5"/>
      <c r="S318" s="5"/>
      <c r="T318" s="5"/>
      <c r="U318" s="5"/>
      <c r="V318" s="5"/>
      <c r="W318" s="5"/>
      <c r="Y318" s="583">
        <v>3.367E10</v>
      </c>
      <c r="Z318" s="584"/>
      <c r="AA318" s="584"/>
      <c r="AB318" s="584"/>
      <c r="AC318" s="584"/>
      <c r="AD318" s="584"/>
      <c r="AE318" s="584"/>
      <c r="AF318" s="584"/>
      <c r="AG318" s="583"/>
      <c r="AH318" s="583"/>
      <c r="AS318" s="301"/>
    </row>
    <row r="319">
      <c r="A319" s="118" t="str">
        <f>image("https://vignette.wikia.nocookie.net/tap-titans-2/images/7/76/Mystic_Staff.png/revision/latest?cb=20171117220503")</f>
        <v/>
      </c>
      <c r="B319" s="569" t="s">
        <v>1248</v>
      </c>
      <c r="C319" s="292"/>
      <c r="D319" s="118" t="str">
        <f t="shared" si="77"/>
        <v>Mystic Staff</v>
      </c>
      <c r="E319" s="576">
        <f t="shared" si="106"/>
        <v>99</v>
      </c>
      <c r="F319" s="577">
        <f t="shared" si="107"/>
        <v>40</v>
      </c>
      <c r="G319" s="578">
        <f t="shared" si="80"/>
        <v>40</v>
      </c>
      <c r="H319" s="579">
        <f t="shared" si="86"/>
        <v>0.000007405532676</v>
      </c>
      <c r="I319" s="580">
        <f t="shared" si="81"/>
        <v>4</v>
      </c>
      <c r="J319" s="5" t="str">
        <f t="shared" si="82"/>
        <v>No</v>
      </c>
      <c r="K319" s="581">
        <f t="shared" si="83"/>
        <v>1</v>
      </c>
      <c r="L319" s="4" t="s">
        <v>332</v>
      </c>
      <c r="M319" s="5"/>
      <c r="N319" s="5"/>
      <c r="O319" s="5"/>
      <c r="P319" s="5"/>
      <c r="Q319" s="5"/>
      <c r="R319" s="5"/>
      <c r="S319" s="5"/>
      <c r="T319" s="5"/>
      <c r="U319" s="5"/>
      <c r="V319" s="5"/>
      <c r="W319" s="5"/>
      <c r="Y319" s="583">
        <v>5.676E10</v>
      </c>
      <c r="AS319" s="301"/>
    </row>
    <row r="320">
      <c r="A320" s="118" t="str">
        <f>image("https://vignette.wikia.nocookie.net/tap-titans-2/images/6/6a/Mystical_Beans_of_Senzu.png/revision/latest?cb=20180406183735")</f>
        <v/>
      </c>
      <c r="B320" s="569" t="s">
        <v>1249</v>
      </c>
      <c r="C320" s="292"/>
      <c r="D320" s="118" t="str">
        <f t="shared" si="77"/>
        <v>Mystical Beans of Senzu</v>
      </c>
      <c r="E320" s="576">
        <f t="shared" si="106"/>
        <v>99</v>
      </c>
      <c r="F320" s="577">
        <f t="shared" si="107"/>
        <v>40</v>
      </c>
      <c r="G320" s="578">
        <f t="shared" si="80"/>
        <v>40</v>
      </c>
      <c r="H320" s="579">
        <f t="shared" si="86"/>
        <v>0.0000005091435284</v>
      </c>
      <c r="I320" s="580">
        <f t="shared" si="81"/>
        <v>1.1</v>
      </c>
      <c r="J320" s="5" t="str">
        <f t="shared" si="82"/>
        <v>No</v>
      </c>
      <c r="K320" s="581">
        <f t="shared" si="83"/>
        <v>1</v>
      </c>
      <c r="L320" s="4" t="s">
        <v>332</v>
      </c>
      <c r="M320" s="5"/>
      <c r="N320" s="5"/>
      <c r="O320" s="5"/>
      <c r="P320" s="5"/>
      <c r="Q320" s="5"/>
      <c r="R320" s="5"/>
      <c r="S320" s="5"/>
      <c r="T320" s="5"/>
      <c r="U320" s="5"/>
      <c r="V320" s="5"/>
      <c r="W320" s="5"/>
      <c r="Y320" s="583">
        <v>9.614E10</v>
      </c>
      <c r="AS320" s="301"/>
    </row>
    <row r="321">
      <c r="A321" s="118" t="str">
        <f>image("https://vignette.wikia.nocookie.net/tap-titans-2/images/9/9d/Egg_of_Fortune.png/revision/latest?cb=20171024225228")</f>
        <v/>
      </c>
      <c r="B321" s="569" t="s">
        <v>1250</v>
      </c>
      <c r="C321" s="595" t="s">
        <v>1251</v>
      </c>
      <c r="D321" s="118" t="str">
        <f t="shared" si="77"/>
        <v>Egg of Fortune</v>
      </c>
      <c r="E321" s="576">
        <f t="shared" si="106"/>
        <v>99</v>
      </c>
      <c r="F321" s="577">
        <f t="shared" si="107"/>
        <v>40</v>
      </c>
      <c r="G321" s="578">
        <f t="shared" si="80"/>
        <v>40</v>
      </c>
      <c r="H321" s="579">
        <f t="shared" si="86"/>
        <v>0.00000008837193704</v>
      </c>
      <c r="I321" s="580">
        <f t="shared" si="81"/>
        <v>1.2</v>
      </c>
      <c r="J321" s="5" t="str">
        <f t="shared" si="82"/>
        <v>No</v>
      </c>
      <c r="K321" s="581">
        <f t="shared" si="83"/>
        <v>1</v>
      </c>
      <c r="L321" s="4" t="s">
        <v>332</v>
      </c>
      <c r="M321" s="5"/>
      <c r="N321" s="5"/>
      <c r="O321" s="5"/>
      <c r="P321" s="5"/>
      <c r="Q321" s="5"/>
      <c r="R321" s="5"/>
      <c r="S321" s="5"/>
      <c r="T321" s="5"/>
      <c r="U321" s="5"/>
      <c r="V321" s="5"/>
      <c r="W321" s="5"/>
      <c r="Y321" s="583">
        <v>1.6364E11</v>
      </c>
      <c r="AS321" s="301"/>
    </row>
    <row r="322">
      <c r="A322" s="118" t="str">
        <f>image("https://vignette.wikia.nocookie.net/tap-titans-2/images/e/e3/Divine_Chalice.png/revision/latest?cb=20171024225516")</f>
        <v/>
      </c>
      <c r="B322" s="569" t="s">
        <v>1252</v>
      </c>
      <c r="C322" s="292"/>
      <c r="D322" s="118" t="str">
        <f t="shared" si="77"/>
        <v>Divine Chalice</v>
      </c>
      <c r="E322" s="576">
        <f t="shared" si="106"/>
        <v>99</v>
      </c>
      <c r="F322" s="577">
        <f t="shared" si="107"/>
        <v>50</v>
      </c>
      <c r="G322" s="578">
        <f t="shared" si="80"/>
        <v>50</v>
      </c>
      <c r="H322" s="579">
        <f t="shared" si="86"/>
        <v>0.0000006062591574</v>
      </c>
      <c r="I322" s="580">
        <f t="shared" si="81"/>
        <v>1.5</v>
      </c>
      <c r="J322" s="5" t="str">
        <f t="shared" si="82"/>
        <v>No</v>
      </c>
      <c r="K322" s="581">
        <f t="shared" si="83"/>
        <v>1</v>
      </c>
      <c r="L322" s="4" t="s">
        <v>332</v>
      </c>
      <c r="M322" s="5"/>
      <c r="N322" s="5"/>
      <c r="O322" s="5"/>
      <c r="P322" s="5"/>
      <c r="Q322" s="5"/>
      <c r="R322" s="5"/>
      <c r="S322" s="5"/>
      <c r="T322" s="5"/>
      <c r="U322" s="5"/>
      <c r="V322" s="5"/>
      <c r="W322" s="5"/>
      <c r="Y322" s="583">
        <v>2.799E11</v>
      </c>
      <c r="AS322" s="301"/>
    </row>
    <row r="323">
      <c r="A323" s="118" t="str">
        <f>image("https://vignette.wikia.nocookie.net/tap-titans-2/images/5/5b/Invader%27s_Shield.png/revision/latest?cb=20171024225419")</f>
        <v/>
      </c>
      <c r="B323" s="569" t="s">
        <v>1253</v>
      </c>
      <c r="C323" s="292"/>
      <c r="D323" s="118" t="str">
        <f t="shared" si="77"/>
        <v>Invader's Shield</v>
      </c>
      <c r="E323" s="576">
        <f t="shared" si="106"/>
        <v>99</v>
      </c>
      <c r="F323" s="577">
        <f t="shared" si="107"/>
        <v>50</v>
      </c>
      <c r="G323" s="578">
        <f t="shared" si="80"/>
        <v>50</v>
      </c>
      <c r="H323" s="579">
        <f t="shared" si="86"/>
        <v>0.000003250523953</v>
      </c>
      <c r="I323" s="580">
        <f t="shared" si="81"/>
        <v>1.25</v>
      </c>
      <c r="J323" s="5" t="str">
        <f t="shared" si="82"/>
        <v>No</v>
      </c>
      <c r="K323" s="581">
        <f t="shared" si="83"/>
        <v>1</v>
      </c>
      <c r="L323" s="4" t="s">
        <v>332</v>
      </c>
      <c r="M323" s="5"/>
      <c r="N323" s="5"/>
      <c r="O323" s="5"/>
      <c r="P323" s="5"/>
      <c r="Q323" s="5"/>
      <c r="R323" s="5"/>
      <c r="S323" s="5"/>
      <c r="T323" s="5"/>
      <c r="U323" s="5"/>
      <c r="V323" s="5"/>
      <c r="W323" s="5"/>
      <c r="Y323" s="583">
        <v>3.84E12</v>
      </c>
      <c r="AS323" s="301"/>
    </row>
    <row r="324">
      <c r="A324" s="118" t="str">
        <f>image("https://vignette.wikia.nocookie.net/tap-titans-2/images/e/ea/Axe_of_Muerte.png/revision/latest?cb=20171024233630")</f>
        <v/>
      </c>
      <c r="B324" s="569" t="s">
        <v>1254</v>
      </c>
      <c r="C324" s="292"/>
      <c r="D324" s="118" t="str">
        <f t="shared" si="77"/>
        <v>Axe of Muerte</v>
      </c>
      <c r="E324" s="576">
        <f t="shared" si="106"/>
        <v>99</v>
      </c>
      <c r="F324" s="577">
        <f t="shared" si="107"/>
        <v>40</v>
      </c>
      <c r="G324" s="578">
        <f t="shared" si="80"/>
        <v>40</v>
      </c>
      <c r="H324" s="579">
        <f t="shared" si="86"/>
        <v>0.000000855835896</v>
      </c>
      <c r="I324" s="580">
        <f t="shared" si="81"/>
        <v>1.2</v>
      </c>
      <c r="J324" s="5" t="str">
        <f t="shared" si="82"/>
        <v>No</v>
      </c>
      <c r="K324" s="581">
        <f t="shared" si="83"/>
        <v>1</v>
      </c>
      <c r="L324" s="4" t="s">
        <v>332</v>
      </c>
      <c r="M324" s="5"/>
      <c r="N324" s="5"/>
      <c r="O324" s="5"/>
      <c r="P324" s="5"/>
      <c r="Q324" s="5"/>
      <c r="R324" s="5"/>
      <c r="S324" s="5"/>
      <c r="T324" s="5"/>
      <c r="U324" s="5"/>
      <c r="V324" s="5"/>
      <c r="W324" s="5"/>
      <c r="Y324" s="583">
        <v>5.317E13</v>
      </c>
      <c r="AS324" s="301"/>
    </row>
    <row r="325">
      <c r="A325" s="118" t="str">
        <f>image("https://vignette.wikia.nocookie.net/tap-titans-2/images/9/99/Essence_of_the_Kitsune.png/revision/latest?cb=20171117221122")
</f>
        <v/>
      </c>
      <c r="B325" s="569" t="s">
        <v>1255</v>
      </c>
      <c r="C325" s="292"/>
      <c r="D325" s="118" t="str">
        <f t="shared" si="77"/>
        <v>Essence of the Kitsune</v>
      </c>
      <c r="E325" s="576">
        <f t="shared" si="106"/>
        <v>99</v>
      </c>
      <c r="F325" s="577">
        <f t="shared" si="107"/>
        <v>40</v>
      </c>
      <c r="G325" s="578">
        <f t="shared" si="80"/>
        <v>40</v>
      </c>
      <c r="H325" s="579">
        <f t="shared" si="86"/>
        <v>0.000000855835896</v>
      </c>
      <c r="I325" s="580">
        <f t="shared" si="81"/>
        <v>1.2</v>
      </c>
      <c r="J325" s="5" t="str">
        <f t="shared" si="82"/>
        <v>No</v>
      </c>
      <c r="K325" s="581">
        <f t="shared" si="83"/>
        <v>1</v>
      </c>
      <c r="L325" s="4" t="s">
        <v>332</v>
      </c>
      <c r="M325" s="5"/>
      <c r="N325" s="5"/>
      <c r="O325" s="5"/>
      <c r="P325" s="5"/>
      <c r="Q325" s="5"/>
      <c r="R325" s="5"/>
      <c r="S325" s="5"/>
      <c r="T325" s="5"/>
      <c r="U325" s="5"/>
      <c r="V325" s="5"/>
      <c r="W325" s="5"/>
      <c r="X325" s="5"/>
      <c r="Y325" s="583">
        <v>7.3833E14</v>
      </c>
      <c r="Z325" s="5"/>
      <c r="AA325" s="5"/>
      <c r="AB325" s="5"/>
      <c r="AC325" s="5"/>
      <c r="AD325" s="5"/>
      <c r="AE325" s="5"/>
      <c r="AF325" s="5"/>
      <c r="AG325" s="5"/>
      <c r="AH325" s="5"/>
      <c r="AI325" s="5"/>
      <c r="AJ325" s="5"/>
      <c r="AK325" s="5"/>
      <c r="AL325" s="5"/>
      <c r="AM325" s="5"/>
      <c r="AN325" s="5"/>
      <c r="AO325" s="5"/>
      <c r="AP325" s="5"/>
      <c r="AQ325" s="5"/>
      <c r="AR325" s="5"/>
      <c r="AS325" s="596"/>
      <c r="AT325" s="5"/>
      <c r="AU325" s="5"/>
      <c r="AV325" s="5"/>
      <c r="AW325" s="5"/>
      <c r="AX325" s="5"/>
    </row>
    <row r="326">
      <c r="A326" s="281" t="str">
        <f>image("https://vignette.wikia.nocookie.net/tap-titans-2/images/6/64/Boots_of_Hermes.png/revision/latest?cb=20180406183716")</f>
        <v/>
      </c>
      <c r="B326" s="569" t="s">
        <v>1256</v>
      </c>
      <c r="C326" s="292"/>
      <c r="D326" s="118" t="str">
        <f t="shared" si="77"/>
        <v>Boots of Hermes</v>
      </c>
      <c r="E326" s="576">
        <f t="shared" si="106"/>
        <v>99</v>
      </c>
      <c r="F326" s="577">
        <f t="shared" si="107"/>
        <v>40</v>
      </c>
      <c r="G326" s="578">
        <f t="shared" si="80"/>
        <v>40</v>
      </c>
      <c r="H326" s="579">
        <f t="shared" si="86"/>
        <v>0.0000001841061304</v>
      </c>
      <c r="I326" s="580">
        <f t="shared" si="81"/>
        <v>1.04</v>
      </c>
      <c r="J326" s="5" t="str">
        <f t="shared" si="82"/>
        <v>No</v>
      </c>
      <c r="K326" s="581">
        <f t="shared" si="83"/>
        <v>1</v>
      </c>
      <c r="L326" s="4" t="s">
        <v>332</v>
      </c>
      <c r="Y326" s="583">
        <v>1.03E16</v>
      </c>
    </row>
    <row r="327">
      <c r="A327" t="str">
        <f>image("https://i.imgur.com/UW8Jxu4.png")</f>
        <v/>
      </c>
      <c r="C327" s="292"/>
      <c r="D327" s="118" t="str">
        <f t="shared" si="77"/>
        <v>Unbound Gauntlet</v>
      </c>
      <c r="E327" s="576">
        <f t="shared" si="106"/>
        <v>26</v>
      </c>
      <c r="F327" s="577">
        <f t="shared" si="107"/>
        <v>0</v>
      </c>
      <c r="G327" s="578">
        <f t="shared" si="80"/>
        <v>40</v>
      </c>
      <c r="H327" s="579">
        <f t="shared" si="86"/>
        <v>0</v>
      </c>
      <c r="I327" s="580">
        <f t="shared" si="81"/>
        <v>1</v>
      </c>
      <c r="J327" s="5" t="str">
        <f t="shared" si="82"/>
        <v>No</v>
      </c>
      <c r="K327" s="581">
        <f t="shared" si="83"/>
        <v>1</v>
      </c>
      <c r="L327" s="4" t="s">
        <v>332</v>
      </c>
      <c r="Y327" s="583">
        <v>1.44E17</v>
      </c>
    </row>
    <row r="328">
      <c r="A328" s="281" t="str">
        <f>image("https://vignette.wikia.nocookie.net/tap-titans-2/images/1/1c/Oberon_Pendant.png/revision/latest?cb=20180525170733")</f>
        <v/>
      </c>
      <c r="B328" s="569" t="s">
        <v>1257</v>
      </c>
      <c r="C328" s="292"/>
      <c r="D328" s="118" t="str">
        <f t="shared" si="77"/>
        <v>Oberon Pendant</v>
      </c>
      <c r="E328" s="576">
        <f t="shared" si="106"/>
        <v>99</v>
      </c>
      <c r="F328" s="577">
        <f t="shared" si="107"/>
        <v>40</v>
      </c>
      <c r="G328" s="578">
        <f t="shared" si="80"/>
        <v>40</v>
      </c>
      <c r="H328" s="579">
        <f t="shared" si="86"/>
        <v>0.0000003612630292</v>
      </c>
      <c r="I328" s="580">
        <f t="shared" si="81"/>
        <v>1.08</v>
      </c>
      <c r="J328" s="5" t="str">
        <f t="shared" si="82"/>
        <v>No</v>
      </c>
      <c r="K328" s="581">
        <f t="shared" si="83"/>
        <v>1</v>
      </c>
      <c r="L328" s="4" t="s">
        <v>332</v>
      </c>
      <c r="Y328" s="583">
        <v>2.03E18</v>
      </c>
      <c r="Z328" s="583"/>
      <c r="AA328" s="583"/>
    </row>
    <row r="329">
      <c r="A329" s="281" t="str">
        <f>image("https://vignette.wikia.nocookie.net/tap-titans-2/images/e/ef/Lucky_Foot_of_Al-mi%27raj.png/revision/latest?cb=20180406183730")</f>
        <v/>
      </c>
      <c r="B329" s="569" t="s">
        <v>1258</v>
      </c>
      <c r="C329" s="292"/>
      <c r="D329" s="118" t="str">
        <f t="shared" si="77"/>
        <v>Lucky Foot of Al-mi'raj</v>
      </c>
      <c r="E329" s="576">
        <f t="shared" si="106"/>
        <v>99</v>
      </c>
      <c r="F329" s="577">
        <f t="shared" si="107"/>
        <v>40</v>
      </c>
      <c r="G329" s="578">
        <f t="shared" si="80"/>
        <v>40</v>
      </c>
      <c r="H329" s="579">
        <f t="shared" si="86"/>
        <v>0.0000005091435284</v>
      </c>
      <c r="I329" s="580">
        <f t="shared" si="81"/>
        <v>1.1</v>
      </c>
      <c r="J329" s="5" t="str">
        <f t="shared" si="82"/>
        <v>No</v>
      </c>
      <c r="K329" s="581">
        <f t="shared" si="83"/>
        <v>1</v>
      </c>
      <c r="L329" s="4" t="s">
        <v>332</v>
      </c>
      <c r="Y329" s="583">
        <v>2.88E19</v>
      </c>
      <c r="Z329" s="583"/>
      <c r="AA329" s="583"/>
    </row>
    <row r="330">
      <c r="A330" s="281" t="str">
        <f>image("https://vignette.wikia.nocookie.net/tap-titans-2/images/c/cc/Lost_King%27s_Mask.png/revision/latest?cb=20171206185759")</f>
        <v/>
      </c>
      <c r="B330" s="569" t="s">
        <v>1259</v>
      </c>
      <c r="C330" s="292"/>
      <c r="D330" s="118" t="str">
        <f t="shared" si="77"/>
        <v>Lost King's Mask</v>
      </c>
      <c r="E330" s="576">
        <f t="shared" si="106"/>
        <v>99</v>
      </c>
      <c r="F330" s="577">
        <f t="shared" si="107"/>
        <v>40</v>
      </c>
      <c r="G330" s="578">
        <f t="shared" si="80"/>
        <v>40</v>
      </c>
      <c r="H330" s="579">
        <f t="shared" si="86"/>
        <v>0.0000007977265904</v>
      </c>
      <c r="I330" s="580">
        <f t="shared" si="81"/>
        <v>1.8</v>
      </c>
      <c r="J330" s="5" t="str">
        <f t="shared" si="82"/>
        <v>No</v>
      </c>
      <c r="K330" s="581">
        <f t="shared" si="83"/>
        <v>1</v>
      </c>
      <c r="L330" s="4" t="s">
        <v>332</v>
      </c>
      <c r="Y330" s="583">
        <v>4.09E20</v>
      </c>
      <c r="Z330" s="583"/>
      <c r="AA330" s="583"/>
    </row>
    <row r="331">
      <c r="A331" s="281" t="str">
        <f>image("https://vignette.wikia.nocookie.net/tap-titans-2/images/c/cb/Staff_of_Radiance.png/revision/latest?cb=20171024224732")</f>
        <v/>
      </c>
      <c r="B331" s="569" t="s">
        <v>1260</v>
      </c>
      <c r="D331" s="118" t="str">
        <f t="shared" si="77"/>
        <v>Staff of Radiance</v>
      </c>
      <c r="E331" s="576">
        <f t="shared" si="106"/>
        <v>99</v>
      </c>
      <c r="F331" s="577">
        <f t="shared" si="107"/>
        <v>50</v>
      </c>
      <c r="G331" s="578">
        <f t="shared" si="80"/>
        <v>40</v>
      </c>
      <c r="H331" s="579">
        <f t="shared" si="86"/>
        <v>0.00000165825097</v>
      </c>
      <c r="I331" s="580">
        <f t="shared" si="81"/>
        <v>2</v>
      </c>
      <c r="J331" s="5" t="str">
        <f t="shared" si="82"/>
        <v>No</v>
      </c>
      <c r="K331" s="581">
        <f t="shared" si="83"/>
        <v>1</v>
      </c>
      <c r="L331" s="4" t="s">
        <v>332</v>
      </c>
      <c r="Y331" s="583">
        <v>5.849999999999999E21</v>
      </c>
    </row>
    <row r="332">
      <c r="A332" s="118" t="str">
        <f>image("https://vignette.wikia.nocookie.net/tap-titans-2/images/6/61/Morgelai_Sword.png/revision/latest?cb=20180525170635")</f>
        <v/>
      </c>
      <c r="B332" s="569" t="s">
        <v>1261</v>
      </c>
      <c r="D332" s="118" t="str">
        <f t="shared" si="77"/>
        <v>Morgelai Sword</v>
      </c>
      <c r="E332" s="576">
        <f t="shared" si="106"/>
        <v>99</v>
      </c>
      <c r="F332" s="577">
        <f t="shared" si="107"/>
        <v>40</v>
      </c>
      <c r="G332" s="578">
        <f t="shared" si="80"/>
        <v>50</v>
      </c>
      <c r="H332" s="579">
        <f t="shared" si="86"/>
        <v>0.0000004566501234</v>
      </c>
      <c r="I332" s="580">
        <f t="shared" si="81"/>
        <v>1.4</v>
      </c>
      <c r="J332" s="5" t="str">
        <f t="shared" si="82"/>
        <v>No</v>
      </c>
      <c r="K332" s="581">
        <f t="shared" si="83"/>
        <v>1</v>
      </c>
      <c r="L332" s="4" t="s">
        <v>332</v>
      </c>
      <c r="Y332" s="583">
        <v>8.42E22</v>
      </c>
    </row>
    <row r="333">
      <c r="A333" s="118" t="str">
        <f>image("https://vignette.wikia.nocookie.net/tap-titans-2/images/b/bf/The_Master%27s_Sword.png/revision/latest?cb=20171024221847")</f>
        <v/>
      </c>
      <c r="B333" s="569" t="s">
        <v>1262</v>
      </c>
      <c r="D333" s="118" t="str">
        <f t="shared" si="77"/>
        <v>The Master's Sword</v>
      </c>
      <c r="E333" s="576">
        <f t="shared" si="106"/>
        <v>99</v>
      </c>
      <c r="F333" s="577">
        <f t="shared" si="107"/>
        <v>40</v>
      </c>
      <c r="G333" s="578">
        <f t="shared" si="80"/>
        <v>40</v>
      </c>
      <c r="H333" s="579">
        <f t="shared" si="86"/>
        <v>0.00000002132534545</v>
      </c>
      <c r="I333" s="580">
        <f t="shared" si="81"/>
        <v>1.004</v>
      </c>
      <c r="J333" s="5" t="str">
        <f t="shared" si="82"/>
        <v>No</v>
      </c>
      <c r="K333" s="581">
        <f t="shared" si="83"/>
        <v>1</v>
      </c>
      <c r="L333" s="4" t="s">
        <v>332</v>
      </c>
      <c r="Y333" s="583">
        <v>1.21E24</v>
      </c>
    </row>
    <row r="334">
      <c r="A334" s="281" t="str">
        <f>image("https://vignette.wikia.nocookie.net/tap-titans-2/images/8/88/Aram_Spear.png/revision/latest?cb=20171117220101")</f>
        <v/>
      </c>
      <c r="B334" s="569" t="s">
        <v>1263</v>
      </c>
      <c r="D334" s="118" t="str">
        <f t="shared" si="77"/>
        <v>Aram Spear</v>
      </c>
      <c r="E334" s="576">
        <f t="shared" si="106"/>
        <v>99</v>
      </c>
      <c r="F334" s="577">
        <f t="shared" si="107"/>
        <v>60</v>
      </c>
      <c r="G334" s="578">
        <f t="shared" si="80"/>
        <v>40</v>
      </c>
      <c r="H334" s="579">
        <f t="shared" si="86"/>
        <v>0.0000009784768076</v>
      </c>
      <c r="I334" s="580">
        <f t="shared" si="81"/>
        <v>2.2</v>
      </c>
      <c r="J334" s="5" t="str">
        <f t="shared" si="82"/>
        <v>No</v>
      </c>
      <c r="K334" s="581">
        <f t="shared" si="83"/>
        <v>1</v>
      </c>
      <c r="L334" s="4" t="s">
        <v>332</v>
      </c>
      <c r="Y334" s="583">
        <v>1.76E25</v>
      </c>
    </row>
    <row r="335">
      <c r="A335" s="281" t="str">
        <f>image("https://vignette.wikia.nocookie.net/tap-titans-2/images/3/3b/Ward_of_the_Darkness.png/revision/latest?cb=20171117220020")</f>
        <v/>
      </c>
      <c r="B335" s="569" t="s">
        <v>1264</v>
      </c>
      <c r="D335" s="118" t="str">
        <f t="shared" si="77"/>
        <v>Ward of the Darkness</v>
      </c>
      <c r="E335" s="576">
        <f t="shared" si="106"/>
        <v>99</v>
      </c>
      <c r="F335" s="577">
        <f t="shared" si="107"/>
        <v>60</v>
      </c>
      <c r="G335" s="578">
        <f t="shared" si="80"/>
        <v>60</v>
      </c>
      <c r="H335" s="579">
        <f t="shared" si="86"/>
        <v>0.000005101600672</v>
      </c>
      <c r="I335" s="580">
        <f t="shared" si="81"/>
        <v>61</v>
      </c>
      <c r="J335" s="5" t="str">
        <f t="shared" si="82"/>
        <v>No</v>
      </c>
      <c r="K335" s="581">
        <f t="shared" si="83"/>
        <v>1</v>
      </c>
      <c r="L335" s="4" t="s">
        <v>332</v>
      </c>
      <c r="Y335" s="583">
        <v>2.56E26</v>
      </c>
    </row>
  </sheetData>
  <mergeCells count="145">
    <mergeCell ref="F5:F10"/>
    <mergeCell ref="D3:D4"/>
    <mergeCell ref="C5:D5"/>
    <mergeCell ref="A1:O1"/>
    <mergeCell ref="M2:M3"/>
    <mergeCell ref="K7:K9"/>
    <mergeCell ref="H10:H11"/>
    <mergeCell ref="N7:N9"/>
    <mergeCell ref="M7:M9"/>
    <mergeCell ref="N12:N13"/>
    <mergeCell ref="N10:N11"/>
    <mergeCell ref="K10:K11"/>
    <mergeCell ref="L5:L10"/>
    <mergeCell ref="M62:M64"/>
    <mergeCell ref="M57:M58"/>
    <mergeCell ref="L60:L65"/>
    <mergeCell ref="L67:L68"/>
    <mergeCell ref="N67:N68"/>
    <mergeCell ref="M68:M69"/>
    <mergeCell ref="L38:L43"/>
    <mergeCell ref="S88:S90"/>
    <mergeCell ref="T88:V88"/>
    <mergeCell ref="N65:N66"/>
    <mergeCell ref="N62:N64"/>
    <mergeCell ref="M51:M53"/>
    <mergeCell ref="M40:M42"/>
    <mergeCell ref="J29:J31"/>
    <mergeCell ref="J35:J36"/>
    <mergeCell ref="K43:K44"/>
    <mergeCell ref="K40:K42"/>
    <mergeCell ref="J51:J53"/>
    <mergeCell ref="J46:J47"/>
    <mergeCell ref="L56:L57"/>
    <mergeCell ref="L49:L54"/>
    <mergeCell ref="L16:L21"/>
    <mergeCell ref="M13:M14"/>
    <mergeCell ref="M18:M20"/>
    <mergeCell ref="J13:J14"/>
    <mergeCell ref="K18:K20"/>
    <mergeCell ref="K45:K46"/>
    <mergeCell ref="L23:L24"/>
    <mergeCell ref="M24:M25"/>
    <mergeCell ref="J24:J25"/>
    <mergeCell ref="J18:J20"/>
    <mergeCell ref="L12:L13"/>
    <mergeCell ref="K12:K13"/>
    <mergeCell ref="N54:N55"/>
    <mergeCell ref="N51:N53"/>
    <mergeCell ref="N34:N35"/>
    <mergeCell ref="N32:N33"/>
    <mergeCell ref="N43:N44"/>
    <mergeCell ref="N40:N42"/>
    <mergeCell ref="M35:M36"/>
    <mergeCell ref="L34:L35"/>
    <mergeCell ref="L45:L46"/>
    <mergeCell ref="M46:M47"/>
    <mergeCell ref="K29:K31"/>
    <mergeCell ref="K32:K33"/>
    <mergeCell ref="H32:H33"/>
    <mergeCell ref="C303:C311"/>
    <mergeCell ref="C294:C302"/>
    <mergeCell ref="C285:C293"/>
    <mergeCell ref="C312:C320"/>
    <mergeCell ref="C321:C330"/>
    <mergeCell ref="C258:C266"/>
    <mergeCell ref="H45:H46"/>
    <mergeCell ref="G40:G42"/>
    <mergeCell ref="H43:H44"/>
    <mergeCell ref="H34:H35"/>
    <mergeCell ref="F49:F54"/>
    <mergeCell ref="G51:G53"/>
    <mergeCell ref="F45:F46"/>
    <mergeCell ref="G46:G47"/>
    <mergeCell ref="F38:F43"/>
    <mergeCell ref="F34:F35"/>
    <mergeCell ref="I67:I68"/>
    <mergeCell ref="I60:I65"/>
    <mergeCell ref="I34:I35"/>
    <mergeCell ref="I27:I32"/>
    <mergeCell ref="G29:G31"/>
    <mergeCell ref="F27:F32"/>
    <mergeCell ref="C276:C284"/>
    <mergeCell ref="C267:C275"/>
    <mergeCell ref="F56:F57"/>
    <mergeCell ref="F60:F65"/>
    <mergeCell ref="D86:D89"/>
    <mergeCell ref="F86:F89"/>
    <mergeCell ref="A172:E172"/>
    <mergeCell ref="F67:F68"/>
    <mergeCell ref="G62:G64"/>
    <mergeCell ref="I49:I54"/>
    <mergeCell ref="I38:I43"/>
    <mergeCell ref="I45:I46"/>
    <mergeCell ref="I56:I57"/>
    <mergeCell ref="I23:I24"/>
    <mergeCell ref="H23:H24"/>
    <mergeCell ref="H62:H64"/>
    <mergeCell ref="H65:H66"/>
    <mergeCell ref="H67:H68"/>
    <mergeCell ref="H29:H31"/>
    <mergeCell ref="K56:K57"/>
    <mergeCell ref="N56:N57"/>
    <mergeCell ref="K62:K64"/>
    <mergeCell ref="J68:J69"/>
    <mergeCell ref="J62:J64"/>
    <mergeCell ref="K65:K66"/>
    <mergeCell ref="K67:K68"/>
    <mergeCell ref="H56:H57"/>
    <mergeCell ref="H54:H55"/>
    <mergeCell ref="H51:H53"/>
    <mergeCell ref="K54:K55"/>
    <mergeCell ref="K51:K53"/>
    <mergeCell ref="J57:J58"/>
    <mergeCell ref="N45:N46"/>
    <mergeCell ref="F23:F24"/>
    <mergeCell ref="F16:F21"/>
    <mergeCell ref="B86:B89"/>
    <mergeCell ref="F12:F13"/>
    <mergeCell ref="G13:G14"/>
    <mergeCell ref="I12:I13"/>
    <mergeCell ref="H12:H13"/>
    <mergeCell ref="G10:G11"/>
    <mergeCell ref="J7:J9"/>
    <mergeCell ref="G7:G9"/>
    <mergeCell ref="G18:G20"/>
    <mergeCell ref="G24:G25"/>
    <mergeCell ref="G35:G36"/>
    <mergeCell ref="G68:G69"/>
    <mergeCell ref="G57:G58"/>
    <mergeCell ref="H7:H9"/>
    <mergeCell ref="I5:I10"/>
    <mergeCell ref="N23:N24"/>
    <mergeCell ref="N29:N31"/>
    <mergeCell ref="L27:L32"/>
    <mergeCell ref="M29:M31"/>
    <mergeCell ref="K34:K35"/>
    <mergeCell ref="K23:K24"/>
    <mergeCell ref="K21:K22"/>
    <mergeCell ref="N21:N22"/>
    <mergeCell ref="N18:N20"/>
    <mergeCell ref="H18:H20"/>
    <mergeCell ref="H21:H22"/>
    <mergeCell ref="I16:I21"/>
    <mergeCell ref="H40:H42"/>
    <mergeCell ref="J40:J42"/>
  </mergeCells>
  <conditionalFormatting sqref="C76">
    <cfRule type="expression" dxfId="34" priority="1">
      <formula>$E75 &lt;&gt; "☑"</formula>
    </cfRule>
  </conditionalFormatting>
  <conditionalFormatting sqref="B78:B83">
    <cfRule type="expression" dxfId="34" priority="2">
      <formula>$E78 &lt;&gt; "☑"</formula>
    </cfRule>
  </conditionalFormatting>
  <conditionalFormatting sqref="B76:B77">
    <cfRule type="expression" dxfId="34" priority="3">
      <formula>$E76 &lt;&gt; "☑"</formula>
    </cfRule>
  </conditionalFormatting>
  <conditionalFormatting sqref="C81:C83">
    <cfRule type="expression" dxfId="34" priority="4">
      <formula>$E80 &lt;&gt; "☑"</formula>
    </cfRule>
  </conditionalFormatting>
  <conditionalFormatting sqref="C77:C80">
    <cfRule type="expression" dxfId="34" priority="5">
      <formula>$E76 &lt;&gt; "☑"</formula>
    </cfRule>
  </conditionalFormatting>
  <conditionalFormatting sqref="C45:C75">
    <cfRule type="expression" dxfId="34" priority="6">
      <formula>$E45 &lt;&gt; "☑"</formula>
    </cfRule>
  </conditionalFormatting>
  <conditionalFormatting sqref="B45:B75">
    <cfRule type="expression" dxfId="34" priority="7">
      <formula>$E45 &lt;&gt; "☑"</formula>
    </cfRule>
  </conditionalFormatting>
  <conditionalFormatting sqref="B3">
    <cfRule type="cellIs" dxfId="0" priority="8" operator="equal">
      <formula>"HS"</formula>
    </cfRule>
  </conditionalFormatting>
  <conditionalFormatting sqref="B3">
    <cfRule type="cellIs" dxfId="6" priority="9" operator="equal">
      <formula>"SC"</formula>
    </cfRule>
  </conditionalFormatting>
  <conditionalFormatting sqref="B3">
    <cfRule type="cellIs" dxfId="22" priority="10" operator="equal">
      <formula>"PET"</formula>
    </cfRule>
  </conditionalFormatting>
  <conditionalFormatting sqref="B3">
    <cfRule type="cellIs" dxfId="5" priority="11" operator="equal">
      <formula>"SHIP"</formula>
    </cfRule>
  </conditionalFormatting>
  <conditionalFormatting sqref="B3">
    <cfRule type="cellIs" dxfId="23" priority="12" operator="equal">
      <formula>"TAP"</formula>
    </cfRule>
  </conditionalFormatting>
  <conditionalFormatting sqref="E6:E83">
    <cfRule type="containsText" dxfId="35" priority="13" operator="containsText" text="☑">
      <formula>NOT(ISERROR(SEARCH(("☑"),(E6))))</formula>
    </cfRule>
  </conditionalFormatting>
  <conditionalFormatting sqref="X258:AX297">
    <cfRule type="cellIs" dxfId="15" priority="14" operator="equal">
      <formula>"False"</formula>
    </cfRule>
  </conditionalFormatting>
  <conditionalFormatting sqref="U259:U299">
    <cfRule type="containsText" dxfId="15" priority="15" operator="containsText" text="1">
      <formula>NOT(ISERROR(SEARCH(("1"),(U259))))</formula>
    </cfRule>
  </conditionalFormatting>
  <conditionalFormatting sqref="B6:B83">
    <cfRule type="colorScale" priority="16">
      <colorScale>
        <cfvo type="min"/>
        <cfvo type="max"/>
        <color rgb="FF008600"/>
        <color rgb="FF00FF00"/>
      </colorScale>
    </cfRule>
  </conditionalFormatting>
  <conditionalFormatting sqref="F12">
    <cfRule type="expression" dxfId="36" priority="17">
      <formula>$N$3 = "Vertical"</formula>
    </cfRule>
  </conditionalFormatting>
  <conditionalFormatting sqref="F12">
    <cfRule type="expression" dxfId="37" priority="18">
      <formula>$N$3 = "Horizontal"</formula>
    </cfRule>
  </conditionalFormatting>
  <conditionalFormatting sqref="F12 I12 L12 F23 I23 L23 F34 I34 L34 F45 I45 L45 F56 I56 L56 I67 L67">
    <cfRule type="expression" dxfId="38" priority="19">
      <formula>$N$3 = "Vertical"</formula>
    </cfRule>
  </conditionalFormatting>
  <conditionalFormatting sqref="H7 K7 N7 H18 K18 N18 H29 K29 N29 H40 K40 N40 H51 K51 N51 H62 K62 N62 F67">
    <cfRule type="expression" dxfId="39" priority="20">
      <formula>$N$3 = "Vertical"</formula>
    </cfRule>
  </conditionalFormatting>
  <conditionalFormatting sqref="AM91:AM126">
    <cfRule type="containsText" dxfId="40" priority="21" operator="containsText" text="TRUE">
      <formula>NOT(ISERROR(SEARCH(("TRUE"),(AM91))))</formula>
    </cfRule>
  </conditionalFormatting>
  <conditionalFormatting sqref="H7 K7 N7 H18 K18 N18 H29 K29 N29 H40 K40 N40 H51 K51 N51 H62 K62 N62 F67">
    <cfRule type="expression" dxfId="39" priority="22">
      <formula>$N$3 = "horizontal"</formula>
    </cfRule>
  </conditionalFormatting>
  <conditionalFormatting sqref="F12 I12 L12 F23 I23 L23 F34 I34 L34 F45 I45 L45 F56 I56 L56 I67 L67">
    <cfRule type="expression" dxfId="41" priority="23">
      <formula>$N$3 = "Horizontal"</formula>
    </cfRule>
  </conditionalFormatting>
  <conditionalFormatting sqref="G10:H11">
    <cfRule type="expression" dxfId="24" priority="24">
      <formula>IF($O$3 &lt;&gt; "On", true, false)</formula>
    </cfRule>
  </conditionalFormatting>
  <conditionalFormatting sqref="J258:J335">
    <cfRule type="cellIs" dxfId="15" priority="25" operator="equal">
      <formula>"yes"</formula>
    </cfRule>
  </conditionalFormatting>
  <conditionalFormatting sqref="A6:A78">
    <cfRule type="cellIs" dxfId="42" priority="26" operator="equal">
      <formula>"#1"</formula>
    </cfRule>
  </conditionalFormatting>
  <conditionalFormatting sqref="A6:A75">
    <cfRule type="cellIs" dxfId="43" priority="27" operator="equal">
      <formula>"#2"</formula>
    </cfRule>
  </conditionalFormatting>
  <conditionalFormatting sqref="A6:A75">
    <cfRule type="cellIs" dxfId="43" priority="28" operator="equal">
      <formula>"#3"</formula>
    </cfRule>
  </conditionalFormatting>
  <conditionalFormatting sqref="A6:A75">
    <cfRule type="cellIs" dxfId="43" priority="29" operator="equal">
      <formula>"#4"</formula>
    </cfRule>
  </conditionalFormatting>
  <conditionalFormatting sqref="A6:A75">
    <cfRule type="cellIs" dxfId="44" priority="30" operator="equal">
      <formula>"#5"</formula>
    </cfRule>
  </conditionalFormatting>
  <conditionalFormatting sqref="A6:A75">
    <cfRule type="cellIs" dxfId="44" priority="31" operator="equal">
      <formula>"#6"</formula>
    </cfRule>
  </conditionalFormatting>
  <conditionalFormatting sqref="D6:D83">
    <cfRule type="expression" dxfId="42" priority="32">
      <formula>$A6 = "#1"</formula>
    </cfRule>
  </conditionalFormatting>
  <conditionalFormatting sqref="D6:D83">
    <cfRule type="expression" dxfId="45" priority="33">
      <formula>$A6 = "#2"</formula>
    </cfRule>
  </conditionalFormatting>
  <conditionalFormatting sqref="D6:D83">
    <cfRule type="expression" dxfId="45" priority="34">
      <formula>$A6 = "#3"</formula>
    </cfRule>
  </conditionalFormatting>
  <conditionalFormatting sqref="D6:D83">
    <cfRule type="expression" dxfId="45" priority="35">
      <formula>$A6 = "#4"</formula>
    </cfRule>
  </conditionalFormatting>
  <conditionalFormatting sqref="D6:D83">
    <cfRule type="expression" dxfId="44" priority="36">
      <formula>$A6 = "#5"</formula>
    </cfRule>
  </conditionalFormatting>
  <conditionalFormatting sqref="D6:D83">
    <cfRule type="expression" dxfId="44" priority="37">
      <formula>$A6 = "#6"</formula>
    </cfRule>
  </conditionalFormatting>
  <conditionalFormatting sqref="E6:E83">
    <cfRule type="notContainsText" dxfId="31" priority="38" operator="notContains" text="☑">
      <formula>ISERROR(SEARCH(("☑"),(E6)))</formula>
    </cfRule>
  </conditionalFormatting>
  <conditionalFormatting sqref="B6:C44 D6:D83">
    <cfRule type="expression" dxfId="34" priority="39">
      <formula>$E6 &lt;&gt; "☑"</formula>
    </cfRule>
  </conditionalFormatting>
  <conditionalFormatting sqref="B5">
    <cfRule type="cellIs" dxfId="46" priority="40" operator="equal">
      <formula>"Standard"</formula>
    </cfRule>
  </conditionalFormatting>
  <conditionalFormatting sqref="D3:D4">
    <cfRule type="expression" dxfId="47" priority="41">
      <formula>$B$5&lt;&gt;"Standard"</formula>
    </cfRule>
  </conditionalFormatting>
  <dataValidations>
    <dataValidation type="list" allowBlank="1" showErrorMessage="1" sqref="I3">
      <formula1>"Online,Offline"</formula1>
    </dataValidation>
    <dataValidation type="list" allowBlank="1" showInputMessage="1" showErrorMessage="1" prompt="Select the Checkmark to NOT ignore the artifact" sqref="E6:E45">
      <formula1>"☑,✖"</formula1>
    </dataValidation>
    <dataValidation type="list" allowBlank="1" showErrorMessage="1" sqref="F3">
      <formula1>"Boss Gold,Chesterson Gold,Normal Mob Gold,Fairy Gold,PHoM"</formula1>
    </dataValidation>
    <dataValidation type="list" allowBlank="1" showInputMessage="1" showErrorMessage="1" prompt="Select the Checkmark to NOT ignore the artifact" sqref="E74:E75 E82">
      <formula1>"☑,✖"</formula1>
    </dataValidation>
    <dataValidation type="list" allowBlank="1" showDropDown="1" showErrorMessage="1" sqref="M4 O4 S34 S40 S46 S52 AA65 AC65">
      <formula1>"☑,✖"</formula1>
    </dataValidation>
    <dataValidation type="decimal" operator="greaterThanOrEqual" allowBlank="1" showDropDown="1" showErrorMessage="1" sqref="S47:S48 S53:S54">
      <formula1>0.0</formula1>
    </dataValidation>
    <dataValidation type="decimal" operator="greaterThanOrEqual" allowBlank="1" showDropDown="1" showInputMessage="1" prompt="TEST TEST TEST" sqref="B6">
      <formula1>0.0</formula1>
    </dataValidation>
    <dataValidation type="list" allowBlank="1" showInputMessage="1" showErrorMessage="1" prompt="Select the Checkmark to NOT ignore the artifact" sqref="E83">
      <formula1>"☑,✖"</formula1>
    </dataValidation>
    <dataValidation type="list" allowBlank="1" showErrorMessage="1" sqref="H3">
      <formula1>"Flying,Ground"</formula1>
    </dataValidation>
    <dataValidation type="list" allowBlank="1" showErrorMessage="1" sqref="K3">
      <formula1>'2.9 Artifact Optimizer'!$U$91:$U$95</formula1>
    </dataValidation>
    <dataValidation type="list" allowBlank="1" showErrorMessage="1" sqref="N3">
      <formula1>"Vertical,Horizontal"</formula1>
    </dataValidation>
    <dataValidation type="list" allowBlank="1" showErrorMessage="1" sqref="G3">
      <formula1>"Ranged,Melee,Spell"</formula1>
    </dataValidation>
    <dataValidation type="list" allowBlank="1" showErrorMessage="1" sqref="B5">
      <formula1>'2.9 Artifact Optimizer'!$T$267:$T$271</formula1>
    </dataValidation>
    <dataValidation type="list" allowBlank="1" showInputMessage="1" showErrorMessage="1" prompt="Select the Checkmark to NOT ignore the artifact" sqref="E46:E73 E76:E81">
      <formula1>"☑,✖"</formula1>
    </dataValidation>
    <dataValidation type="list" allowBlank="1" showErrorMessage="1" sqref="B3">
      <formula1>"TAP,PET,SC,HS,SHIP"</formula1>
    </dataValidation>
    <dataValidation type="custom" allowBlank="1" showDropDown="1" showInputMessage="1" showErrorMessage="1" prompt="Increased Relics from Prestiges" sqref="D6">
      <formula1>ISERROR(SEARCH((""""),(D6)))</formula1>
    </dataValidation>
  </dataValidations>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F6B26B"/>
    <outlinePr summaryBelow="0" summaryRight="0"/>
  </sheetPr>
  <sheetViews>
    <sheetView workbookViewId="0"/>
  </sheetViews>
  <sheetFormatPr customHeight="1" defaultColWidth="14.43" defaultRowHeight="15.0"/>
  <cols>
    <col customWidth="1" min="2" max="3" width="6.57"/>
    <col customWidth="1" min="4" max="7" width="4.43"/>
    <col customWidth="1" min="8" max="9" width="6.57"/>
    <col customWidth="1" min="10" max="13" width="4.43"/>
    <col customWidth="1" min="14" max="15" width="6.57"/>
    <col customWidth="1" min="16" max="19" width="4.43"/>
    <col customWidth="1" min="20" max="21" width="6.57"/>
    <col customWidth="1" min="22" max="25" width="4.43"/>
    <col customWidth="1" min="26" max="27" width="6.57"/>
    <col customWidth="1" min="28" max="31" width="4.43"/>
    <col customWidth="1" min="32" max="32" width="25.86"/>
  </cols>
  <sheetData>
    <row r="1">
      <c r="A1" s="3"/>
      <c r="B1" s="3"/>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row>
    <row r="2">
      <c r="A2" s="3"/>
      <c r="B2" s="3"/>
      <c r="C2" s="3"/>
      <c r="D2" s="3"/>
      <c r="E2" s="3"/>
      <c r="F2" s="3"/>
      <c r="G2" s="3"/>
      <c r="H2" s="3"/>
      <c r="I2" s="3"/>
      <c r="J2" s="3"/>
      <c r="K2" s="3"/>
      <c r="L2" s="477" t="s">
        <v>768</v>
      </c>
      <c r="M2" s="479"/>
      <c r="N2" s="479"/>
      <c r="O2" s="480" t="s">
        <v>506</v>
      </c>
      <c r="P2" s="479"/>
      <c r="Q2" s="479"/>
      <c r="R2" s="479"/>
      <c r="S2" s="479"/>
      <c r="T2" s="479"/>
      <c r="U2" s="479"/>
      <c r="V2" s="481" t="s">
        <v>278</v>
      </c>
      <c r="W2" s="479"/>
      <c r="X2" s="479"/>
      <c r="Y2" s="482"/>
      <c r="Z2" s="3"/>
      <c r="AA2" s="3"/>
      <c r="AB2" s="3"/>
      <c r="AC2" s="3"/>
      <c r="AD2" s="3"/>
      <c r="AE2" s="3"/>
      <c r="AF2" s="3"/>
      <c r="AG2" s="3"/>
      <c r="AH2" s="3"/>
      <c r="AI2" s="3"/>
      <c r="AJ2" s="3"/>
    </row>
    <row r="3">
      <c r="A3" s="3"/>
      <c r="B3" s="3" t="str">
        <f>'2.10.3 SP Bonus Optimizer'!R23</f>
        <v/>
      </c>
      <c r="C3" s="3" t="str">
        <f>'2.10.3 SP Bonus Optimizer'!S23</f>
        <v>Ingame Build Paste</v>
      </c>
      <c r="D3" s="3" t="str">
        <f>'2.10.3 SP Bonus Optimizer'!T23</f>
        <v/>
      </c>
      <c r="E3" s="3" t="str">
        <f>'2.10.3 SP Bonus Optimizer'!U23</f>
        <v/>
      </c>
      <c r="F3" s="3" t="str">
        <f>'2.10.3 SP Bonus Optimizer'!V23</f>
        <v/>
      </c>
      <c r="G3" s="3" t="str">
        <f>'2.10.3 SP Bonus Optimizer'!W23</f>
        <v/>
      </c>
      <c r="H3" s="3" t="str">
        <f>'2.10.3 SP Bonus Optimizer'!X23</f>
        <v/>
      </c>
      <c r="I3" s="3" t="str">
        <f>'2.10.3 SP Bonus Optimizer'!Y23</f>
        <v/>
      </c>
      <c r="J3" s="3" t="str">
        <f>'2.10.3 SP Bonus Optimizer'!Z23</f>
        <v/>
      </c>
      <c r="K3" s="3" t="str">
        <f>'2.10.3 SP Bonus Optimizer'!AA23</f>
        <v/>
      </c>
      <c r="L3" s="3" t="str">
        <f>'2.10.3 SP Bonus Optimizer'!AB23</f>
        <v/>
      </c>
      <c r="M3" s="3" t="str">
        <f>'2.10.3 SP Bonus Optimizer'!AC23</f>
        <v/>
      </c>
      <c r="N3" s="3" t="str">
        <f>'2.10.3 SP Bonus Optimizer'!AD23</f>
        <v/>
      </c>
      <c r="O3" s="3" t="str">
        <f>'2.10.3 SP Bonus Optimizer'!AE23</f>
        <v/>
      </c>
      <c r="P3" s="3" t="str">
        <f>'2.10.3 SP Bonus Optimizer'!AF23</f>
        <v/>
      </c>
      <c r="Q3" s="3" t="str">
        <f>'2.10.3 SP Bonus Optimizer'!AG23</f>
        <v/>
      </c>
      <c r="R3" s="3" t="str">
        <f>'2.10.3 SP Bonus Optimizer'!AH23</f>
        <v/>
      </c>
      <c r="S3" s="3" t="str">
        <f>'2.10.3 SP Bonus Optimizer'!AI23</f>
        <v/>
      </c>
      <c r="T3" s="3" t="str">
        <f>'2.10.3 SP Bonus Optimizer'!AJ23</f>
        <v/>
      </c>
      <c r="U3" s="3" t="str">
        <f>'2.10.3 SP Bonus Optimizer'!AK23</f>
        <v/>
      </c>
      <c r="V3" s="3" t="str">
        <f>'2.10.3 SP Bonus Optimizer'!AL23</f>
        <v/>
      </c>
      <c r="W3" s="3" t="str">
        <f>'2.10.3 SP Bonus Optimizer'!AM23</f>
        <v/>
      </c>
      <c r="X3" s="3" t="str">
        <f>'2.10.3 SP Bonus Optimizer'!AN23</f>
        <v/>
      </c>
      <c r="Y3" s="3" t="str">
        <f>'2.10.3 SP Bonus Optimizer'!AO23</f>
        <v/>
      </c>
      <c r="Z3" s="3" t="str">
        <f>'2.10.3 SP Bonus Optimizer'!AP23</f>
        <v/>
      </c>
      <c r="AA3" s="3" t="str">
        <f>'2.10.3 SP Bonus Optimizer'!AQ23</f>
        <v/>
      </c>
      <c r="AB3" s="3"/>
      <c r="AC3" s="3"/>
      <c r="AD3" s="3"/>
      <c r="AE3" s="3"/>
      <c r="AF3" s="3"/>
      <c r="AG3" s="3"/>
      <c r="AH3" s="3"/>
      <c r="AI3" s="3"/>
      <c r="AJ3" s="3"/>
    </row>
    <row r="4">
      <c r="A4" s="3"/>
      <c r="B4" s="483" t="s">
        <v>769</v>
      </c>
      <c r="C4" s="484"/>
      <c r="D4" s="484"/>
      <c r="E4" s="484"/>
      <c r="F4" s="484"/>
      <c r="G4" s="484"/>
      <c r="H4" s="484"/>
      <c r="I4" s="484"/>
      <c r="J4" s="484"/>
      <c r="K4" s="484"/>
      <c r="L4" s="484"/>
      <c r="M4" s="484"/>
      <c r="N4" s="484"/>
      <c r="O4" s="484"/>
      <c r="P4" s="484"/>
      <c r="Q4" s="484"/>
      <c r="R4" s="484"/>
      <c r="S4" s="484"/>
      <c r="T4" s="484"/>
      <c r="U4" s="484"/>
      <c r="V4" s="484"/>
      <c r="W4" s="484"/>
      <c r="X4" s="484"/>
      <c r="Y4" s="484"/>
      <c r="Z4" s="484"/>
      <c r="AA4" s="484"/>
      <c r="AB4" s="484"/>
      <c r="AC4" s="484"/>
      <c r="AD4" s="484"/>
      <c r="AE4" s="485"/>
      <c r="AF4" s="486"/>
      <c r="AG4" s="486"/>
      <c r="AH4" s="486"/>
      <c r="AI4" s="486"/>
      <c r="AJ4" s="486"/>
    </row>
    <row r="5">
      <c r="A5" s="3"/>
      <c r="B5" s="487"/>
      <c r="C5" s="488"/>
      <c r="D5" s="488"/>
      <c r="E5" s="488"/>
      <c r="F5" s="488"/>
      <c r="G5" s="488"/>
      <c r="H5" s="488"/>
      <c r="I5" s="488"/>
      <c r="J5" s="488"/>
      <c r="K5" s="488"/>
      <c r="L5" s="488"/>
      <c r="M5" s="488"/>
      <c r="N5" s="488"/>
      <c r="O5" s="488"/>
      <c r="P5" s="488"/>
      <c r="Q5" s="488"/>
      <c r="R5" s="488"/>
      <c r="S5" s="488"/>
      <c r="T5" s="488"/>
      <c r="U5" s="488"/>
      <c r="V5" s="488"/>
      <c r="W5" s="488"/>
      <c r="X5" s="488"/>
      <c r="Y5" s="488"/>
      <c r="Z5" s="488"/>
      <c r="AA5" s="488"/>
      <c r="AB5" s="488"/>
      <c r="AC5" s="488"/>
      <c r="AD5" s="488"/>
      <c r="AE5" s="489"/>
      <c r="AF5" s="486"/>
      <c r="AG5" s="486"/>
      <c r="AH5" s="486"/>
      <c r="AI5" s="486"/>
      <c r="AJ5" s="486"/>
    </row>
    <row r="6">
      <c r="A6" s="3"/>
      <c r="B6" s="490">
        <v>0.0</v>
      </c>
      <c r="D6" s="491" t="s">
        <v>770</v>
      </c>
      <c r="H6" s="492">
        <v>6.4E16</v>
      </c>
      <c r="J6" s="493" t="s">
        <v>772</v>
      </c>
      <c r="N6" s="492">
        <v>8.0E18</v>
      </c>
      <c r="P6" s="230" t="s">
        <v>723</v>
      </c>
      <c r="T6" s="492">
        <v>3.9E9</v>
      </c>
      <c r="V6" s="494" t="s">
        <v>784</v>
      </c>
      <c r="Z6" s="492">
        <v>5.3E24</v>
      </c>
      <c r="AB6" s="495" t="s">
        <v>792</v>
      </c>
      <c r="AE6" s="496"/>
      <c r="AF6" s="497" t="s">
        <v>800</v>
      </c>
      <c r="AG6" s="498"/>
      <c r="AH6" s="498"/>
      <c r="AI6" s="498"/>
      <c r="AJ6" s="486"/>
    </row>
    <row r="7">
      <c r="A7" s="3"/>
      <c r="B7" s="490">
        <v>4.84</v>
      </c>
      <c r="D7" s="406" t="s">
        <v>814</v>
      </c>
      <c r="H7" s="492">
        <v>1.0</v>
      </c>
      <c r="J7" s="499" t="s">
        <v>820</v>
      </c>
      <c r="N7" s="492">
        <v>4.4</v>
      </c>
      <c r="P7" s="500" t="s">
        <v>826</v>
      </c>
      <c r="T7" s="492">
        <v>17.5</v>
      </c>
      <c r="V7" s="501" t="s">
        <v>833</v>
      </c>
      <c r="Z7" s="492">
        <v>20.0</v>
      </c>
      <c r="AB7" s="502" t="s">
        <v>842</v>
      </c>
      <c r="AE7" s="496"/>
      <c r="AJ7" s="486"/>
    </row>
    <row r="8">
      <c r="A8" s="3"/>
      <c r="B8" s="490">
        <v>4.132</v>
      </c>
      <c r="D8" s="406" t="s">
        <v>849</v>
      </c>
      <c r="H8" s="492">
        <v>1.0</v>
      </c>
      <c r="J8" s="499" t="s">
        <v>852</v>
      </c>
      <c r="N8" s="492">
        <v>5.66</v>
      </c>
      <c r="P8" s="500" t="s">
        <v>855</v>
      </c>
      <c r="T8" s="492">
        <v>76.0</v>
      </c>
      <c r="V8" s="501" t="s">
        <v>857</v>
      </c>
      <c r="Z8" s="492">
        <v>13.0</v>
      </c>
      <c r="AB8" s="502" t="s">
        <v>861</v>
      </c>
      <c r="AE8" s="496"/>
      <c r="AJ8" s="486"/>
    </row>
    <row r="9">
      <c r="A9" s="3"/>
      <c r="B9" s="490">
        <v>0.0</v>
      </c>
      <c r="D9" s="406" t="s">
        <v>865</v>
      </c>
      <c r="H9" s="492">
        <v>1.0</v>
      </c>
      <c r="J9" s="503"/>
      <c r="N9" s="492">
        <v>7.76</v>
      </c>
      <c r="P9" s="500" t="s">
        <v>869</v>
      </c>
      <c r="T9" s="492">
        <v>21.0</v>
      </c>
      <c r="V9" s="501" t="s">
        <v>871</v>
      </c>
      <c r="Z9" s="492">
        <v>20.0</v>
      </c>
      <c r="AB9" s="502" t="s">
        <v>873</v>
      </c>
      <c r="AE9" s="496"/>
      <c r="AF9" s="504"/>
      <c r="AG9" s="504"/>
      <c r="AH9" s="504"/>
      <c r="AI9" s="504"/>
      <c r="AJ9" s="486"/>
    </row>
    <row r="10">
      <c r="A10" s="3"/>
      <c r="B10" s="505">
        <f t="shared" ref="B10:B13" si="1">iferror(B6^index($K$31:$K$74,Match(D6,$D$31:$D$74,0),1),1)</f>
        <v>0</v>
      </c>
      <c r="C10" s="484"/>
      <c r="D10" s="484"/>
      <c r="E10" s="484"/>
      <c r="F10" s="484"/>
      <c r="G10" s="506"/>
      <c r="H10" s="505">
        <f t="shared" ref="H10:H13" si="2">iferror(H6^index($K$31:$K$74,Match(J6,$D$31:$D$74,0),1),1)</f>
        <v>252982212.8</v>
      </c>
      <c r="I10" s="484"/>
      <c r="J10" s="484"/>
      <c r="K10" s="484"/>
      <c r="L10" s="484"/>
      <c r="M10" s="506"/>
      <c r="N10" s="505">
        <f t="shared" ref="N10:N13" si="3">iferror(N6^index($K$31:$K$74,Match(P6,$D$31:$D$74,0),1),1)</f>
        <v>1.32578E+15</v>
      </c>
      <c r="O10" s="484"/>
      <c r="P10" s="484"/>
      <c r="Q10" s="484"/>
      <c r="R10" s="484"/>
      <c r="S10" s="506"/>
      <c r="T10" s="507">
        <f t="shared" ref="T10:T13" si="4">iferror(T6^index($K$31:$K$74,Match(V6,$D$31:$D$74,0),1),1)</f>
        <v>3900000000</v>
      </c>
      <c r="U10" s="484"/>
      <c r="V10" s="484"/>
      <c r="W10" s="484"/>
      <c r="X10" s="484"/>
      <c r="Y10" s="506"/>
      <c r="Z10" s="507">
        <f t="shared" ref="Z10:Z13" si="5">iferror(Z6^index($K$31:$K$74,Match(AB6,$D$31:$D$74,0),1),1)</f>
        <v>1</v>
      </c>
      <c r="AA10" s="484"/>
      <c r="AB10" s="484"/>
      <c r="AC10" s="484"/>
      <c r="AD10" s="484"/>
      <c r="AE10" s="485"/>
      <c r="AF10" s="508" t="str">
        <f>"Equiv Multipliers for " &amp; Q30</f>
        <v>Equiv Multipliers for Pet Damage</v>
      </c>
      <c r="AG10" s="498"/>
      <c r="AH10" s="498"/>
      <c r="AI10" s="498"/>
      <c r="AJ10" s="3"/>
    </row>
    <row r="11">
      <c r="A11" s="3"/>
      <c r="B11" s="509">
        <f t="shared" si="1"/>
        <v>4.84</v>
      </c>
      <c r="G11" s="510"/>
      <c r="H11" s="509">
        <f t="shared" si="2"/>
        <v>1</v>
      </c>
      <c r="M11" s="510"/>
      <c r="N11" s="509">
        <f t="shared" si="3"/>
        <v>3.271614627</v>
      </c>
      <c r="S11" s="510"/>
      <c r="T11" s="511">
        <f t="shared" si="4"/>
        <v>1</v>
      </c>
      <c r="Y11" s="510"/>
      <c r="Z11" s="511">
        <f t="shared" si="5"/>
        <v>1</v>
      </c>
      <c r="AE11" s="496"/>
      <c r="AJ11" s="3"/>
    </row>
    <row r="12">
      <c r="A12" s="3"/>
      <c r="B12" s="509">
        <f t="shared" si="1"/>
        <v>2.342589475</v>
      </c>
      <c r="G12" s="510"/>
      <c r="H12" s="509">
        <f t="shared" si="2"/>
        <v>1</v>
      </c>
      <c r="M12" s="510"/>
      <c r="N12" s="509">
        <f t="shared" si="3"/>
        <v>1</v>
      </c>
      <c r="S12" s="510"/>
      <c r="T12" s="512">
        <f t="shared" si="4"/>
        <v>1</v>
      </c>
      <c r="Y12" s="510"/>
      <c r="Z12" s="512">
        <f t="shared" si="5"/>
        <v>1</v>
      </c>
      <c r="AE12" s="496"/>
      <c r="AJ12" s="3"/>
    </row>
    <row r="13">
      <c r="A13" s="3"/>
      <c r="B13" s="509">
        <f t="shared" si="1"/>
        <v>1</v>
      </c>
      <c r="G13" s="510"/>
      <c r="H13" s="509">
        <f t="shared" si="2"/>
        <v>1</v>
      </c>
      <c r="M13" s="510"/>
      <c r="N13" s="509">
        <f t="shared" si="3"/>
        <v>1</v>
      </c>
      <c r="S13" s="510"/>
      <c r="T13" s="513">
        <f t="shared" si="4"/>
        <v>1</v>
      </c>
      <c r="U13" s="514"/>
      <c r="V13" s="514"/>
      <c r="W13" s="514"/>
      <c r="X13" s="514"/>
      <c r="Y13" s="515"/>
      <c r="Z13" s="513">
        <f t="shared" si="5"/>
        <v>1</v>
      </c>
      <c r="AA13" s="514"/>
      <c r="AB13" s="514"/>
      <c r="AC13" s="514"/>
      <c r="AD13" s="514"/>
      <c r="AE13" s="516"/>
      <c r="AF13" s="504"/>
      <c r="AG13" s="504"/>
      <c r="AH13" s="504"/>
      <c r="AI13" s="504"/>
      <c r="AJ13" s="3"/>
    </row>
    <row r="14">
      <c r="A14" s="3"/>
      <c r="B14" s="517">
        <f>B10*B11*B12*B13</f>
        <v>0</v>
      </c>
      <c r="C14" s="518"/>
      <c r="D14" s="518"/>
      <c r="E14" s="518"/>
      <c r="F14" s="518"/>
      <c r="G14" s="518"/>
      <c r="H14" s="517">
        <f>H10*H11*H12*H13</f>
        <v>252982212.8</v>
      </c>
      <c r="I14" s="518"/>
      <c r="J14" s="518"/>
      <c r="K14" s="518"/>
      <c r="L14" s="518"/>
      <c r="M14" s="518"/>
      <c r="N14" s="517">
        <f>N10*N11*N12*N13</f>
        <v>4.33745E+15</v>
      </c>
      <c r="O14" s="518"/>
      <c r="P14" s="518"/>
      <c r="Q14" s="518"/>
      <c r="R14" s="518"/>
      <c r="S14" s="518"/>
      <c r="T14" s="517">
        <f>T10*T11*T12*T13</f>
        <v>3900000000</v>
      </c>
      <c r="U14" s="518"/>
      <c r="V14" s="518"/>
      <c r="W14" s="518"/>
      <c r="X14" s="518"/>
      <c r="Y14" s="518"/>
      <c r="Z14" s="517">
        <f>Z10*Z11*Z12*Z13</f>
        <v>1</v>
      </c>
      <c r="AA14" s="518"/>
      <c r="AB14" s="518"/>
      <c r="AC14" s="518"/>
      <c r="AD14" s="518"/>
      <c r="AE14" s="519"/>
      <c r="AF14" s="520" t="s">
        <v>998</v>
      </c>
      <c r="AG14" s="521"/>
      <c r="AH14" s="521"/>
      <c r="AI14" s="521"/>
      <c r="AJ14" s="3"/>
    </row>
    <row r="15">
      <c r="A15" s="3"/>
      <c r="B15" s="3"/>
      <c r="C15" s="3"/>
      <c r="D15" s="3"/>
      <c r="E15" s="3"/>
      <c r="F15" s="3"/>
      <c r="G15" s="3"/>
      <c r="H15" s="3"/>
      <c r="I15" s="3"/>
      <c r="J15" s="3"/>
      <c r="K15" s="3"/>
      <c r="L15" s="3"/>
      <c r="M15" s="3"/>
      <c r="N15" s="3"/>
      <c r="O15" s="3"/>
      <c r="P15" s="3"/>
      <c r="Q15" s="3"/>
      <c r="R15" s="3"/>
      <c r="S15" s="3"/>
      <c r="T15" s="3"/>
      <c r="U15" s="3"/>
      <c r="V15" s="3"/>
      <c r="W15" s="3"/>
      <c r="X15" s="3"/>
      <c r="Y15" s="3"/>
      <c r="Z15" s="3"/>
      <c r="AA15" s="3"/>
      <c r="AB15" s="3"/>
      <c r="AC15" s="3"/>
      <c r="AD15" s="3"/>
      <c r="AE15" s="3"/>
      <c r="AF15" s="3"/>
      <c r="AG15" s="3"/>
      <c r="AH15" s="3"/>
      <c r="AI15" s="3"/>
      <c r="AJ15" s="3"/>
    </row>
    <row r="16">
      <c r="A16" s="3"/>
      <c r="B16" s="483" t="s">
        <v>999</v>
      </c>
      <c r="C16" s="484"/>
      <c r="D16" s="484"/>
      <c r="E16" s="484"/>
      <c r="F16" s="484"/>
      <c r="G16" s="484"/>
      <c r="H16" s="484"/>
      <c r="I16" s="484"/>
      <c r="J16" s="484"/>
      <c r="K16" s="484"/>
      <c r="L16" s="484"/>
      <c r="M16" s="484"/>
      <c r="N16" s="484"/>
      <c r="O16" s="484"/>
      <c r="P16" s="484"/>
      <c r="Q16" s="484"/>
      <c r="R16" s="484"/>
      <c r="S16" s="484"/>
      <c r="T16" s="484"/>
      <c r="U16" s="484"/>
      <c r="V16" s="484"/>
      <c r="W16" s="484"/>
      <c r="X16" s="484"/>
      <c r="Y16" s="484"/>
      <c r="Z16" s="484"/>
      <c r="AA16" s="484"/>
      <c r="AB16" s="484"/>
      <c r="AC16" s="484"/>
      <c r="AD16" s="484"/>
      <c r="AE16" s="485"/>
      <c r="AF16" s="486"/>
      <c r="AG16" s="486"/>
      <c r="AH16" s="486"/>
      <c r="AI16" s="486"/>
      <c r="AJ16" s="3"/>
    </row>
    <row r="17">
      <c r="A17" s="3"/>
      <c r="B17" s="487"/>
      <c r="C17" s="488"/>
      <c r="D17" s="488"/>
      <c r="E17" s="488"/>
      <c r="F17" s="488"/>
      <c r="G17" s="488"/>
      <c r="H17" s="488"/>
      <c r="I17" s="488"/>
      <c r="J17" s="488"/>
      <c r="K17" s="488"/>
      <c r="L17" s="488"/>
      <c r="M17" s="488"/>
      <c r="N17" s="488"/>
      <c r="O17" s="488"/>
      <c r="P17" s="488"/>
      <c r="Q17" s="488"/>
      <c r="R17" s="488"/>
      <c r="S17" s="488"/>
      <c r="T17" s="488"/>
      <c r="U17" s="488"/>
      <c r="V17" s="488"/>
      <c r="W17" s="488"/>
      <c r="X17" s="488"/>
      <c r="Y17" s="488"/>
      <c r="Z17" s="488"/>
      <c r="AA17" s="488"/>
      <c r="AB17" s="488"/>
      <c r="AC17" s="488"/>
      <c r="AD17" s="488"/>
      <c r="AE17" s="489"/>
      <c r="AF17" s="486"/>
      <c r="AG17" s="486"/>
      <c r="AH17" s="486"/>
      <c r="AI17" s="486"/>
      <c r="AJ17" s="3"/>
    </row>
    <row r="18">
      <c r="A18" s="3"/>
      <c r="B18" s="490">
        <v>8.0E18</v>
      </c>
      <c r="D18" s="491" t="s">
        <v>770</v>
      </c>
      <c r="H18" s="492">
        <v>6.4E16</v>
      </c>
      <c r="J18" s="493" t="s">
        <v>772</v>
      </c>
      <c r="N18" s="492">
        <v>8.0E18</v>
      </c>
      <c r="P18" s="230" t="s">
        <v>723</v>
      </c>
      <c r="T18" s="492">
        <v>3.9E9</v>
      </c>
      <c r="V18" s="494" t="s">
        <v>784</v>
      </c>
      <c r="Z18" s="492">
        <v>5.3E24</v>
      </c>
      <c r="AB18" s="495" t="s">
        <v>792</v>
      </c>
      <c r="AE18" s="496"/>
      <c r="AF18" s="497" t="s">
        <v>800</v>
      </c>
      <c r="AG18" s="498"/>
      <c r="AH18" s="498"/>
      <c r="AI18" s="498"/>
      <c r="AJ18" s="3"/>
    </row>
    <row r="19">
      <c r="A19" s="3"/>
      <c r="B19" s="490">
        <v>4.84</v>
      </c>
      <c r="D19" s="406" t="s">
        <v>814</v>
      </c>
      <c r="H19" s="492">
        <v>4.5</v>
      </c>
      <c r="J19" s="499" t="s">
        <v>820</v>
      </c>
      <c r="N19" s="492">
        <v>4.4</v>
      </c>
      <c r="P19" s="500" t="s">
        <v>869</v>
      </c>
      <c r="T19" s="492">
        <v>17.5</v>
      </c>
      <c r="V19" s="501" t="s">
        <v>833</v>
      </c>
      <c r="Z19" s="492">
        <v>20.0</v>
      </c>
      <c r="AB19" s="502" t="s">
        <v>842</v>
      </c>
      <c r="AE19" s="496"/>
      <c r="AJ19" s="3"/>
    </row>
    <row r="20">
      <c r="A20" s="3"/>
      <c r="B20" s="490">
        <v>4.132</v>
      </c>
      <c r="D20" s="406" t="s">
        <v>849</v>
      </c>
      <c r="H20" s="522"/>
      <c r="J20" s="499" t="s">
        <v>852</v>
      </c>
      <c r="N20" s="492">
        <v>5.66</v>
      </c>
      <c r="P20" s="500" t="s">
        <v>855</v>
      </c>
      <c r="T20" s="492">
        <v>76.0</v>
      </c>
      <c r="V20" s="501" t="s">
        <v>857</v>
      </c>
      <c r="Z20" s="492">
        <v>13.0</v>
      </c>
      <c r="AB20" s="502" t="s">
        <v>861</v>
      </c>
      <c r="AE20" s="496"/>
      <c r="AJ20" s="3"/>
    </row>
    <row r="21">
      <c r="A21" s="3"/>
      <c r="B21" s="490">
        <v>6.62</v>
      </c>
      <c r="D21" s="406" t="s">
        <v>865</v>
      </c>
      <c r="H21" s="522"/>
      <c r="J21" s="503"/>
      <c r="N21" s="492">
        <v>7.76</v>
      </c>
      <c r="P21" s="500" t="s">
        <v>869</v>
      </c>
      <c r="T21" s="492">
        <v>21.0</v>
      </c>
      <c r="V21" s="501" t="s">
        <v>871</v>
      </c>
      <c r="Z21" s="492">
        <v>20.0</v>
      </c>
      <c r="AB21" s="502" t="s">
        <v>873</v>
      </c>
      <c r="AE21" s="496"/>
      <c r="AF21" s="504"/>
      <c r="AG21" s="504"/>
      <c r="AH21" s="504"/>
      <c r="AI21" s="504"/>
      <c r="AJ21" s="3"/>
    </row>
    <row r="22">
      <c r="A22" s="3"/>
      <c r="B22" s="505">
        <f t="shared" ref="B22:B25" si="6">iferror(B18^index($K$31:$K$74,Match(D18,$D$31:$D$74,0),1),1)</f>
        <v>2828427125</v>
      </c>
      <c r="C22" s="484"/>
      <c r="D22" s="484"/>
      <c r="E22" s="484"/>
      <c r="F22" s="484"/>
      <c r="G22" s="506"/>
      <c r="H22" s="505">
        <f t="shared" ref="H22:H25" si="7">iferror(H18^index($K$31:$K$74,Match(J18,$D$31:$D$74,0),1),1)</f>
        <v>252982212.8</v>
      </c>
      <c r="I22" s="484"/>
      <c r="J22" s="484"/>
      <c r="K22" s="484"/>
      <c r="L22" s="484"/>
      <c r="M22" s="506"/>
      <c r="N22" s="505">
        <f t="shared" ref="N22:N25" si="8">iferror(N18^index($K$31:$K$74,Match(P18,$D$31:$D$74,0),1),1)</f>
        <v>1.32578E+15</v>
      </c>
      <c r="O22" s="484"/>
      <c r="P22" s="484"/>
      <c r="Q22" s="484"/>
      <c r="R22" s="484"/>
      <c r="S22" s="506"/>
      <c r="T22" s="507">
        <f t="shared" ref="T22:T25" si="9">iferror(T18^index($K$31:$K$74,Match(V18,$D$31:$D$74,0),1),1)</f>
        <v>3900000000</v>
      </c>
      <c r="U22" s="484"/>
      <c r="V22" s="484"/>
      <c r="W22" s="484"/>
      <c r="X22" s="484"/>
      <c r="Y22" s="506"/>
      <c r="Z22" s="507">
        <f t="shared" ref="Z22:Z25" si="10">iferror(Z18^index($K$31:$K$74,Match(AB18,$D$31:$D$74,0),1),1)</f>
        <v>1</v>
      </c>
      <c r="AA22" s="484"/>
      <c r="AB22" s="484"/>
      <c r="AC22" s="484"/>
      <c r="AD22" s="484"/>
      <c r="AE22" s="485"/>
      <c r="AF22" s="508" t="str">
        <f>"Equiv Multipliers for " &amp; Q42</f>
        <v>Equiv Multipliers for </v>
      </c>
      <c r="AG22" s="498"/>
      <c r="AH22" s="498"/>
      <c r="AI22" s="498"/>
      <c r="AJ22" s="3"/>
    </row>
    <row r="23">
      <c r="A23" s="3"/>
      <c r="B23" s="509">
        <f t="shared" si="6"/>
        <v>4.84</v>
      </c>
      <c r="G23" s="510"/>
      <c r="H23" s="509">
        <f t="shared" si="7"/>
        <v>4.5</v>
      </c>
      <c r="M23" s="510"/>
      <c r="N23" s="509">
        <f t="shared" si="8"/>
        <v>1</v>
      </c>
      <c r="S23" s="510"/>
      <c r="T23" s="511">
        <f t="shared" si="9"/>
        <v>1</v>
      </c>
      <c r="Y23" s="510"/>
      <c r="Z23" s="511">
        <f t="shared" si="10"/>
        <v>1</v>
      </c>
      <c r="AE23" s="496"/>
      <c r="AJ23" s="3"/>
    </row>
    <row r="24">
      <c r="A24" s="3"/>
      <c r="B24" s="509">
        <f t="shared" si="6"/>
        <v>2.342589475</v>
      </c>
      <c r="G24" s="510"/>
      <c r="H24" s="509">
        <f t="shared" si="7"/>
        <v>1</v>
      </c>
      <c r="M24" s="510"/>
      <c r="N24" s="509">
        <f t="shared" si="8"/>
        <v>1</v>
      </c>
      <c r="S24" s="510"/>
      <c r="T24" s="512">
        <f t="shared" si="9"/>
        <v>1</v>
      </c>
      <c r="Y24" s="510"/>
      <c r="Z24" s="512">
        <f t="shared" si="10"/>
        <v>1</v>
      </c>
      <c r="AE24" s="496"/>
      <c r="AJ24" s="3"/>
    </row>
    <row r="25">
      <c r="A25" s="3"/>
      <c r="B25" s="509">
        <f t="shared" si="6"/>
        <v>1</v>
      </c>
      <c r="G25" s="510"/>
      <c r="H25" s="509">
        <f t="shared" si="7"/>
        <v>1</v>
      </c>
      <c r="M25" s="510"/>
      <c r="N25" s="509">
        <f t="shared" si="8"/>
        <v>1</v>
      </c>
      <c r="S25" s="510"/>
      <c r="T25" s="513">
        <f t="shared" si="9"/>
        <v>1</v>
      </c>
      <c r="U25" s="514"/>
      <c r="V25" s="514"/>
      <c r="W25" s="514"/>
      <c r="X25" s="514"/>
      <c r="Y25" s="515"/>
      <c r="Z25" s="513">
        <f t="shared" si="10"/>
        <v>1</v>
      </c>
      <c r="AA25" s="514"/>
      <c r="AB25" s="514"/>
      <c r="AC25" s="514"/>
      <c r="AD25" s="514"/>
      <c r="AE25" s="516"/>
      <c r="AF25" s="504"/>
      <c r="AG25" s="504"/>
      <c r="AH25" s="504"/>
      <c r="AI25" s="504"/>
      <c r="AJ25" s="3"/>
    </row>
    <row r="26">
      <c r="A26" s="3"/>
      <c r="B26" s="517">
        <f>B22*B23*B24*B25</f>
        <v>32069083087</v>
      </c>
      <c r="C26" s="518"/>
      <c r="D26" s="518"/>
      <c r="E26" s="518"/>
      <c r="F26" s="518"/>
      <c r="G26" s="518"/>
      <c r="H26" s="517">
        <f>H22*H23*H24*H25</f>
        <v>1138419958</v>
      </c>
      <c r="I26" s="518"/>
      <c r="J26" s="518"/>
      <c r="K26" s="518"/>
      <c r="L26" s="518"/>
      <c r="M26" s="518"/>
      <c r="N26" s="517">
        <f>N22*N23*N24*N25</f>
        <v>1.32578E+15</v>
      </c>
      <c r="O26" s="518"/>
      <c r="P26" s="518"/>
      <c r="Q26" s="518"/>
      <c r="R26" s="518"/>
      <c r="S26" s="518"/>
      <c r="T26" s="517">
        <f>T22*T23*T24*T25</f>
        <v>3900000000</v>
      </c>
      <c r="U26" s="518"/>
      <c r="V26" s="518"/>
      <c r="W26" s="518"/>
      <c r="X26" s="518"/>
      <c r="Y26" s="518"/>
      <c r="Z26" s="517">
        <f>Z22*Z23*Z24*Z25</f>
        <v>1</v>
      </c>
      <c r="AA26" s="518"/>
      <c r="AB26" s="518"/>
      <c r="AC26" s="518"/>
      <c r="AD26" s="518"/>
      <c r="AE26" s="519"/>
      <c r="AF26" s="520" t="s">
        <v>998</v>
      </c>
      <c r="AG26" s="521"/>
      <c r="AH26" s="521"/>
      <c r="AI26" s="521"/>
      <c r="AJ26" s="3"/>
    </row>
    <row r="27">
      <c r="A27" s="3"/>
      <c r="B27" s="523" t="str">
        <f>IFERROR(B26/B14,"incomplete")</f>
        <v>incomplete</v>
      </c>
      <c r="C27" s="518"/>
      <c r="D27" s="518"/>
      <c r="E27" s="518"/>
      <c r="F27" s="518"/>
      <c r="G27" s="518"/>
      <c r="H27" s="523">
        <f>IFERROR(H26/H14,"incomplete")</f>
        <v>4.5</v>
      </c>
      <c r="I27" s="518"/>
      <c r="J27" s="518"/>
      <c r="K27" s="518"/>
      <c r="L27" s="518"/>
      <c r="M27" s="518"/>
      <c r="N27" s="523">
        <f>IFERROR(N26/N14,"incomplete")</f>
        <v>0.3056594722</v>
      </c>
      <c r="O27" s="518"/>
      <c r="P27" s="518"/>
      <c r="Q27" s="518"/>
      <c r="R27" s="518"/>
      <c r="S27" s="518"/>
      <c r="T27" s="523">
        <f>IFERROR(T26/T14,"incomplete")</f>
        <v>1</v>
      </c>
      <c r="U27" s="518"/>
      <c r="V27" s="518"/>
      <c r="W27" s="518"/>
      <c r="X27" s="518"/>
      <c r="Y27" s="518"/>
      <c r="Z27" s="523">
        <f>IFERROR(Z26/Z14,"incomplete")</f>
        <v>1</v>
      </c>
      <c r="AA27" s="518"/>
      <c r="AB27" s="518"/>
      <c r="AC27" s="518"/>
      <c r="AD27" s="518"/>
      <c r="AE27" s="518"/>
      <c r="AF27" s="524" t="s">
        <v>1000</v>
      </c>
      <c r="AG27" s="521"/>
      <c r="AH27" s="521"/>
      <c r="AI27" s="521"/>
      <c r="AJ27" s="3"/>
    </row>
    <row r="28">
      <c r="A28" s="3"/>
      <c r="B28" s="3"/>
      <c r="C28" s="3"/>
      <c r="D28" s="3"/>
      <c r="E28" s="3"/>
      <c r="F28" s="3"/>
      <c r="G28" s="3"/>
      <c r="H28" s="3"/>
      <c r="I28" s="3"/>
      <c r="J28" s="3"/>
      <c r="K28" s="3"/>
      <c r="L28" s="3"/>
      <c r="M28" s="3"/>
      <c r="N28" s="3"/>
      <c r="O28" s="3"/>
      <c r="P28" s="3"/>
      <c r="Q28" s="3"/>
      <c r="R28" s="3"/>
      <c r="S28" s="3"/>
      <c r="T28" s="3"/>
      <c r="U28" s="3"/>
      <c r="V28" s="3"/>
      <c r="W28" s="3"/>
      <c r="X28" s="3"/>
      <c r="Y28" s="3"/>
      <c r="Z28" s="3"/>
      <c r="AA28" s="3"/>
      <c r="AB28" s="3"/>
      <c r="AC28" s="3"/>
      <c r="AD28" s="3"/>
      <c r="AE28" s="3"/>
      <c r="AF28" s="3"/>
      <c r="AG28" s="3"/>
      <c r="AH28" s="3"/>
      <c r="AI28" s="3"/>
      <c r="AJ28" s="3"/>
    </row>
    <row r="29" hidden="1"/>
    <row r="30" hidden="1">
      <c r="E30" s="1" t="s">
        <v>509</v>
      </c>
      <c r="F30" s="1" t="s">
        <v>505</v>
      </c>
      <c r="G30" s="1" t="s">
        <v>506</v>
      </c>
      <c r="H30" s="1" t="s">
        <v>160</v>
      </c>
      <c r="I30" s="1" t="s">
        <v>507</v>
      </c>
      <c r="J30" s="63" t="s">
        <v>508</v>
      </c>
      <c r="K30" s="1" t="s">
        <v>492</v>
      </c>
      <c r="Q30" s="526" t="str">
        <f>O2</f>
        <v>Pet Damage</v>
      </c>
      <c r="T30" t="str">
        <f>V2</f>
        <v>Fairy</v>
      </c>
    </row>
    <row r="31" hidden="1">
      <c r="A31" s="1"/>
      <c r="D31" s="528" t="s">
        <v>814</v>
      </c>
      <c r="E31" s="1">
        <v>0.0</v>
      </c>
      <c r="F31" s="1">
        <v>1.0</v>
      </c>
      <c r="G31" s="1">
        <v>1.0</v>
      </c>
      <c r="H31">
        <f>3/5</f>
        <v>0.6</v>
      </c>
      <c r="I31" s="1">
        <v>1.0</v>
      </c>
      <c r="J31" s="1">
        <v>0.0</v>
      </c>
      <c r="K31" s="530">
        <f t="shared" ref="K31:K74" si="11">index(E31:J31,0,MATCH($Q$30,$E$30:$J$30,0))</f>
        <v>1</v>
      </c>
    </row>
    <row r="32" hidden="1">
      <c r="D32" s="528" t="s">
        <v>849</v>
      </c>
      <c r="E32" s="1">
        <v>0.0</v>
      </c>
      <c r="F32" s="1">
        <v>1.0</v>
      </c>
      <c r="G32" s="1">
        <v>0.6</v>
      </c>
      <c r="H32" s="1">
        <v>0.6</v>
      </c>
      <c r="I32" s="1">
        <v>0.6</v>
      </c>
      <c r="J32" s="1">
        <v>0.5</v>
      </c>
      <c r="K32" s="530">
        <f t="shared" si="11"/>
        <v>0.6</v>
      </c>
    </row>
    <row r="33" hidden="1">
      <c r="D33" s="528" t="s">
        <v>865</v>
      </c>
      <c r="E33" s="1">
        <v>0.0</v>
      </c>
      <c r="F33" s="1">
        <v>0.0</v>
      </c>
      <c r="G33" s="1">
        <v>0.0</v>
      </c>
      <c r="H33" s="1">
        <v>0.0</v>
      </c>
      <c r="I33" s="1">
        <v>1.0</v>
      </c>
      <c r="J33" s="1">
        <v>0.0</v>
      </c>
      <c r="K33" s="530">
        <f t="shared" si="11"/>
        <v>0</v>
      </c>
    </row>
    <row r="34" hidden="1">
      <c r="D34" s="531" t="s">
        <v>1005</v>
      </c>
      <c r="E34" s="1">
        <v>0.0</v>
      </c>
      <c r="F34" s="1">
        <v>0.0</v>
      </c>
      <c r="G34" s="1">
        <v>0.0</v>
      </c>
      <c r="H34" s="1">
        <v>1.0</v>
      </c>
      <c r="I34" s="1">
        <v>0.0</v>
      </c>
      <c r="J34" s="1">
        <v>0.0</v>
      </c>
      <c r="K34" s="530">
        <f t="shared" si="11"/>
        <v>0</v>
      </c>
      <c r="W34" s="55"/>
    </row>
    <row r="35" hidden="1">
      <c r="D35" s="531" t="s">
        <v>1006</v>
      </c>
      <c r="E35" s="1">
        <v>1.0</v>
      </c>
      <c r="F35" s="1">
        <v>0.5</v>
      </c>
      <c r="G35" s="1">
        <v>0.5</v>
      </c>
      <c r="H35">
        <f t="shared" ref="H35:H39" si="12">3/5</f>
        <v>0.6</v>
      </c>
      <c r="I35" s="1">
        <v>0.5</v>
      </c>
      <c r="J35" s="1">
        <v>1.0</v>
      </c>
      <c r="K35" s="530">
        <f t="shared" si="11"/>
        <v>0.5</v>
      </c>
      <c r="V35" s="55"/>
      <c r="W35" s="55"/>
    </row>
    <row r="36" hidden="1">
      <c r="D36" s="528" t="s">
        <v>772</v>
      </c>
      <c r="E36" s="1">
        <v>1.0</v>
      </c>
      <c r="F36" s="1">
        <v>0.5</v>
      </c>
      <c r="G36" s="1">
        <v>0.5</v>
      </c>
      <c r="H36">
        <f t="shared" si="12"/>
        <v>0.6</v>
      </c>
      <c r="I36" s="1">
        <v>0.5</v>
      </c>
      <c r="J36" s="1">
        <v>1.0</v>
      </c>
      <c r="K36" s="530">
        <f t="shared" si="11"/>
        <v>0.5</v>
      </c>
      <c r="V36" s="55"/>
      <c r="W36" s="55"/>
    </row>
    <row r="37" hidden="1">
      <c r="D37" s="528" t="s">
        <v>1007</v>
      </c>
      <c r="E37" s="1">
        <v>1.0</v>
      </c>
      <c r="F37" s="1">
        <v>0.5</v>
      </c>
      <c r="G37" s="1">
        <v>0.5</v>
      </c>
      <c r="H37">
        <f t="shared" si="12"/>
        <v>0.6</v>
      </c>
      <c r="I37" s="1">
        <v>0.5</v>
      </c>
      <c r="J37" s="1">
        <v>1.0</v>
      </c>
      <c r="K37" s="530">
        <f t="shared" si="11"/>
        <v>0.5</v>
      </c>
      <c r="V37" s="55"/>
      <c r="W37" s="55"/>
    </row>
    <row r="38" hidden="1">
      <c r="D38" s="528" t="s">
        <v>1008</v>
      </c>
      <c r="E38" s="1">
        <v>1.0</v>
      </c>
      <c r="F38" s="1">
        <v>0.5</v>
      </c>
      <c r="G38" s="1">
        <v>0.5</v>
      </c>
      <c r="H38">
        <f t="shared" si="12"/>
        <v>0.6</v>
      </c>
      <c r="I38" s="1">
        <v>0.5</v>
      </c>
      <c r="J38" s="1">
        <v>1.0</v>
      </c>
      <c r="K38" s="530">
        <f t="shared" si="11"/>
        <v>0.5</v>
      </c>
      <c r="V38" s="55"/>
      <c r="W38" s="55"/>
    </row>
    <row r="39" hidden="1">
      <c r="D39" s="528" t="s">
        <v>1010</v>
      </c>
      <c r="E39" s="1">
        <v>0.0</v>
      </c>
      <c r="F39" s="1">
        <v>1.0</v>
      </c>
      <c r="G39" s="1">
        <v>0.0</v>
      </c>
      <c r="H39">
        <f t="shared" si="12"/>
        <v>0.6</v>
      </c>
      <c r="I39" s="1">
        <v>0.8</v>
      </c>
      <c r="J39" s="1">
        <v>0.0</v>
      </c>
      <c r="K39" s="530">
        <f t="shared" si="11"/>
        <v>0</v>
      </c>
      <c r="V39" s="55"/>
      <c r="W39" s="55"/>
    </row>
    <row r="40" hidden="1">
      <c r="D40" s="528" t="s">
        <v>723</v>
      </c>
      <c r="E40" s="1">
        <v>0.8</v>
      </c>
      <c r="F40" s="1">
        <v>0.8</v>
      </c>
      <c r="G40" s="1">
        <v>0.8</v>
      </c>
      <c r="H40" s="1">
        <v>0.8</v>
      </c>
      <c r="I40" s="1">
        <v>0.8</v>
      </c>
      <c r="J40" s="1">
        <v>0.8</v>
      </c>
      <c r="K40" s="530">
        <f t="shared" si="11"/>
        <v>0.8</v>
      </c>
      <c r="V40" s="55"/>
      <c r="W40" s="55"/>
    </row>
    <row r="41" hidden="1">
      <c r="D41" s="528" t="s">
        <v>721</v>
      </c>
      <c r="E41" s="1">
        <v>0.8</v>
      </c>
      <c r="F41" s="1">
        <v>0.8</v>
      </c>
      <c r="G41" s="1">
        <v>0.8</v>
      </c>
      <c r="H41" s="1">
        <v>0.8</v>
      </c>
      <c r="I41" s="1">
        <v>0.8</v>
      </c>
      <c r="J41" s="1">
        <v>0.8</v>
      </c>
      <c r="K41" s="530">
        <f t="shared" si="11"/>
        <v>0.8</v>
      </c>
    </row>
    <row r="42" hidden="1">
      <c r="D42" s="528" t="s">
        <v>1011</v>
      </c>
      <c r="E42" s="1">
        <v>0.8</v>
      </c>
      <c r="F42" s="1">
        <v>0.8</v>
      </c>
      <c r="G42" s="1">
        <v>0.8</v>
      </c>
      <c r="H42" s="1">
        <v>0.8</v>
      </c>
      <c r="I42" s="1">
        <v>0.8</v>
      </c>
      <c r="J42" s="1">
        <v>0.8</v>
      </c>
      <c r="K42" s="530">
        <f t="shared" si="11"/>
        <v>0.8</v>
      </c>
    </row>
    <row r="43" hidden="1">
      <c r="D43" s="528" t="s">
        <v>722</v>
      </c>
      <c r="E43" s="1">
        <v>0.8</v>
      </c>
      <c r="F43" s="1">
        <v>0.8</v>
      </c>
      <c r="G43" s="1">
        <v>0.8</v>
      </c>
      <c r="H43" s="1">
        <v>0.8</v>
      </c>
      <c r="I43" s="1">
        <v>0.8</v>
      </c>
      <c r="J43" s="1">
        <v>0.8</v>
      </c>
      <c r="K43" s="530">
        <f t="shared" si="11"/>
        <v>0.8</v>
      </c>
    </row>
    <row r="44" hidden="1">
      <c r="D44" s="528" t="s">
        <v>784</v>
      </c>
      <c r="E44" s="1">
        <v>0.0</v>
      </c>
      <c r="F44" s="1">
        <v>1.0</v>
      </c>
      <c r="G44" s="1">
        <v>1.0</v>
      </c>
      <c r="H44" s="1">
        <v>1.0</v>
      </c>
      <c r="I44" s="1">
        <v>0.0</v>
      </c>
      <c r="J44" s="1">
        <v>1.0</v>
      </c>
      <c r="K44" s="530">
        <f t="shared" si="11"/>
        <v>1</v>
      </c>
    </row>
    <row r="45" hidden="1">
      <c r="D45" s="528" t="s">
        <v>1013</v>
      </c>
      <c r="E45" s="1">
        <v>1.0</v>
      </c>
      <c r="F45" s="1">
        <v>1.0</v>
      </c>
      <c r="G45" s="1">
        <v>1.0</v>
      </c>
      <c r="H45" s="1">
        <v>1.0</v>
      </c>
      <c r="I45" s="1">
        <v>1.0</v>
      </c>
      <c r="J45" s="1">
        <v>1.0</v>
      </c>
      <c r="K45" s="530">
        <f t="shared" si="11"/>
        <v>1</v>
      </c>
    </row>
    <row r="46" hidden="1">
      <c r="D46" s="528" t="s">
        <v>1015</v>
      </c>
      <c r="E46" s="1">
        <v>1.0</v>
      </c>
      <c r="F46" s="1">
        <v>1.0</v>
      </c>
      <c r="G46" s="1">
        <v>0.5</v>
      </c>
      <c r="H46" s="1">
        <v>0.6</v>
      </c>
      <c r="I46" s="1">
        <v>0.8</v>
      </c>
      <c r="J46" s="1">
        <v>1.0</v>
      </c>
      <c r="K46" s="530">
        <f t="shared" si="11"/>
        <v>0.5</v>
      </c>
    </row>
    <row r="47" hidden="1">
      <c r="D47" s="528" t="s">
        <v>1016</v>
      </c>
      <c r="E47" s="1">
        <v>0.8</v>
      </c>
      <c r="F47" s="1">
        <v>0.8</v>
      </c>
      <c r="G47" s="1">
        <v>0.8</v>
      </c>
      <c r="H47" s="1">
        <v>0.8</v>
      </c>
      <c r="I47" s="1">
        <v>0.8</v>
      </c>
      <c r="J47" s="1">
        <v>0.8</v>
      </c>
      <c r="K47" s="530">
        <f t="shared" si="11"/>
        <v>0.8</v>
      </c>
    </row>
    <row r="48" hidden="1">
      <c r="D48" s="528" t="s">
        <v>1017</v>
      </c>
      <c r="E48" s="1">
        <v>0.0</v>
      </c>
      <c r="F48" s="1">
        <v>0.0</v>
      </c>
      <c r="G48" s="1">
        <v>0.0</v>
      </c>
      <c r="H48" s="1">
        <v>0.0</v>
      </c>
      <c r="I48" s="1">
        <v>0.0</v>
      </c>
      <c r="J48" s="1">
        <v>1.0</v>
      </c>
      <c r="K48" s="530">
        <f t="shared" si="11"/>
        <v>0</v>
      </c>
    </row>
    <row r="49" hidden="1">
      <c r="D49" s="528" t="s">
        <v>506</v>
      </c>
      <c r="E49" s="1">
        <v>0.0</v>
      </c>
      <c r="F49" s="1">
        <v>0.0</v>
      </c>
      <c r="G49" s="1">
        <v>1.0</v>
      </c>
      <c r="H49" s="1">
        <v>0.0</v>
      </c>
      <c r="I49" s="1">
        <v>0.0</v>
      </c>
      <c r="J49" s="1">
        <v>0.0</v>
      </c>
      <c r="K49" s="530">
        <f t="shared" si="11"/>
        <v>1</v>
      </c>
    </row>
    <row r="50" hidden="1">
      <c r="D50" s="528" t="s">
        <v>792</v>
      </c>
      <c r="E50" s="1">
        <v>0.0</v>
      </c>
      <c r="F50" s="1">
        <v>0.0</v>
      </c>
      <c r="G50" s="1">
        <v>0.0</v>
      </c>
      <c r="H50" s="1">
        <v>1.0</v>
      </c>
      <c r="I50" s="1">
        <v>0.0</v>
      </c>
      <c r="J50" s="1">
        <v>0.0</v>
      </c>
      <c r="K50" s="530">
        <f t="shared" si="11"/>
        <v>0</v>
      </c>
    </row>
    <row r="51" hidden="1">
      <c r="D51" s="537" t="s">
        <v>1021</v>
      </c>
      <c r="E51">
        <f t="shared" ref="E51:J51" si="13">E54</f>
        <v>1</v>
      </c>
      <c r="F51">
        <f t="shared" si="13"/>
        <v>0.5</v>
      </c>
      <c r="G51">
        <f t="shared" si="13"/>
        <v>0.5</v>
      </c>
      <c r="H51">
        <f t="shared" si="13"/>
        <v>0.6</v>
      </c>
      <c r="I51">
        <f t="shared" si="13"/>
        <v>0.5</v>
      </c>
      <c r="J51">
        <f t="shared" si="13"/>
        <v>1</v>
      </c>
      <c r="K51" s="530">
        <f t="shared" si="11"/>
        <v>0.5</v>
      </c>
    </row>
    <row r="52" hidden="1">
      <c r="D52" s="537" t="s">
        <v>852</v>
      </c>
      <c r="E52" s="1">
        <f>if('2.10.3 SP Bonus Optimizer'!$M$5="Off",1,0)</f>
        <v>0</v>
      </c>
      <c r="F52" s="1">
        <f>if('2.10.3 SP Bonus Optimizer'!$M$5="Off",1,0)</f>
        <v>0</v>
      </c>
      <c r="G52" s="1">
        <f>if('2.10.3 SP Bonus Optimizer'!$M$5="Off",1,0)</f>
        <v>0</v>
      </c>
      <c r="H52" s="1">
        <f>if('2.10.3 SP Bonus Optimizer'!$M$5="Off",1,0)</f>
        <v>0</v>
      </c>
      <c r="I52" s="1">
        <f>if('2.10.3 SP Bonus Optimizer'!$M$5="Off",1,0)</f>
        <v>0</v>
      </c>
      <c r="J52" s="1">
        <f>if('2.10.3 SP Bonus Optimizer'!$M$5="Off",1,0)</f>
        <v>0</v>
      </c>
      <c r="K52" s="530">
        <f t="shared" si="11"/>
        <v>0</v>
      </c>
    </row>
    <row r="53" hidden="1">
      <c r="D53" s="537" t="s">
        <v>1036</v>
      </c>
      <c r="E53" s="1">
        <v>0.0</v>
      </c>
      <c r="F53" s="1">
        <v>0.0</v>
      </c>
      <c r="G53" s="1">
        <v>0.0</v>
      </c>
      <c r="H53" s="1">
        <v>0.0</v>
      </c>
      <c r="I53" s="1">
        <v>0.0</v>
      </c>
      <c r="J53" s="1">
        <v>0.0</v>
      </c>
      <c r="K53" s="530">
        <f t="shared" si="11"/>
        <v>0</v>
      </c>
    </row>
    <row r="54" hidden="1">
      <c r="D54" s="537" t="s">
        <v>1037</v>
      </c>
      <c r="E54" s="1">
        <v>1.0</v>
      </c>
      <c r="F54" s="1">
        <v>0.5</v>
      </c>
      <c r="G54" s="1">
        <v>0.5</v>
      </c>
      <c r="H54">
        <f>3/5</f>
        <v>0.6</v>
      </c>
      <c r="I54" s="1">
        <v>0.5</v>
      </c>
      <c r="J54" s="1">
        <v>1.0</v>
      </c>
      <c r="K54" s="530">
        <f t="shared" si="11"/>
        <v>0.5</v>
      </c>
    </row>
    <row r="55" hidden="1">
      <c r="D55" s="537" t="s">
        <v>820</v>
      </c>
      <c r="E55" s="1">
        <v>1.0</v>
      </c>
      <c r="F55" s="1">
        <v>1.0</v>
      </c>
      <c r="G55" s="1">
        <v>1.0</v>
      </c>
      <c r="H55" s="1">
        <v>1.0</v>
      </c>
      <c r="I55" s="1">
        <v>1.0</v>
      </c>
      <c r="J55" s="1">
        <v>1.0</v>
      </c>
      <c r="K55" s="530">
        <f t="shared" si="11"/>
        <v>1</v>
      </c>
    </row>
    <row r="56" hidden="1">
      <c r="D56" s="537" t="s">
        <v>1038</v>
      </c>
      <c r="E56" s="1">
        <v>0.0</v>
      </c>
      <c r="F56" s="1">
        <v>0.0</v>
      </c>
      <c r="G56" s="1">
        <v>0.0</v>
      </c>
      <c r="H56" s="1">
        <v>0.0</v>
      </c>
      <c r="I56" s="1">
        <v>0.0</v>
      </c>
      <c r="J56" s="1">
        <v>0.0</v>
      </c>
      <c r="K56" s="530">
        <f t="shared" si="11"/>
        <v>0</v>
      </c>
    </row>
    <row r="57" hidden="1">
      <c r="D57" s="537" t="s">
        <v>855</v>
      </c>
      <c r="E57" s="1">
        <f t="shared" ref="E57:J57" si="14">IF($T$30="pHoM",0.8,0)</f>
        <v>0</v>
      </c>
      <c r="F57" s="1">
        <f t="shared" si="14"/>
        <v>0</v>
      </c>
      <c r="G57" s="1">
        <f t="shared" si="14"/>
        <v>0</v>
      </c>
      <c r="H57" s="1">
        <f t="shared" si="14"/>
        <v>0</v>
      </c>
      <c r="I57" s="1">
        <f t="shared" si="14"/>
        <v>0</v>
      </c>
      <c r="J57" s="1">
        <f t="shared" si="14"/>
        <v>0</v>
      </c>
      <c r="K57" s="530">
        <f t="shared" si="11"/>
        <v>0</v>
      </c>
    </row>
    <row r="58" hidden="1">
      <c r="D58" s="537" t="s">
        <v>869</v>
      </c>
      <c r="E58" s="1">
        <f>if('2.10.3 SP Bonus Optimizer'!$M$5="Off",0.8,0)</f>
        <v>0</v>
      </c>
      <c r="F58" s="1">
        <f>if('2.10.3 SP Bonus Optimizer'!$M$5="Off",0.8,0)</f>
        <v>0</v>
      </c>
      <c r="G58" s="1">
        <f>if('2.10.3 SP Bonus Optimizer'!$M$5="Off",0.8,0)</f>
        <v>0</v>
      </c>
      <c r="H58" s="1">
        <f>if('2.10.3 SP Bonus Optimizer'!$M$5="Off",0.8,0)</f>
        <v>0</v>
      </c>
      <c r="I58" s="1">
        <f>if('2.10.3 SP Bonus Optimizer'!$M$5="Off",0.8,0)</f>
        <v>0</v>
      </c>
      <c r="J58" s="1">
        <f>if('2.10.3 SP Bonus Optimizer'!$M$5="Off",0.8,0)</f>
        <v>0</v>
      </c>
      <c r="K58" s="530">
        <f t="shared" si="11"/>
        <v>0</v>
      </c>
    </row>
    <row r="59" hidden="1">
      <c r="D59" s="537" t="s">
        <v>826</v>
      </c>
      <c r="E59" s="1">
        <f t="shared" ref="E59:J59" si="15">IF($T$30="Fairy",0.8,0)</f>
        <v>0.8</v>
      </c>
      <c r="F59" s="1">
        <f t="shared" si="15"/>
        <v>0.8</v>
      </c>
      <c r="G59" s="1">
        <f t="shared" si="15"/>
        <v>0.8</v>
      </c>
      <c r="H59" s="1">
        <f t="shared" si="15"/>
        <v>0.8</v>
      </c>
      <c r="I59" s="1">
        <f t="shared" si="15"/>
        <v>0.8</v>
      </c>
      <c r="J59" s="1">
        <f t="shared" si="15"/>
        <v>0.8</v>
      </c>
      <c r="K59" s="530">
        <f t="shared" si="11"/>
        <v>0.8</v>
      </c>
    </row>
    <row r="60" hidden="1">
      <c r="D60" s="537" t="s">
        <v>1039</v>
      </c>
      <c r="E60" s="1">
        <f t="shared" ref="E60:J60" si="16">if(OR($T$30 = "Fairy",$T$30="pHoM"),0.4,0.8)</f>
        <v>0.4</v>
      </c>
      <c r="F60" s="1">
        <f t="shared" si="16"/>
        <v>0.4</v>
      </c>
      <c r="G60" s="1">
        <f t="shared" si="16"/>
        <v>0.4</v>
      </c>
      <c r="H60" s="1">
        <f t="shared" si="16"/>
        <v>0.4</v>
      </c>
      <c r="I60" s="1">
        <f t="shared" si="16"/>
        <v>0.4</v>
      </c>
      <c r="J60" s="1">
        <f t="shared" si="16"/>
        <v>0.4</v>
      </c>
      <c r="K60" s="530">
        <f t="shared" si="11"/>
        <v>0.4</v>
      </c>
    </row>
    <row r="61" hidden="1">
      <c r="D61" s="537" t="s">
        <v>871</v>
      </c>
      <c r="E61" s="1">
        <v>0.0</v>
      </c>
      <c r="F61" s="1">
        <v>0.0</v>
      </c>
      <c r="G61" s="1">
        <v>0.0</v>
      </c>
      <c r="H61" s="1">
        <v>0.0</v>
      </c>
      <c r="I61" s="1">
        <v>0.0</v>
      </c>
      <c r="J61" s="1">
        <v>0.0</v>
      </c>
      <c r="K61" s="530">
        <f t="shared" si="11"/>
        <v>0</v>
      </c>
    </row>
    <row r="62" hidden="1">
      <c r="D62" s="537" t="s">
        <v>1040</v>
      </c>
      <c r="E62" s="1">
        <v>0.0</v>
      </c>
      <c r="F62" s="1">
        <v>0.0</v>
      </c>
      <c r="G62" s="1">
        <v>0.0</v>
      </c>
      <c r="H62" s="1">
        <v>0.0</v>
      </c>
      <c r="I62" s="1">
        <v>0.0</v>
      </c>
      <c r="J62" s="1">
        <v>0.0</v>
      </c>
      <c r="K62" s="530">
        <f t="shared" si="11"/>
        <v>0</v>
      </c>
    </row>
    <row r="63" hidden="1">
      <c r="D63" s="537" t="s">
        <v>1041</v>
      </c>
      <c r="E63" s="1">
        <v>0.0</v>
      </c>
      <c r="F63" s="1">
        <v>0.0</v>
      </c>
      <c r="G63" s="1">
        <v>0.0</v>
      </c>
      <c r="H63" s="1">
        <v>0.0</v>
      </c>
      <c r="I63" s="1">
        <v>0.0</v>
      </c>
      <c r="J63" s="1">
        <v>0.0</v>
      </c>
      <c r="K63" s="530">
        <f t="shared" si="11"/>
        <v>0</v>
      </c>
    </row>
    <row r="64" hidden="1">
      <c r="D64" s="537" t="s">
        <v>857</v>
      </c>
      <c r="E64" s="1">
        <v>0.0</v>
      </c>
      <c r="F64" s="1">
        <v>0.0</v>
      </c>
      <c r="G64" s="1">
        <v>0.0</v>
      </c>
      <c r="H64" s="1">
        <v>0.0</v>
      </c>
      <c r="I64" s="1">
        <v>0.0</v>
      </c>
      <c r="J64" s="1">
        <v>0.0</v>
      </c>
      <c r="K64" s="530">
        <f t="shared" si="11"/>
        <v>0</v>
      </c>
    </row>
    <row r="65" hidden="1">
      <c r="D65" s="537" t="s">
        <v>833</v>
      </c>
      <c r="E65" s="1">
        <v>0.0</v>
      </c>
      <c r="F65" s="1">
        <v>0.0</v>
      </c>
      <c r="G65" s="1">
        <v>0.0</v>
      </c>
      <c r="H65" s="1">
        <v>0.0</v>
      </c>
      <c r="I65" s="1">
        <v>0.0</v>
      </c>
      <c r="J65" s="1">
        <v>0.0</v>
      </c>
      <c r="K65" s="530">
        <f t="shared" si="11"/>
        <v>0</v>
      </c>
    </row>
    <row r="66" hidden="1">
      <c r="D66" s="537" t="s">
        <v>842</v>
      </c>
      <c r="E66" s="1">
        <v>0.0</v>
      </c>
      <c r="F66" s="1">
        <v>0.0</v>
      </c>
      <c r="G66" s="1">
        <v>0.0</v>
      </c>
      <c r="H66" s="1">
        <v>0.0</v>
      </c>
      <c r="I66" s="1">
        <v>0.0</v>
      </c>
      <c r="J66" s="1">
        <v>0.0</v>
      </c>
      <c r="K66" s="530">
        <f t="shared" si="11"/>
        <v>0</v>
      </c>
    </row>
    <row r="67" hidden="1">
      <c r="D67" s="537" t="s">
        <v>873</v>
      </c>
      <c r="E67" s="1">
        <v>0.0</v>
      </c>
      <c r="F67" s="1">
        <v>0.0</v>
      </c>
      <c r="G67" s="1">
        <v>0.0</v>
      </c>
      <c r="H67" s="1">
        <v>0.0</v>
      </c>
      <c r="I67" s="1">
        <v>0.0</v>
      </c>
      <c r="J67" s="1">
        <v>0.0</v>
      </c>
      <c r="K67" s="530">
        <f t="shared" si="11"/>
        <v>0</v>
      </c>
    </row>
    <row r="68" hidden="1">
      <c r="D68" s="537" t="s">
        <v>861</v>
      </c>
      <c r="E68" s="1">
        <v>0.0</v>
      </c>
      <c r="F68" s="1">
        <v>0.0</v>
      </c>
      <c r="G68" s="1">
        <v>0.0</v>
      </c>
      <c r="H68" s="1">
        <v>0.0</v>
      </c>
      <c r="I68" s="1">
        <v>0.0</v>
      </c>
      <c r="J68" s="1">
        <v>0.0</v>
      </c>
      <c r="K68" s="530">
        <f t="shared" si="11"/>
        <v>0</v>
      </c>
    </row>
    <row r="69" hidden="1">
      <c r="D69" s="537" t="s">
        <v>1042</v>
      </c>
      <c r="E69" s="1">
        <v>0.0</v>
      </c>
      <c r="F69" s="1">
        <v>0.0</v>
      </c>
      <c r="G69" s="1">
        <v>0.0</v>
      </c>
      <c r="H69" s="1">
        <v>0.0</v>
      </c>
      <c r="I69" s="1">
        <v>0.0</v>
      </c>
      <c r="J69" s="1">
        <v>0.0</v>
      </c>
      <c r="K69" s="530">
        <f t="shared" si="11"/>
        <v>0</v>
      </c>
    </row>
    <row r="70" hidden="1">
      <c r="D70" s="537" t="s">
        <v>1043</v>
      </c>
      <c r="E70" s="1">
        <v>0.0</v>
      </c>
      <c r="F70" s="1">
        <v>0.0</v>
      </c>
      <c r="G70" s="1">
        <v>0.0</v>
      </c>
      <c r="H70" s="1">
        <v>0.0</v>
      </c>
      <c r="I70" s="1">
        <v>0.0</v>
      </c>
      <c r="J70" s="1">
        <v>0.0</v>
      </c>
      <c r="K70" s="530">
        <f t="shared" si="11"/>
        <v>0</v>
      </c>
    </row>
    <row r="71" hidden="1">
      <c r="D71" s="537" t="s">
        <v>770</v>
      </c>
      <c r="E71" s="1">
        <f t="shared" ref="E71:J71" si="17">E36</f>
        <v>1</v>
      </c>
      <c r="F71" s="1">
        <f t="shared" si="17"/>
        <v>0.5</v>
      </c>
      <c r="G71" s="1">
        <f t="shared" si="17"/>
        <v>0.5</v>
      </c>
      <c r="H71" s="1">
        <f t="shared" si="17"/>
        <v>0.6</v>
      </c>
      <c r="I71" s="1">
        <f t="shared" si="17"/>
        <v>0.5</v>
      </c>
      <c r="J71" s="1">
        <f t="shared" si="17"/>
        <v>1</v>
      </c>
      <c r="K71" s="530">
        <f t="shared" si="11"/>
        <v>0.5</v>
      </c>
    </row>
    <row r="72" hidden="1">
      <c r="D72" s="537" t="s">
        <v>1044</v>
      </c>
      <c r="E72" s="1">
        <v>0.0</v>
      </c>
      <c r="F72" s="1">
        <v>1.0</v>
      </c>
      <c r="G72" s="1">
        <v>1.0</v>
      </c>
      <c r="H72" s="1">
        <v>1.0</v>
      </c>
      <c r="I72" s="1">
        <v>1.0</v>
      </c>
      <c r="J72" s="1">
        <v>1.0</v>
      </c>
      <c r="K72" s="530">
        <f t="shared" si="11"/>
        <v>1</v>
      </c>
    </row>
    <row r="73" hidden="1">
      <c r="D73" s="537" t="s">
        <v>505</v>
      </c>
      <c r="E73" s="1">
        <v>0.0</v>
      </c>
      <c r="F73" s="1">
        <v>1.0</v>
      </c>
      <c r="G73" s="1">
        <v>1.0</v>
      </c>
      <c r="H73">
        <f>3/5</f>
        <v>0.6</v>
      </c>
      <c r="I73" s="1">
        <v>1.0</v>
      </c>
      <c r="J73" s="1">
        <v>0.0</v>
      </c>
      <c r="K73" s="530">
        <f t="shared" si="11"/>
        <v>1</v>
      </c>
    </row>
    <row r="74" hidden="1">
      <c r="D74" s="537" t="s">
        <v>1045</v>
      </c>
      <c r="E74" s="1">
        <v>1.0</v>
      </c>
      <c r="F74" s="1">
        <v>1.0</v>
      </c>
      <c r="G74" s="1">
        <v>1.0</v>
      </c>
      <c r="H74" s="1">
        <v>1.0</v>
      </c>
      <c r="I74" s="1">
        <v>1.0</v>
      </c>
      <c r="J74" s="1">
        <v>1.0</v>
      </c>
      <c r="K74" s="530">
        <f t="shared" si="11"/>
        <v>1</v>
      </c>
    </row>
    <row r="75" hidden="1"/>
    <row r="76" hidden="1"/>
    <row r="77" hidden="1"/>
    <row r="78" hidden="1"/>
    <row r="79" hidden="1"/>
    <row r="80" hidden="1"/>
    <row r="81" hidden="1"/>
    <row r="82" hidden="1"/>
    <row r="83" hidden="1"/>
    <row r="84" hidden="1"/>
    <row r="85" hidden="1"/>
    <row r="86" hidden="1"/>
    <row r="87" hidden="1"/>
    <row r="88" hidden="1"/>
    <row r="89" hidden="1"/>
    <row r="90" hidden="1"/>
    <row r="91" hidden="1"/>
    <row r="92" hidden="1"/>
    <row r="93" hidden="1"/>
    <row r="94" hidden="1"/>
    <row r="95" hidden="1"/>
    <row r="96" hidden="1"/>
    <row r="97" hidden="1"/>
    <row r="98" hidden="1"/>
    <row r="99" hidden="1"/>
    <row r="100" hidden="1"/>
    <row r="101" hidden="1"/>
    <row r="102" hidden="1"/>
    <row r="103" hidden="1"/>
    <row r="104" hidden="1"/>
    <row r="105" hidden="1"/>
    <row r="106" hidden="1"/>
    <row r="107" hidden="1"/>
    <row r="108" hidden="1"/>
    <row r="109" hidden="1"/>
    <row r="110" hidden="1"/>
    <row r="111" hidden="1"/>
    <row r="112" hidden="1"/>
    <row r="113" hidden="1"/>
    <row r="114" hidden="1"/>
    <row r="115" hidden="1"/>
    <row r="116" hidden="1"/>
    <row r="117" hidden="1"/>
    <row r="118" hidden="1"/>
    <row r="119" hidden="1"/>
    <row r="120" hidden="1"/>
    <row r="121" hidden="1"/>
    <row r="122" hidden="1"/>
    <row r="123" hidden="1"/>
    <row r="124" hidden="1"/>
    <row r="125" hidden="1"/>
    <row r="126" hidden="1"/>
    <row r="127" hidden="1"/>
    <row r="128" hidden="1"/>
    <row r="129" hidden="1"/>
    <row r="130" hidden="1"/>
    <row r="131" hidden="1"/>
    <row r="132" hidden="1"/>
    <row r="133" hidden="1"/>
    <row r="134" hidden="1"/>
    <row r="135" hidden="1"/>
    <row r="136" hidden="1"/>
    <row r="137" hidden="1"/>
    <row r="138" hidden="1"/>
    <row r="139" hidden="1"/>
    <row r="140" hidden="1"/>
    <row r="141" hidden="1"/>
    <row r="142" hidden="1"/>
    <row r="143" hidden="1"/>
    <row r="144" hidden="1"/>
    <row r="145" hidden="1"/>
    <row r="146" hidden="1"/>
    <row r="147" hidden="1"/>
    <row r="148" hidden="1"/>
    <row r="149" hidden="1"/>
    <row r="150" hidden="1"/>
    <row r="151" hidden="1"/>
    <row r="152" hidden="1"/>
    <row r="153" hidden="1"/>
    <row r="154" hidden="1"/>
    <row r="155" hidden="1"/>
    <row r="156" hidden="1"/>
    <row r="157" hidden="1"/>
    <row r="158" hidden="1"/>
    <row r="159" hidden="1"/>
    <row r="160" hidden="1"/>
    <row r="161" hidden="1"/>
    <row r="162" hidden="1"/>
    <row r="163" hidden="1"/>
    <row r="164" hidden="1"/>
    <row r="165" hidden="1"/>
    <row r="166" hidden="1"/>
    <row r="167" hidden="1"/>
    <row r="168" hidden="1"/>
    <row r="169" hidden="1"/>
    <row r="170" hidden="1"/>
    <row r="171" hidden="1"/>
    <row r="172" hidden="1"/>
    <row r="173" hidden="1"/>
    <row r="174" hidden="1"/>
    <row r="175" hidden="1"/>
    <row r="176" hidden="1"/>
    <row r="177" hidden="1"/>
    <row r="178" hidden="1"/>
    <row r="179" hidden="1"/>
    <row r="180" hidden="1"/>
    <row r="181" hidden="1"/>
    <row r="182" hidden="1"/>
    <row r="183" hidden="1"/>
    <row r="184" hidden="1"/>
    <row r="185" hidden="1"/>
    <row r="186" hidden="1"/>
    <row r="187" hidden="1"/>
    <row r="188" hidden="1"/>
    <row r="189" hidden="1"/>
    <row r="190" hidden="1"/>
    <row r="191" hidden="1"/>
    <row r="192" hidden="1"/>
    <row r="193" hidden="1"/>
    <row r="194" hidden="1"/>
    <row r="195" hidden="1"/>
    <row r="196" hidden="1"/>
    <row r="197" hidden="1"/>
    <row r="198" hidden="1"/>
    <row r="199" hidden="1"/>
    <row r="200" hidden="1"/>
    <row r="201" hidden="1"/>
    <row r="202" hidden="1"/>
    <row r="203" hidden="1"/>
    <row r="204" hidden="1"/>
    <row r="205" hidden="1"/>
    <row r="206" hidden="1"/>
    <row r="207" hidden="1"/>
    <row r="208" hidden="1"/>
    <row r="209" hidden="1"/>
    <row r="210" hidden="1"/>
    <row r="211" hidden="1"/>
    <row r="212" hidden="1"/>
    <row r="213" hidden="1"/>
    <row r="214" hidden="1"/>
    <row r="215" hidden="1"/>
    <row r="216" hidden="1"/>
    <row r="217" hidden="1"/>
    <row r="218" hidden="1"/>
    <row r="219" hidden="1"/>
    <row r="220" hidden="1"/>
    <row r="221" hidden="1"/>
    <row r="222" hidden="1"/>
    <row r="223" hidden="1"/>
    <row r="224" hidden="1"/>
    <row r="225" hidden="1"/>
    <row r="226" hidden="1"/>
    <row r="227" hidden="1"/>
    <row r="228" hidden="1"/>
    <row r="229" hidden="1"/>
    <row r="230" hidden="1"/>
    <row r="231" hidden="1"/>
    <row r="232" hidden="1"/>
    <row r="233" hidden="1"/>
    <row r="234" hidden="1"/>
    <row r="235" hidden="1"/>
    <row r="236" hidden="1"/>
    <row r="237" hidden="1"/>
    <row r="238" hidden="1"/>
    <row r="239" hidden="1"/>
    <row r="240" hidden="1"/>
    <row r="241" hidden="1"/>
    <row r="242" hidden="1"/>
    <row r="243" hidden="1"/>
    <row r="244" hidden="1"/>
    <row r="245" hidden="1"/>
    <row r="246" hidden="1"/>
    <row r="247" hidden="1"/>
    <row r="248" hidden="1"/>
    <row r="249" hidden="1"/>
    <row r="250" hidden="1"/>
    <row r="251" hidden="1"/>
    <row r="252" hidden="1"/>
    <row r="253" hidden="1"/>
    <row r="254" hidden="1"/>
    <row r="255" hidden="1"/>
    <row r="256" hidden="1"/>
    <row r="257" hidden="1"/>
    <row r="258" hidden="1"/>
    <row r="259" hidden="1"/>
    <row r="260" hidden="1"/>
    <row r="261" hidden="1"/>
    <row r="262" hidden="1"/>
    <row r="263" hidden="1"/>
    <row r="264" hidden="1"/>
    <row r="265" hidden="1"/>
    <row r="266" hidden="1"/>
    <row r="267" hidden="1"/>
    <row r="268" hidden="1"/>
    <row r="269" hidden="1"/>
    <row r="270" hidden="1"/>
    <row r="271" hidden="1"/>
    <row r="272" hidden="1"/>
    <row r="273" hidden="1"/>
    <row r="274" hidden="1"/>
    <row r="275" hidden="1"/>
    <row r="276" hidden="1"/>
    <row r="277" hidden="1"/>
    <row r="278" hidden="1"/>
    <row r="279" hidden="1"/>
    <row r="280" hidden="1"/>
    <row r="281" hidden="1"/>
    <row r="282" hidden="1"/>
    <row r="283" hidden="1"/>
    <row r="284" hidden="1"/>
    <row r="285" hidden="1"/>
    <row r="286" hidden="1"/>
    <row r="287" hidden="1"/>
    <row r="288" hidden="1"/>
    <row r="289" hidden="1"/>
    <row r="290" hidden="1"/>
    <row r="291" hidden="1"/>
    <row r="292" hidden="1"/>
    <row r="293" hidden="1"/>
    <row r="294" hidden="1"/>
    <row r="295" hidden="1"/>
    <row r="296" hidden="1"/>
    <row r="297" hidden="1"/>
    <row r="298" hidden="1"/>
    <row r="299" hidden="1"/>
    <row r="300" hidden="1"/>
    <row r="301" hidden="1"/>
    <row r="302" hidden="1"/>
    <row r="303" hidden="1"/>
    <row r="304" hidden="1"/>
    <row r="305" hidden="1"/>
    <row r="306" hidden="1"/>
    <row r="307" hidden="1"/>
    <row r="308" hidden="1"/>
    <row r="309" hidden="1"/>
    <row r="310" hidden="1"/>
    <row r="311" hidden="1"/>
    <row r="312" hidden="1"/>
    <row r="313" hidden="1"/>
    <row r="314" hidden="1"/>
    <row r="315" hidden="1"/>
    <row r="316" hidden="1"/>
    <row r="317" hidden="1"/>
    <row r="318" hidden="1"/>
    <row r="319" hidden="1"/>
    <row r="320" hidden="1"/>
    <row r="321" hidden="1"/>
    <row r="322" hidden="1"/>
    <row r="323" hidden="1"/>
    <row r="324" hidden="1"/>
    <row r="325" hidden="1"/>
    <row r="326" hidden="1"/>
    <row r="327" hidden="1"/>
    <row r="328" hidden="1"/>
    <row r="329" hidden="1"/>
    <row r="330" hidden="1"/>
    <row r="331" hidden="1"/>
    <row r="332" hidden="1"/>
    <row r="333" hidden="1"/>
    <row r="334" hidden="1"/>
    <row r="335" hidden="1"/>
    <row r="336" hidden="1"/>
    <row r="337" hidden="1"/>
    <row r="338" hidden="1"/>
    <row r="339" hidden="1"/>
    <row r="340" hidden="1"/>
    <row r="341" hidden="1"/>
    <row r="342" hidden="1"/>
    <row r="343" hidden="1"/>
    <row r="344" hidden="1"/>
    <row r="345" hidden="1"/>
    <row r="346" hidden="1"/>
    <row r="347" hidden="1"/>
    <row r="348" hidden="1"/>
    <row r="349" hidden="1"/>
    <row r="350" hidden="1"/>
    <row r="351" hidden="1"/>
    <row r="352" hidden="1"/>
    <row r="353" hidden="1"/>
    <row r="354" hidden="1"/>
    <row r="355" hidden="1"/>
    <row r="356" hidden="1"/>
    <row r="357" hidden="1"/>
    <row r="358" hidden="1"/>
    <row r="359" hidden="1"/>
    <row r="360" hidden="1"/>
    <row r="361" hidden="1"/>
    <row r="362" hidden="1"/>
    <row r="363" hidden="1"/>
    <row r="364" hidden="1"/>
    <row r="365" hidden="1"/>
    <row r="366" hidden="1"/>
    <row r="367" hidden="1"/>
    <row r="368" hidden="1"/>
    <row r="369" hidden="1"/>
    <row r="370" hidden="1"/>
    <row r="371" hidden="1"/>
    <row r="372" hidden="1"/>
    <row r="373" hidden="1"/>
    <row r="374" hidden="1"/>
    <row r="375" hidden="1"/>
    <row r="376" hidden="1"/>
    <row r="377" hidden="1"/>
    <row r="378" hidden="1"/>
    <row r="379" hidden="1"/>
    <row r="380" hidden="1"/>
    <row r="381" hidden="1"/>
    <row r="382" hidden="1"/>
    <row r="383" hidden="1"/>
    <row r="384" hidden="1"/>
    <row r="385" hidden="1"/>
    <row r="386" hidden="1"/>
    <row r="387" hidden="1"/>
    <row r="388" hidden="1"/>
    <row r="389" hidden="1"/>
    <row r="390" hidden="1"/>
    <row r="391" hidden="1"/>
    <row r="392" hidden="1"/>
    <row r="393" hidden="1"/>
    <row r="394" hidden="1"/>
    <row r="395" hidden="1"/>
    <row r="396" hidden="1"/>
    <row r="397" hidden="1"/>
    <row r="398" hidden="1"/>
    <row r="399" hidden="1"/>
    <row r="400" hidden="1"/>
    <row r="401" hidden="1"/>
    <row r="402" hidden="1"/>
    <row r="403" hidden="1"/>
    <row r="404" hidden="1"/>
    <row r="405" hidden="1"/>
    <row r="406" hidden="1"/>
    <row r="407" hidden="1"/>
    <row r="408" hidden="1"/>
    <row r="409" hidden="1"/>
    <row r="410" hidden="1"/>
    <row r="411" hidden="1"/>
    <row r="412" hidden="1"/>
    <row r="413" hidden="1"/>
    <row r="414" hidden="1"/>
    <row r="415" hidden="1"/>
    <row r="416" hidden="1"/>
    <row r="417" hidden="1"/>
    <row r="418" hidden="1"/>
    <row r="419" hidden="1"/>
    <row r="420" hidden="1"/>
    <row r="421" hidden="1"/>
    <row r="422" hidden="1"/>
    <row r="423" hidden="1"/>
    <row r="424" hidden="1"/>
    <row r="425" hidden="1"/>
    <row r="426" hidden="1"/>
    <row r="427" hidden="1"/>
    <row r="428" hidden="1"/>
    <row r="429" hidden="1"/>
    <row r="430" hidden="1"/>
    <row r="431" hidden="1"/>
    <row r="432" hidden="1"/>
    <row r="433" hidden="1"/>
    <row r="434" hidden="1"/>
    <row r="435" hidden="1"/>
    <row r="436" hidden="1"/>
    <row r="437" hidden="1"/>
    <row r="438" hidden="1"/>
    <row r="439" hidden="1"/>
    <row r="440" hidden="1"/>
    <row r="441" hidden="1"/>
    <row r="442" hidden="1"/>
    <row r="443" hidden="1"/>
    <row r="444" hidden="1"/>
    <row r="445" hidden="1"/>
    <row r="446" hidden="1"/>
    <row r="447" hidden="1"/>
    <row r="448" hidden="1"/>
    <row r="449" hidden="1"/>
    <row r="450" hidden="1"/>
    <row r="451" hidden="1"/>
    <row r="452" hidden="1"/>
    <row r="453" hidden="1"/>
    <row r="454" hidden="1"/>
    <row r="455" hidden="1"/>
    <row r="456" hidden="1"/>
    <row r="457" hidden="1"/>
    <row r="458" hidden="1"/>
    <row r="459" hidden="1"/>
    <row r="460" hidden="1"/>
    <row r="461" hidden="1"/>
    <row r="462" hidden="1"/>
    <row r="463" hidden="1"/>
    <row r="464" hidden="1"/>
    <row r="465" hidden="1"/>
    <row r="466" hidden="1"/>
    <row r="467" hidden="1"/>
    <row r="468" hidden="1"/>
    <row r="469" hidden="1"/>
    <row r="470" hidden="1"/>
    <row r="471" hidden="1"/>
    <row r="472" hidden="1"/>
    <row r="473" hidden="1"/>
    <row r="474" hidden="1"/>
    <row r="475" hidden="1"/>
    <row r="476" hidden="1"/>
    <row r="477" hidden="1"/>
    <row r="478" hidden="1"/>
    <row r="479" hidden="1"/>
    <row r="480" hidden="1"/>
    <row r="481" hidden="1"/>
    <row r="482" hidden="1"/>
    <row r="483" hidden="1"/>
    <row r="484" hidden="1"/>
    <row r="485" hidden="1"/>
    <row r="486" hidden="1"/>
    <row r="487" hidden="1"/>
    <row r="488" hidden="1"/>
    <row r="489" hidden="1"/>
    <row r="490" hidden="1"/>
    <row r="491" hidden="1"/>
    <row r="492" hidden="1"/>
    <row r="493" hidden="1"/>
    <row r="494" hidden="1"/>
    <row r="495" hidden="1"/>
    <row r="496" hidden="1"/>
    <row r="497" hidden="1"/>
    <row r="498" hidden="1"/>
    <row r="499" hidden="1"/>
    <row r="500" hidden="1"/>
    <row r="501" hidden="1"/>
    <row r="502" hidden="1"/>
    <row r="503" hidden="1"/>
    <row r="504" hidden="1"/>
    <row r="505" hidden="1"/>
    <row r="506" hidden="1"/>
    <row r="507" hidden="1"/>
    <row r="508" hidden="1"/>
    <row r="509" hidden="1"/>
    <row r="510" hidden="1"/>
    <row r="511" hidden="1"/>
    <row r="512" hidden="1"/>
    <row r="513" hidden="1"/>
    <row r="514" hidden="1"/>
    <row r="515" hidden="1"/>
    <row r="516" hidden="1"/>
    <row r="517" hidden="1"/>
    <row r="518" hidden="1"/>
    <row r="519" hidden="1"/>
    <row r="520" hidden="1"/>
    <row r="521" hidden="1"/>
    <row r="522" hidden="1"/>
    <row r="523" hidden="1"/>
    <row r="524" hidden="1"/>
    <row r="525" hidden="1"/>
    <row r="526" hidden="1"/>
    <row r="527" hidden="1"/>
    <row r="528" hidden="1"/>
    <row r="529" hidden="1"/>
    <row r="530" hidden="1"/>
    <row r="531" hidden="1"/>
    <row r="532" hidden="1"/>
    <row r="533" hidden="1"/>
    <row r="534" hidden="1"/>
    <row r="535" hidden="1"/>
    <row r="536" hidden="1"/>
    <row r="537" hidden="1"/>
    <row r="538" hidden="1"/>
    <row r="539" hidden="1"/>
    <row r="540" hidden="1"/>
    <row r="541" hidden="1"/>
    <row r="542" hidden="1"/>
    <row r="543" hidden="1"/>
    <row r="544" hidden="1"/>
    <row r="545" hidden="1"/>
    <row r="546" hidden="1"/>
    <row r="547" hidden="1"/>
    <row r="548" hidden="1"/>
    <row r="549" hidden="1"/>
    <row r="550" hidden="1"/>
    <row r="551" hidden="1"/>
    <row r="552" hidden="1"/>
    <row r="553" hidden="1"/>
    <row r="554" hidden="1"/>
    <row r="555" hidden="1"/>
    <row r="556" hidden="1"/>
    <row r="557" hidden="1"/>
    <row r="558" hidden="1"/>
    <row r="559" hidden="1"/>
    <row r="560" hidden="1"/>
    <row r="561" hidden="1"/>
    <row r="562" hidden="1"/>
    <row r="563" hidden="1"/>
    <row r="564" hidden="1"/>
    <row r="565" hidden="1"/>
    <row r="566" hidden="1"/>
    <row r="567" hidden="1"/>
    <row r="568" hidden="1"/>
    <row r="569" hidden="1"/>
    <row r="570" hidden="1"/>
    <row r="571" hidden="1"/>
    <row r="572" hidden="1"/>
    <row r="573" hidden="1"/>
    <row r="574" hidden="1"/>
    <row r="575" hidden="1"/>
    <row r="576" hidden="1"/>
    <row r="577" hidden="1"/>
    <row r="578" hidden="1"/>
    <row r="579" hidden="1"/>
    <row r="580" hidden="1"/>
    <row r="581" hidden="1"/>
    <row r="582" hidden="1"/>
    <row r="583" hidden="1"/>
    <row r="584" hidden="1"/>
    <row r="585" hidden="1"/>
    <row r="586" hidden="1"/>
    <row r="587" hidden="1"/>
    <row r="588" hidden="1"/>
    <row r="589" hidden="1"/>
    <row r="590" hidden="1"/>
    <row r="591" hidden="1"/>
    <row r="592" hidden="1"/>
    <row r="593" hidden="1"/>
    <row r="594" hidden="1"/>
    <row r="595" hidden="1"/>
    <row r="596" hidden="1"/>
    <row r="597" hidden="1"/>
    <row r="598" hidden="1"/>
    <row r="599" hidden="1"/>
    <row r="600" hidden="1"/>
    <row r="601" hidden="1"/>
    <row r="602" hidden="1"/>
    <row r="603" hidden="1"/>
    <row r="604" hidden="1"/>
    <row r="605" hidden="1"/>
    <row r="606" hidden="1"/>
    <row r="607" hidden="1"/>
    <row r="608" hidden="1"/>
    <row r="609" hidden="1"/>
    <row r="610" hidden="1"/>
    <row r="611" hidden="1"/>
    <row r="612" hidden="1"/>
    <row r="613" hidden="1"/>
    <row r="614" hidden="1"/>
    <row r="615" hidden="1"/>
    <row r="616" hidden="1"/>
    <row r="617" hidden="1"/>
    <row r="618" hidden="1"/>
    <row r="619" hidden="1"/>
    <row r="620" hidden="1"/>
    <row r="621" hidden="1"/>
    <row r="622" hidden="1"/>
    <row r="623" hidden="1"/>
    <row r="624" hidden="1"/>
    <row r="625" hidden="1"/>
    <row r="626" hidden="1"/>
    <row r="627" hidden="1"/>
    <row r="628" hidden="1"/>
    <row r="629" hidden="1"/>
    <row r="630" hidden="1"/>
    <row r="631" hidden="1"/>
    <row r="632" hidden="1"/>
    <row r="633" hidden="1"/>
    <row r="634" hidden="1"/>
    <row r="635" hidden="1"/>
    <row r="636" hidden="1"/>
    <row r="637" hidden="1"/>
    <row r="638" hidden="1"/>
    <row r="639" hidden="1"/>
    <row r="640" hidden="1"/>
    <row r="641" hidden="1"/>
    <row r="642" hidden="1"/>
    <row r="643" hidden="1"/>
    <row r="644" hidden="1"/>
    <row r="645" hidden="1"/>
    <row r="646" hidden="1"/>
    <row r="647" hidden="1"/>
    <row r="648" hidden="1"/>
    <row r="649" hidden="1"/>
    <row r="650" hidden="1"/>
    <row r="651" hidden="1"/>
    <row r="652" hidden="1"/>
    <row r="653" hidden="1"/>
    <row r="654" hidden="1"/>
    <row r="655" hidden="1"/>
    <row r="656" hidden="1"/>
    <row r="657" hidden="1"/>
    <row r="658" hidden="1"/>
    <row r="659" hidden="1"/>
    <row r="660" hidden="1"/>
    <row r="661" hidden="1"/>
    <row r="662" hidden="1"/>
    <row r="663" hidden="1"/>
    <row r="664" hidden="1"/>
    <row r="665" hidden="1"/>
    <row r="666" hidden="1"/>
    <row r="667" hidden="1"/>
    <row r="668" hidden="1"/>
    <row r="669" hidden="1"/>
    <row r="670" hidden="1"/>
    <row r="671" hidden="1"/>
    <row r="672" hidden="1"/>
    <row r="673" hidden="1"/>
    <row r="674" hidden="1"/>
    <row r="675" hidden="1"/>
    <row r="676" hidden="1"/>
    <row r="677" hidden="1"/>
    <row r="678" hidden="1"/>
    <row r="679" hidden="1"/>
    <row r="680" hidden="1"/>
    <row r="681" hidden="1"/>
    <row r="682" hidden="1"/>
    <row r="683" hidden="1"/>
    <row r="684" hidden="1"/>
    <row r="685" hidden="1"/>
    <row r="686" hidden="1"/>
    <row r="687" hidden="1"/>
    <row r="688" hidden="1"/>
    <row r="689" hidden="1"/>
    <row r="690" hidden="1"/>
    <row r="691" hidden="1"/>
    <row r="692" hidden="1"/>
    <row r="693" hidden="1"/>
    <row r="694" hidden="1"/>
    <row r="695" hidden="1"/>
    <row r="696" hidden="1"/>
    <row r="697" hidden="1"/>
    <row r="698" hidden="1"/>
    <row r="699" hidden="1"/>
    <row r="700" hidden="1"/>
    <row r="701" hidden="1"/>
    <row r="702" hidden="1"/>
    <row r="703" hidden="1"/>
    <row r="704" hidden="1"/>
    <row r="705" hidden="1"/>
    <row r="706" hidden="1"/>
    <row r="707" hidden="1"/>
    <row r="708" hidden="1"/>
    <row r="709" hidden="1"/>
    <row r="710" hidden="1"/>
    <row r="711" hidden="1"/>
    <row r="712" hidden="1"/>
    <row r="713" hidden="1"/>
    <row r="714" hidden="1"/>
    <row r="715" hidden="1"/>
    <row r="716" hidden="1"/>
    <row r="717" hidden="1"/>
    <row r="718" hidden="1"/>
    <row r="719" hidden="1"/>
    <row r="720" hidden="1"/>
    <row r="721" hidden="1"/>
    <row r="722" hidden="1"/>
    <row r="723" hidden="1"/>
    <row r="724" hidden="1"/>
    <row r="725" hidden="1"/>
    <row r="726" hidden="1"/>
    <row r="727" hidden="1"/>
    <row r="728" hidden="1"/>
    <row r="729" hidden="1"/>
    <row r="730" hidden="1"/>
    <row r="731" hidden="1"/>
    <row r="732" hidden="1"/>
    <row r="733" hidden="1"/>
    <row r="734" hidden="1"/>
    <row r="735" hidden="1"/>
    <row r="736" hidden="1"/>
    <row r="737" hidden="1"/>
    <row r="738" hidden="1"/>
    <row r="739" hidden="1"/>
    <row r="740" hidden="1"/>
    <row r="741" hidden="1"/>
    <row r="742" hidden="1"/>
    <row r="743" hidden="1"/>
    <row r="744" hidden="1"/>
    <row r="745" hidden="1"/>
    <row r="746" hidden="1"/>
    <row r="747" hidden="1"/>
    <row r="748" hidden="1"/>
    <row r="749" hidden="1"/>
    <row r="750" hidden="1"/>
    <row r="751" hidden="1"/>
    <row r="752" hidden="1"/>
    <row r="753" hidden="1"/>
    <row r="754" hidden="1"/>
    <row r="755" hidden="1"/>
    <row r="756" hidden="1"/>
    <row r="757" hidden="1"/>
    <row r="758" hidden="1"/>
    <row r="759" hidden="1"/>
    <row r="760" hidden="1"/>
    <row r="761" hidden="1"/>
    <row r="762" hidden="1"/>
    <row r="763" hidden="1"/>
    <row r="764" hidden="1"/>
    <row r="765" hidden="1"/>
    <row r="766" hidden="1"/>
    <row r="767" hidden="1"/>
    <row r="768" hidden="1"/>
    <row r="769" hidden="1"/>
    <row r="770" hidden="1"/>
    <row r="771" hidden="1"/>
    <row r="772" hidden="1"/>
    <row r="773" hidden="1"/>
    <row r="774" hidden="1"/>
    <row r="775" hidden="1"/>
    <row r="776" hidden="1"/>
    <row r="777" hidden="1"/>
    <row r="778" hidden="1"/>
    <row r="779" hidden="1"/>
    <row r="780" hidden="1"/>
    <row r="781" hidden="1"/>
    <row r="782" hidden="1"/>
    <row r="783" hidden="1"/>
    <row r="784" hidden="1"/>
    <row r="785" hidden="1"/>
    <row r="786" hidden="1"/>
    <row r="787" hidden="1"/>
    <row r="788" hidden="1"/>
    <row r="789" hidden="1"/>
    <row r="790" hidden="1"/>
    <row r="791" hidden="1"/>
    <row r="792" hidden="1"/>
    <row r="793" hidden="1"/>
    <row r="794" hidden="1"/>
    <row r="795" hidden="1"/>
    <row r="796" hidden="1"/>
    <row r="797" hidden="1"/>
    <row r="798" hidden="1"/>
    <row r="799" hidden="1"/>
    <row r="800" hidden="1"/>
    <row r="801" hidden="1"/>
    <row r="802" hidden="1"/>
    <row r="803" hidden="1"/>
    <row r="804" hidden="1"/>
    <row r="805" hidden="1"/>
    <row r="806" hidden="1"/>
    <row r="807" hidden="1"/>
    <row r="808" hidden="1"/>
    <row r="809" hidden="1"/>
    <row r="810" hidden="1"/>
    <row r="811" hidden="1"/>
    <row r="812" hidden="1"/>
    <row r="813" hidden="1"/>
    <row r="814" hidden="1"/>
    <row r="815" hidden="1"/>
    <row r="816" hidden="1"/>
    <row r="817" hidden="1"/>
    <row r="818" hidden="1"/>
    <row r="819" hidden="1"/>
    <row r="820" hidden="1"/>
    <row r="821" hidden="1"/>
    <row r="822" hidden="1"/>
    <row r="823" hidden="1"/>
    <row r="824" hidden="1"/>
    <row r="825" hidden="1"/>
    <row r="826" hidden="1"/>
    <row r="827" hidden="1"/>
    <row r="828" hidden="1"/>
    <row r="829" hidden="1"/>
    <row r="830" hidden="1"/>
    <row r="831" hidden="1"/>
    <row r="832" hidden="1"/>
    <row r="833" hidden="1"/>
    <row r="834" hidden="1"/>
    <row r="835" hidden="1"/>
    <row r="836" hidden="1"/>
    <row r="837" hidden="1"/>
    <row r="838" hidden="1"/>
    <row r="839" hidden="1"/>
    <row r="840" hidden="1"/>
    <row r="841" hidden="1"/>
    <row r="842" hidden="1"/>
    <row r="843" hidden="1"/>
    <row r="844" hidden="1"/>
    <row r="845" hidden="1"/>
    <row r="846" hidden="1"/>
    <row r="847" hidden="1"/>
    <row r="848" hidden="1"/>
    <row r="849" hidden="1"/>
    <row r="850" hidden="1"/>
    <row r="851" hidden="1"/>
    <row r="852" hidden="1"/>
    <row r="853" hidden="1"/>
    <row r="854" hidden="1"/>
    <row r="855" hidden="1"/>
    <row r="856" hidden="1"/>
    <row r="857" hidden="1"/>
    <row r="858" hidden="1"/>
    <row r="859" hidden="1"/>
    <row r="860" hidden="1"/>
    <row r="861" hidden="1"/>
    <row r="862" hidden="1"/>
    <row r="863" hidden="1"/>
    <row r="864" hidden="1"/>
    <row r="865" hidden="1"/>
    <row r="866" hidden="1"/>
    <row r="867" hidden="1"/>
    <row r="868" hidden="1"/>
    <row r="869" hidden="1"/>
    <row r="870" hidden="1"/>
    <row r="871" hidden="1"/>
    <row r="872" hidden="1"/>
    <row r="873" hidden="1"/>
    <row r="874" hidden="1"/>
    <row r="875" hidden="1"/>
    <row r="876" hidden="1"/>
    <row r="877" hidden="1"/>
    <row r="878" hidden="1"/>
    <row r="879" hidden="1"/>
    <row r="880" hidden="1"/>
    <row r="881" hidden="1"/>
    <row r="882" hidden="1"/>
    <row r="883" hidden="1"/>
    <row r="884" hidden="1"/>
    <row r="885" hidden="1"/>
    <row r="886" hidden="1"/>
    <row r="887" hidden="1"/>
    <row r="888" hidden="1"/>
    <row r="889" hidden="1"/>
    <row r="890" hidden="1"/>
    <row r="891" hidden="1"/>
    <row r="892" hidden="1"/>
    <row r="893" hidden="1"/>
    <row r="894" hidden="1"/>
    <row r="895" hidden="1"/>
    <row r="896" hidden="1"/>
    <row r="897" hidden="1"/>
    <row r="898" hidden="1"/>
    <row r="899" hidden="1"/>
    <row r="900" hidden="1"/>
    <row r="901" hidden="1"/>
    <row r="902" hidden="1"/>
    <row r="903" hidden="1"/>
    <row r="904" hidden="1"/>
    <row r="905" hidden="1"/>
    <row r="906" hidden="1"/>
    <row r="907" hidden="1"/>
    <row r="908" hidden="1"/>
    <row r="909" hidden="1"/>
    <row r="910" hidden="1"/>
    <row r="911" hidden="1"/>
    <row r="912" hidden="1"/>
    <row r="913" hidden="1"/>
    <row r="914" hidden="1"/>
    <row r="915" hidden="1"/>
    <row r="916" hidden="1"/>
    <row r="917" hidden="1"/>
    <row r="918" hidden="1"/>
    <row r="919" hidden="1"/>
    <row r="920" hidden="1"/>
    <row r="921" hidden="1"/>
    <row r="922" hidden="1"/>
    <row r="923" hidden="1"/>
    <row r="924" hidden="1"/>
    <row r="925" hidden="1"/>
    <row r="926" hidden="1"/>
    <row r="927" hidden="1"/>
    <row r="928" hidden="1"/>
    <row r="929" hidden="1"/>
    <row r="930" hidden="1"/>
    <row r="931" hidden="1"/>
    <row r="932" hidden="1"/>
    <row r="933" hidden="1"/>
    <row r="934" hidden="1"/>
    <row r="935" hidden="1"/>
    <row r="936" hidden="1"/>
    <row r="937" hidden="1"/>
    <row r="938" hidden="1"/>
    <row r="939" hidden="1"/>
    <row r="940" hidden="1"/>
    <row r="941" hidden="1"/>
    <row r="942" hidden="1"/>
    <row r="943" hidden="1"/>
    <row r="944" hidden="1"/>
    <row r="945" hidden="1"/>
    <row r="946" hidden="1"/>
    <row r="947" hidden="1"/>
    <row r="948" hidden="1"/>
    <row r="949" hidden="1"/>
    <row r="950" hidden="1"/>
    <row r="951" hidden="1"/>
    <row r="952" hidden="1"/>
    <row r="953" hidden="1"/>
    <row r="954" hidden="1"/>
    <row r="955" hidden="1"/>
    <row r="956" hidden="1"/>
    <row r="957" hidden="1"/>
    <row r="958" hidden="1"/>
    <row r="959" hidden="1"/>
    <row r="960" hidden="1"/>
    <row r="961" hidden="1"/>
    <row r="962" hidden="1"/>
    <row r="963" hidden="1"/>
    <row r="964" hidden="1"/>
    <row r="965" hidden="1"/>
    <row r="966" hidden="1"/>
    <row r="967" hidden="1"/>
    <row r="968" hidden="1"/>
    <row r="969" hidden="1"/>
    <row r="970" hidden="1"/>
    <row r="971" hidden="1"/>
    <row r="972" hidden="1"/>
    <row r="973" hidden="1"/>
    <row r="974" hidden="1"/>
    <row r="975" hidden="1"/>
    <row r="976" hidden="1"/>
    <row r="977" hidden="1"/>
    <row r="978" hidden="1"/>
    <row r="979" hidden="1"/>
    <row r="980" hidden="1"/>
    <row r="981" hidden="1"/>
    <row r="982" hidden="1"/>
    <row r="983" hidden="1"/>
    <row r="984" hidden="1"/>
    <row r="985" hidden="1"/>
    <row r="986" hidden="1"/>
    <row r="987" hidden="1"/>
    <row r="988" hidden="1"/>
    <row r="989" hidden="1"/>
    <row r="990" hidden="1"/>
    <row r="991" hidden="1"/>
    <row r="992" hidden="1"/>
    <row r="993" hidden="1"/>
    <row r="994" hidden="1"/>
    <row r="995" hidden="1"/>
    <row r="996" hidden="1"/>
    <row r="997" hidden="1"/>
    <row r="998" hidden="1"/>
    <row r="999" hidden="1"/>
    <row r="1000" hidden="1"/>
    <row r="1001" hidden="1"/>
    <row r="1002" hidden="1"/>
  </sheetData>
  <mergeCells count="147">
    <mergeCell ref="P9:S9"/>
    <mergeCell ref="T9:U9"/>
    <mergeCell ref="J9:M9"/>
    <mergeCell ref="H11:M11"/>
    <mergeCell ref="H10:M10"/>
    <mergeCell ref="H12:M12"/>
    <mergeCell ref="H9:I9"/>
    <mergeCell ref="T12:Y12"/>
    <mergeCell ref="N8:O8"/>
    <mergeCell ref="N10:S10"/>
    <mergeCell ref="N12:S12"/>
    <mergeCell ref="N9:O9"/>
    <mergeCell ref="AB8:AE8"/>
    <mergeCell ref="T10:Y10"/>
    <mergeCell ref="Z10:AE10"/>
    <mergeCell ref="B26:G26"/>
    <mergeCell ref="B25:G25"/>
    <mergeCell ref="T25:Y25"/>
    <mergeCell ref="T24:Y24"/>
    <mergeCell ref="B24:G24"/>
    <mergeCell ref="B23:G23"/>
    <mergeCell ref="H23:M23"/>
    <mergeCell ref="H24:M24"/>
    <mergeCell ref="H26:M26"/>
    <mergeCell ref="H25:M25"/>
    <mergeCell ref="P7:S7"/>
    <mergeCell ref="T7:U7"/>
    <mergeCell ref="H7:I7"/>
    <mergeCell ref="B7:C7"/>
    <mergeCell ref="D7:G7"/>
    <mergeCell ref="N7:O7"/>
    <mergeCell ref="J7:M7"/>
    <mergeCell ref="P8:S8"/>
    <mergeCell ref="T8:U8"/>
    <mergeCell ref="J8:M8"/>
    <mergeCell ref="H8:I8"/>
    <mergeCell ref="D8:G8"/>
    <mergeCell ref="B8:C8"/>
    <mergeCell ref="B9:C9"/>
    <mergeCell ref="D9:G9"/>
    <mergeCell ref="B11:G11"/>
    <mergeCell ref="B12:G12"/>
    <mergeCell ref="B10:G10"/>
    <mergeCell ref="N11:S11"/>
    <mergeCell ref="T11:Y11"/>
    <mergeCell ref="B21:C21"/>
    <mergeCell ref="D21:G21"/>
    <mergeCell ref="H21:I21"/>
    <mergeCell ref="J21:M21"/>
    <mergeCell ref="B22:G22"/>
    <mergeCell ref="H22:M22"/>
    <mergeCell ref="Z27:AE27"/>
    <mergeCell ref="Z26:AE26"/>
    <mergeCell ref="T27:Y27"/>
    <mergeCell ref="N27:S27"/>
    <mergeCell ref="B27:G27"/>
    <mergeCell ref="H27:M27"/>
    <mergeCell ref="B13:G13"/>
    <mergeCell ref="H13:M13"/>
    <mergeCell ref="Z13:AE13"/>
    <mergeCell ref="Z14:AE14"/>
    <mergeCell ref="AF14:AI14"/>
    <mergeCell ref="T14:Y14"/>
    <mergeCell ref="T13:Y13"/>
    <mergeCell ref="N14:S14"/>
    <mergeCell ref="N13:S13"/>
    <mergeCell ref="B14:G14"/>
    <mergeCell ref="H14:M14"/>
    <mergeCell ref="B16:AE17"/>
    <mergeCell ref="V7:Y7"/>
    <mergeCell ref="V6:Y6"/>
    <mergeCell ref="Z8:AA8"/>
    <mergeCell ref="V8:Y8"/>
    <mergeCell ref="Z9:AA9"/>
    <mergeCell ref="V9:Y9"/>
    <mergeCell ref="T6:U6"/>
    <mergeCell ref="AB7:AE7"/>
    <mergeCell ref="Z6:AA6"/>
    <mergeCell ref="Z7:AA7"/>
    <mergeCell ref="AB6:AE6"/>
    <mergeCell ref="AF6:AI9"/>
    <mergeCell ref="AB9:AE9"/>
    <mergeCell ref="N6:O6"/>
    <mergeCell ref="J6:M6"/>
    <mergeCell ref="P6:S6"/>
    <mergeCell ref="L2:N2"/>
    <mergeCell ref="O2:U2"/>
    <mergeCell ref="V2:Y2"/>
    <mergeCell ref="B4:AE5"/>
    <mergeCell ref="D6:G6"/>
    <mergeCell ref="B6:C6"/>
    <mergeCell ref="H6:I6"/>
    <mergeCell ref="P19:S19"/>
    <mergeCell ref="T19:U19"/>
    <mergeCell ref="V20:Y20"/>
    <mergeCell ref="T20:U20"/>
    <mergeCell ref="P20:S20"/>
    <mergeCell ref="N20:O20"/>
    <mergeCell ref="V21:Y21"/>
    <mergeCell ref="T21:U21"/>
    <mergeCell ref="AB21:AE21"/>
    <mergeCell ref="Z21:AA21"/>
    <mergeCell ref="AB19:AE19"/>
    <mergeCell ref="AB20:AE20"/>
    <mergeCell ref="Z19:AA19"/>
    <mergeCell ref="Z20:AA20"/>
    <mergeCell ref="T18:U18"/>
    <mergeCell ref="V18:Y18"/>
    <mergeCell ref="AB18:AE18"/>
    <mergeCell ref="Z18:AA18"/>
    <mergeCell ref="V19:Y19"/>
    <mergeCell ref="N21:O21"/>
    <mergeCell ref="N19:O19"/>
    <mergeCell ref="B20:C20"/>
    <mergeCell ref="B19:C19"/>
    <mergeCell ref="D20:G20"/>
    <mergeCell ref="H20:I20"/>
    <mergeCell ref="H19:I19"/>
    <mergeCell ref="D19:G19"/>
    <mergeCell ref="P18:S18"/>
    <mergeCell ref="B18:C18"/>
    <mergeCell ref="D18:G18"/>
    <mergeCell ref="J18:M18"/>
    <mergeCell ref="N18:O18"/>
    <mergeCell ref="H18:I18"/>
    <mergeCell ref="J20:M20"/>
    <mergeCell ref="J19:M19"/>
    <mergeCell ref="Z23:AE23"/>
    <mergeCell ref="Z22:AE22"/>
    <mergeCell ref="Z24:AE24"/>
    <mergeCell ref="Z25:AE25"/>
    <mergeCell ref="Z12:AE12"/>
    <mergeCell ref="Z11:AE11"/>
    <mergeCell ref="AF10:AI13"/>
    <mergeCell ref="AF18:AI21"/>
    <mergeCell ref="AF22:AI25"/>
    <mergeCell ref="AF27:AI27"/>
    <mergeCell ref="AF26:AI26"/>
    <mergeCell ref="N26:S26"/>
    <mergeCell ref="N25:S25"/>
    <mergeCell ref="P21:S21"/>
    <mergeCell ref="N23:S23"/>
    <mergeCell ref="N22:S22"/>
    <mergeCell ref="N24:S24"/>
    <mergeCell ref="T26:Y26"/>
    <mergeCell ref="T22:Y22"/>
    <mergeCell ref="T23:Y23"/>
  </mergeCells>
  <conditionalFormatting sqref="O2">
    <cfRule type="expression" dxfId="5" priority="1">
      <formula> $O$2 = "Hero Damage"</formula>
    </cfRule>
  </conditionalFormatting>
  <conditionalFormatting sqref="O2">
    <cfRule type="expression" dxfId="8" priority="2">
      <formula> $O$2 = "Tap Damage"</formula>
    </cfRule>
  </conditionalFormatting>
  <conditionalFormatting sqref="O2">
    <cfRule type="expression" dxfId="7" priority="3">
      <formula>$O$2 = "Pet Damage"</formula>
    </cfRule>
  </conditionalFormatting>
  <conditionalFormatting sqref="O2">
    <cfRule type="expression" dxfId="6" priority="4">
      <formula> $O$2 = "SC Damage"</formula>
    </cfRule>
  </conditionalFormatting>
  <conditionalFormatting sqref="O2">
    <cfRule type="expression" dxfId="0" priority="5">
      <formula> $O$2 = "HS Damage"</formula>
    </cfRule>
  </conditionalFormatting>
  <conditionalFormatting sqref="O2">
    <cfRule type="expression" dxfId="5" priority="6">
      <formula> $O$2 = "Ship Damage"</formula>
    </cfRule>
  </conditionalFormatting>
  <conditionalFormatting sqref="B27:AE27">
    <cfRule type="cellIs" dxfId="33" priority="7" operator="lessThan">
      <formula>1</formula>
    </cfRule>
  </conditionalFormatting>
  <dataValidations>
    <dataValidation type="list" allowBlank="1" showErrorMessage="1" sqref="D6 D18">
      <formula1>"All Hero,Crit Damage,All Damage,Tap Damage"</formula1>
    </dataValidation>
    <dataValidation type="list" allowBlank="1" showErrorMessage="1" sqref="J6 J18">
      <formula1>"Melee Damage,Spell Damage,Ranged Damage,Sword Attack Damage"</formula1>
    </dataValidation>
    <dataValidation type="list" allowBlank="1" showErrorMessage="1" sqref="V7:V9 V19:V21">
      <formula1>"Chesterson chance,fairy multi-spawn chance,chest gold x10 chance,boss gold x10 chance,Manni Mana chance"</formula1>
    </dataValidation>
    <dataValidation type="list" allowBlank="1" sqref="V2">
      <formula1>"Chesterson,Fairy,All Gold,pHoM,Boss Gold"</formula1>
    </dataValidation>
    <dataValidation type="list" allowBlank="1" showErrorMessage="1" sqref="P6 P18">
      <formula1>"Chesterson Gold,All Gold,Boss Gold,Rogue Gold"</formula1>
    </dataValidation>
    <dataValidation type="list" allowBlank="1" showErrorMessage="1" sqref="J7:J9 J19:J21">
      <formula1>"inactive damage,boss damage,non-boss damage,ground hero damage,flying hero damage"</formula1>
    </dataValidation>
    <dataValidation type="list" allowBlank="1" showErrorMessage="1" sqref="P7:P9 P19:P21">
      <formula1>"inactive gold,Heart of Midas gold,perk gold,fairy gold,Hand of Midas gold"</formula1>
    </dataValidation>
    <dataValidation type="list" allowBlank="1" showErrorMessage="1" sqref="AB7:AB9 AB19:AB21">
      <formula1>"critical chance,deadly chance,multi-spawn chance,all probability boost,Portar spawn chance"</formula1>
    </dataValidation>
    <dataValidation type="list" allowBlank="1" showErrorMessage="1" sqref="AB6 AB18">
      <formula1>"Clan Ship Damage,Pet Damage,Shadow Clone Damage"</formula1>
    </dataValidation>
    <dataValidation type="list" allowBlank="1" showErrorMessage="1" sqref="D8:D9 D20:D21">
      <formula1>"xHS Dmg,xDS Dmg,xSC Dmg,xWC Dmg"</formula1>
    </dataValidation>
    <dataValidation type="list" allowBlank="1" showErrorMessage="1" sqref="D7 D19">
      <formula1>"xHS Dmg,xDS Dmg,xSC Dmg,xWC Dmg,xFS Dmg"</formula1>
    </dataValidation>
    <dataValidation type="list" allowBlank="1" showErrorMessage="1" sqref="V6 V18">
      <formula1>"Weapon,Helmet,Chest,Slash"</formula1>
    </dataValidation>
    <dataValidation type="list" allowBlank="1" showErrorMessage="1" sqref="O2">
      <formula1>"Hero Damage,Tap Damage,Pet Damage,SC Damage,HS Damage,Ship Damage"</formula1>
    </dataValidation>
  </dataValidation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FFE599"/>
    <outlinePr summaryBelow="0" summaryRight="0"/>
  </sheetPr>
  <sheetViews>
    <sheetView workbookViewId="0"/>
  </sheetViews>
  <sheetFormatPr customHeight="1" defaultColWidth="14.43" defaultRowHeight="15.0"/>
  <sheetData>
    <row r="1">
      <c r="A1" s="525" t="s">
        <v>1001</v>
      </c>
      <c r="C1" s="527" t="s">
        <v>1002</v>
      </c>
      <c r="F1" s="57" t="s">
        <v>292</v>
      </c>
    </row>
    <row r="2">
      <c r="A2" s="525"/>
      <c r="C2" s="529"/>
      <c r="D2" s="529"/>
      <c r="E2" s="529"/>
      <c r="F2" s="529"/>
      <c r="G2" s="529"/>
      <c r="H2" s="529"/>
      <c r="I2" s="529"/>
    </row>
    <row r="3">
      <c r="A3" s="525" t="s">
        <v>1003</v>
      </c>
      <c r="B3" s="532" t="s">
        <v>1004</v>
      </c>
      <c r="C3" s="95"/>
      <c r="D3" s="95"/>
      <c r="E3" s="533"/>
      <c r="F3" s="532" t="s">
        <v>1009</v>
      </c>
      <c r="G3" s="95"/>
      <c r="H3" s="95"/>
      <c r="I3" s="95"/>
    </row>
    <row r="4">
      <c r="A4" s="534">
        <v>43396.0</v>
      </c>
      <c r="B4" s="535" t="s">
        <v>1012</v>
      </c>
      <c r="F4" s="536" t="s">
        <v>1014</v>
      </c>
    </row>
    <row r="7">
      <c r="A7" s="534">
        <v>43382.0</v>
      </c>
      <c r="B7" s="535"/>
      <c r="F7" s="536" t="s">
        <v>1018</v>
      </c>
    </row>
    <row r="10">
      <c r="A10" s="534">
        <v>43379.0</v>
      </c>
      <c r="B10" s="535" t="s">
        <v>1019</v>
      </c>
      <c r="F10" s="536" t="s">
        <v>1020</v>
      </c>
    </row>
    <row r="13">
      <c r="A13" s="534">
        <v>43348.0</v>
      </c>
      <c r="B13" s="535" t="s">
        <v>1022</v>
      </c>
      <c r="F13" s="536" t="s">
        <v>1023</v>
      </c>
    </row>
    <row r="16">
      <c r="A16" s="534">
        <v>43319.0</v>
      </c>
      <c r="B16" s="535" t="s">
        <v>1024</v>
      </c>
      <c r="F16" s="536"/>
    </row>
    <row r="19">
      <c r="A19" s="534">
        <v>43314.0</v>
      </c>
      <c r="B19" s="535" t="s">
        <v>1025</v>
      </c>
      <c r="F19" s="536"/>
    </row>
    <row r="22">
      <c r="A22" s="534">
        <v>43315.0</v>
      </c>
      <c r="B22" s="535" t="s">
        <v>1026</v>
      </c>
      <c r="F22" s="536" t="s">
        <v>1027</v>
      </c>
    </row>
    <row r="25">
      <c r="A25" s="534">
        <v>43312.0</v>
      </c>
      <c r="B25" s="535" t="s">
        <v>1028</v>
      </c>
      <c r="F25" s="536"/>
    </row>
    <row r="28">
      <c r="A28" s="534">
        <v>43309.0</v>
      </c>
      <c r="B28" s="535" t="s">
        <v>1029</v>
      </c>
      <c r="F28" s="536" t="s">
        <v>1030</v>
      </c>
    </row>
    <row r="31">
      <c r="A31" s="534">
        <v>43308.0</v>
      </c>
      <c r="B31" s="535"/>
      <c r="F31" s="536" t="s">
        <v>1031</v>
      </c>
    </row>
    <row r="34">
      <c r="A34" s="534">
        <v>43307.0</v>
      </c>
      <c r="B34" s="535" t="s">
        <v>1032</v>
      </c>
      <c r="F34" s="536" t="s">
        <v>1033</v>
      </c>
    </row>
    <row r="36" ht="24.75" customHeight="1"/>
    <row r="37">
      <c r="A37" s="534">
        <v>43306.0</v>
      </c>
      <c r="B37" s="535" t="s">
        <v>1034</v>
      </c>
      <c r="F37" s="536" t="s">
        <v>1035</v>
      </c>
    </row>
    <row r="40">
      <c r="A40" s="460"/>
      <c r="B40" s="538"/>
      <c r="F40" s="539"/>
    </row>
    <row r="41">
      <c r="A41" s="460"/>
      <c r="B41" s="538"/>
      <c r="F41" s="539"/>
    </row>
    <row r="42">
      <c r="A42" s="460"/>
      <c r="B42" s="538"/>
      <c r="F42" s="539"/>
    </row>
    <row r="43">
      <c r="A43" s="460"/>
      <c r="B43" s="538"/>
      <c r="F43" s="539"/>
    </row>
    <row r="44">
      <c r="A44" s="460"/>
      <c r="B44" s="538"/>
      <c r="F44" s="539"/>
    </row>
    <row r="45">
      <c r="A45" s="460"/>
      <c r="B45" s="538"/>
      <c r="F45" s="539"/>
    </row>
    <row r="46">
      <c r="A46" s="460"/>
      <c r="B46" s="538"/>
      <c r="F46" s="539"/>
    </row>
    <row r="47">
      <c r="A47" s="460"/>
      <c r="B47" s="538"/>
      <c r="F47" s="539"/>
    </row>
    <row r="48">
      <c r="A48" s="460"/>
      <c r="B48" s="538"/>
      <c r="F48" s="539"/>
    </row>
    <row r="49">
      <c r="A49" s="460"/>
      <c r="B49" s="538"/>
      <c r="F49" s="539"/>
    </row>
    <row r="50">
      <c r="A50" s="460"/>
      <c r="B50" s="538"/>
      <c r="F50" s="539"/>
    </row>
    <row r="51">
      <c r="A51" s="460"/>
      <c r="B51" s="538"/>
      <c r="F51" s="539"/>
    </row>
    <row r="52">
      <c r="A52" s="460"/>
      <c r="B52" s="538"/>
      <c r="F52" s="539"/>
    </row>
    <row r="53">
      <c r="A53" s="460"/>
      <c r="B53" s="538"/>
      <c r="F53" s="539"/>
    </row>
    <row r="54">
      <c r="A54" s="460"/>
      <c r="B54" s="538"/>
      <c r="F54" s="539"/>
    </row>
    <row r="55">
      <c r="A55" s="460"/>
      <c r="B55" s="538"/>
      <c r="F55" s="539"/>
    </row>
    <row r="56">
      <c r="A56" s="460"/>
      <c r="B56" s="538"/>
      <c r="F56" s="539"/>
    </row>
    <row r="57">
      <c r="A57" s="460"/>
      <c r="B57" s="538"/>
      <c r="F57" s="539"/>
    </row>
    <row r="58">
      <c r="A58" s="460"/>
      <c r="B58" s="538"/>
      <c r="F58" s="539"/>
    </row>
    <row r="59">
      <c r="A59" s="460"/>
      <c r="B59" s="538"/>
      <c r="F59" s="539"/>
    </row>
    <row r="60">
      <c r="A60" s="460"/>
      <c r="B60" s="538"/>
      <c r="F60" s="539"/>
    </row>
    <row r="61">
      <c r="A61" s="460"/>
      <c r="B61" s="538"/>
      <c r="F61" s="539"/>
    </row>
    <row r="62">
      <c r="A62" s="460"/>
      <c r="B62" s="538"/>
      <c r="F62" s="539"/>
    </row>
    <row r="63">
      <c r="A63" s="460"/>
      <c r="B63" s="538"/>
      <c r="F63" s="539"/>
    </row>
    <row r="64">
      <c r="A64" s="460"/>
      <c r="B64" s="538"/>
      <c r="F64" s="539"/>
    </row>
    <row r="65">
      <c r="A65" s="460"/>
      <c r="B65" s="538"/>
      <c r="F65" s="539"/>
    </row>
    <row r="66">
      <c r="A66" s="460"/>
      <c r="B66" s="538"/>
      <c r="F66" s="539"/>
    </row>
    <row r="67">
      <c r="A67" s="460"/>
      <c r="B67" s="538"/>
      <c r="F67" s="539"/>
    </row>
    <row r="68">
      <c r="A68" s="460"/>
      <c r="B68" s="538"/>
      <c r="F68" s="539"/>
    </row>
    <row r="69">
      <c r="A69" s="460"/>
      <c r="B69" s="538"/>
      <c r="F69" s="539"/>
    </row>
    <row r="70">
      <c r="A70" s="460"/>
      <c r="B70" s="538"/>
      <c r="F70" s="539"/>
    </row>
  </sheetData>
  <mergeCells count="122">
    <mergeCell ref="S28:S30"/>
    <mergeCell ref="K28:K30"/>
    <mergeCell ref="L28:L30"/>
    <mergeCell ref="F56:I56"/>
    <mergeCell ref="F43:I43"/>
    <mergeCell ref="F49:I49"/>
    <mergeCell ref="F52:I52"/>
    <mergeCell ref="F53:I53"/>
    <mergeCell ref="F54:I54"/>
    <mergeCell ref="F55:I55"/>
    <mergeCell ref="J28:J30"/>
    <mergeCell ref="F31:I33"/>
    <mergeCell ref="F28:I30"/>
    <mergeCell ref="F34:I36"/>
    <mergeCell ref="F37:I39"/>
    <mergeCell ref="F58:I58"/>
    <mergeCell ref="F57:I57"/>
    <mergeCell ref="F60:I60"/>
    <mergeCell ref="F59:I59"/>
    <mergeCell ref="U28:U30"/>
    <mergeCell ref="AA28:AA30"/>
    <mergeCell ref="Z28:Z30"/>
    <mergeCell ref="Y28:Y30"/>
    <mergeCell ref="X28:X30"/>
    <mergeCell ref="T28:T30"/>
    <mergeCell ref="F41:I41"/>
    <mergeCell ref="W28:W30"/>
    <mergeCell ref="V28:V30"/>
    <mergeCell ref="N28:N30"/>
    <mergeCell ref="M28:M30"/>
    <mergeCell ref="O28:O30"/>
    <mergeCell ref="P28:P30"/>
    <mergeCell ref="R28:R30"/>
    <mergeCell ref="Q28:Q30"/>
    <mergeCell ref="F48:I48"/>
    <mergeCell ref="F44:I44"/>
    <mergeCell ref="F47:I47"/>
    <mergeCell ref="F46:I46"/>
    <mergeCell ref="F45:I45"/>
    <mergeCell ref="F51:I51"/>
    <mergeCell ref="F50:I50"/>
    <mergeCell ref="F7:I9"/>
    <mergeCell ref="F10:I12"/>
    <mergeCell ref="B10:E12"/>
    <mergeCell ref="B13:E15"/>
    <mergeCell ref="A19:A21"/>
    <mergeCell ref="A16:A18"/>
    <mergeCell ref="A7:A9"/>
    <mergeCell ref="A13:A15"/>
    <mergeCell ref="A10:A12"/>
    <mergeCell ref="A22:A24"/>
    <mergeCell ref="F19:I21"/>
    <mergeCell ref="F13:I15"/>
    <mergeCell ref="F16:I18"/>
    <mergeCell ref="B16:E18"/>
    <mergeCell ref="B19:E21"/>
    <mergeCell ref="B22:E24"/>
    <mergeCell ref="B7:E9"/>
    <mergeCell ref="B53:E53"/>
    <mergeCell ref="B52:E52"/>
    <mergeCell ref="B60:E60"/>
    <mergeCell ref="B59:E59"/>
    <mergeCell ref="B56:E56"/>
    <mergeCell ref="B58:E58"/>
    <mergeCell ref="B57:E57"/>
    <mergeCell ref="F63:I63"/>
    <mergeCell ref="F61:I61"/>
    <mergeCell ref="F62:I62"/>
    <mergeCell ref="B49:E49"/>
    <mergeCell ref="B54:E54"/>
    <mergeCell ref="B55:E55"/>
    <mergeCell ref="B61:E61"/>
    <mergeCell ref="B46:E46"/>
    <mergeCell ref="B48:E48"/>
    <mergeCell ref="B47:E47"/>
    <mergeCell ref="B50:E50"/>
    <mergeCell ref="B51:E51"/>
    <mergeCell ref="B45:E45"/>
    <mergeCell ref="B44:E44"/>
    <mergeCell ref="B43:E43"/>
    <mergeCell ref="B41:E41"/>
    <mergeCell ref="B42:E42"/>
    <mergeCell ref="A28:A30"/>
    <mergeCell ref="A31:A33"/>
    <mergeCell ref="A34:A36"/>
    <mergeCell ref="A25:A27"/>
    <mergeCell ref="B34:E36"/>
    <mergeCell ref="B31:E33"/>
    <mergeCell ref="B28:E30"/>
    <mergeCell ref="B25:E27"/>
    <mergeCell ref="B40:E40"/>
    <mergeCell ref="A37:A39"/>
    <mergeCell ref="B37:E39"/>
    <mergeCell ref="B4:E6"/>
    <mergeCell ref="A2:B2"/>
    <mergeCell ref="A4:A6"/>
    <mergeCell ref="B3:E3"/>
    <mergeCell ref="F40:I40"/>
    <mergeCell ref="F42:I42"/>
    <mergeCell ref="F1:I1"/>
    <mergeCell ref="F4:I6"/>
    <mergeCell ref="F3:I3"/>
    <mergeCell ref="F25:I27"/>
    <mergeCell ref="F22:I24"/>
    <mergeCell ref="B63:E63"/>
    <mergeCell ref="B62:E62"/>
    <mergeCell ref="F66:I66"/>
    <mergeCell ref="F65:I65"/>
    <mergeCell ref="B65:E65"/>
    <mergeCell ref="B64:E64"/>
    <mergeCell ref="B69:E69"/>
    <mergeCell ref="B70:E70"/>
    <mergeCell ref="F64:I64"/>
    <mergeCell ref="B66:E66"/>
    <mergeCell ref="B67:E67"/>
    <mergeCell ref="F67:I67"/>
    <mergeCell ref="F69:I69"/>
    <mergeCell ref="F70:I70"/>
    <mergeCell ref="F68:I68"/>
    <mergeCell ref="B68:E68"/>
    <mergeCell ref="A1:B1"/>
    <mergeCell ref="C1:E1"/>
  </mergeCells>
  <hyperlinks>
    <hyperlink r:id="rId1" ref="C1"/>
  </hyperlinks>
  <drawing r:id="rId2"/>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1.86"/>
    <col customWidth="1" min="2" max="2" width="38.43"/>
    <col customWidth="1" min="3" max="3" width="20.43"/>
  </cols>
  <sheetData>
    <row r="1">
      <c r="A1" s="1" t="s">
        <v>1046</v>
      </c>
      <c r="B1" s="1" t="s">
        <v>1047</v>
      </c>
      <c r="C1" s="1" t="s">
        <v>1048</v>
      </c>
    </row>
    <row r="2">
      <c r="A2" s="289" t="s">
        <v>1049</v>
      </c>
      <c r="B2" s="289" t="s">
        <v>1050</v>
      </c>
      <c r="C2" s="1" t="s">
        <v>1050</v>
      </c>
    </row>
    <row r="3">
      <c r="A3" s="289" t="s">
        <v>1051</v>
      </c>
      <c r="B3" s="289" t="s">
        <v>1050</v>
      </c>
      <c r="C3" s="289" t="s">
        <v>1052</v>
      </c>
    </row>
    <row r="4">
      <c r="A4" s="289" t="s">
        <v>1053</v>
      </c>
      <c r="B4" s="289" t="s">
        <v>1054</v>
      </c>
      <c r="C4" s="289" t="s">
        <v>1055</v>
      </c>
    </row>
    <row r="5">
      <c r="A5" s="289" t="s">
        <v>1056</v>
      </c>
      <c r="B5" s="289" t="s">
        <v>1057</v>
      </c>
      <c r="C5" s="289" t="s">
        <v>1058</v>
      </c>
    </row>
    <row r="6">
      <c r="A6" s="289" t="s">
        <v>1059</v>
      </c>
      <c r="B6" s="289" t="s">
        <v>1060</v>
      </c>
      <c r="C6" s="289" t="s">
        <v>1061</v>
      </c>
    </row>
    <row r="7">
      <c r="A7" s="289" t="s">
        <v>1062</v>
      </c>
      <c r="B7" s="289" t="s">
        <v>1063</v>
      </c>
      <c r="C7" s="289" t="s">
        <v>1064</v>
      </c>
    </row>
    <row r="8">
      <c r="A8" s="289" t="s">
        <v>1065</v>
      </c>
      <c r="B8" s="289" t="s">
        <v>1066</v>
      </c>
      <c r="C8" s="289" t="s">
        <v>1067</v>
      </c>
    </row>
    <row r="9">
      <c r="A9" s="289" t="s">
        <v>1068</v>
      </c>
      <c r="B9" s="289" t="s">
        <v>1069</v>
      </c>
      <c r="C9" s="289" t="s">
        <v>1070</v>
      </c>
    </row>
    <row r="10">
      <c r="A10" s="289" t="s">
        <v>1071</v>
      </c>
      <c r="B10" s="289" t="s">
        <v>1072</v>
      </c>
      <c r="C10" s="289" t="s">
        <v>1073</v>
      </c>
    </row>
    <row r="11">
      <c r="A11" s="289" t="s">
        <v>1074</v>
      </c>
      <c r="B11" s="289" t="s">
        <v>1075</v>
      </c>
      <c r="C11" s="289" t="s">
        <v>1076</v>
      </c>
    </row>
    <row r="12">
      <c r="A12" s="289" t="s">
        <v>1077</v>
      </c>
      <c r="B12" s="289" t="s">
        <v>1078</v>
      </c>
      <c r="C12" s="289" t="s">
        <v>1079</v>
      </c>
    </row>
    <row r="13">
      <c r="A13" s="289" t="s">
        <v>1080</v>
      </c>
      <c r="B13" s="289" t="s">
        <v>1081</v>
      </c>
      <c r="C13" s="289" t="s">
        <v>1082</v>
      </c>
    </row>
    <row r="14">
      <c r="A14" s="289" t="s">
        <v>1083</v>
      </c>
      <c r="B14" s="289" t="s">
        <v>1084</v>
      </c>
      <c r="C14" s="289" t="s">
        <v>1085</v>
      </c>
    </row>
    <row r="15">
      <c r="A15" s="289" t="s">
        <v>1086</v>
      </c>
      <c r="B15" s="289" t="s">
        <v>1087</v>
      </c>
      <c r="C15" s="289" t="s">
        <v>1088</v>
      </c>
    </row>
    <row r="16">
      <c r="A16" s="289" t="s">
        <v>1089</v>
      </c>
      <c r="B16" s="289" t="s">
        <v>1090</v>
      </c>
      <c r="C16" s="289" t="s">
        <v>1091</v>
      </c>
    </row>
    <row r="17">
      <c r="A17" s="289" t="s">
        <v>1092</v>
      </c>
      <c r="B17" s="289" t="s">
        <v>1093</v>
      </c>
      <c r="C17" s="289" t="s">
        <v>1094</v>
      </c>
    </row>
    <row r="18">
      <c r="A18" s="289" t="s">
        <v>1095</v>
      </c>
      <c r="B18" s="289" t="s">
        <v>1096</v>
      </c>
      <c r="C18" s="289" t="s">
        <v>1097</v>
      </c>
    </row>
    <row r="19">
      <c r="A19" s="289" t="s">
        <v>1098</v>
      </c>
      <c r="B19" s="289" t="s">
        <v>1099</v>
      </c>
      <c r="C19" s="289" t="s">
        <v>1100</v>
      </c>
    </row>
    <row r="20">
      <c r="A20" s="289" t="s">
        <v>1101</v>
      </c>
      <c r="B20" s="289" t="s">
        <v>1102</v>
      </c>
      <c r="C20" s="289" t="s">
        <v>1103</v>
      </c>
    </row>
    <row r="21">
      <c r="A21" s="289" t="s">
        <v>1104</v>
      </c>
      <c r="B21" s="289" t="s">
        <v>1105</v>
      </c>
      <c r="C21" s="289" t="s">
        <v>1106</v>
      </c>
    </row>
    <row r="22">
      <c r="A22" s="289" t="s">
        <v>1107</v>
      </c>
      <c r="B22" s="289" t="s">
        <v>1108</v>
      </c>
      <c r="C22" s="289" t="s">
        <v>1109</v>
      </c>
    </row>
    <row r="23">
      <c r="A23" s="289" t="s">
        <v>1110</v>
      </c>
      <c r="B23" s="289" t="s">
        <v>1111</v>
      </c>
      <c r="C23" s="289" t="s">
        <v>1112</v>
      </c>
    </row>
    <row r="24">
      <c r="A24" s="289" t="s">
        <v>1113</v>
      </c>
      <c r="B24" s="289" t="s">
        <v>1114</v>
      </c>
      <c r="C24" s="289" t="s">
        <v>1115</v>
      </c>
    </row>
    <row r="25">
      <c r="A25" s="289" t="s">
        <v>1116</v>
      </c>
      <c r="B25" s="289" t="s">
        <v>1117</v>
      </c>
      <c r="C25" s="289" t="s">
        <v>1118</v>
      </c>
    </row>
    <row r="26">
      <c r="A26" s="289" t="s">
        <v>1119</v>
      </c>
      <c r="B26" s="289" t="s">
        <v>1120</v>
      </c>
      <c r="C26" s="289" t="s">
        <v>1121</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3" max="3" width="18.43"/>
  </cols>
  <sheetData>
    <row r="1">
      <c r="A1" s="540" t="s">
        <v>1122</v>
      </c>
      <c r="C1" s="541" t="s">
        <v>1123</v>
      </c>
      <c r="D1" s="542"/>
      <c r="E1" s="542"/>
      <c r="F1" s="542"/>
      <c r="G1" s="542"/>
    </row>
    <row r="2">
      <c r="A2" s="402" t="s">
        <v>1124</v>
      </c>
      <c r="C2" s="543">
        <f>'2.10.3 SP Bonus Optimizer'!G43</f>
        <v>0</v>
      </c>
      <c r="D2" s="542"/>
      <c r="E2" s="542" t="str">
        <f>"Cumm Eff @ LS:" &amp;C2&amp;", "&amp;FIXED(E14,0)&amp;" Hits"</f>
        <v>Cumm Eff @ LS:0, 2 Hits</v>
      </c>
      <c r="G2" s="542"/>
    </row>
    <row r="3">
      <c r="A3" s="402" t="s">
        <v>1125</v>
      </c>
      <c r="B3" s="402"/>
      <c r="C3" s="543">
        <v>1.065</v>
      </c>
      <c r="D3" s="542"/>
      <c r="E3" s="544" t="str">
        <f t="array" ref="E3">INDEX(E64:E164,MIN(E14,70))</f>
        <v>#REF!</v>
      </c>
      <c r="G3" s="542"/>
    </row>
    <row r="4">
      <c r="A4" s="402" t="s">
        <v>1126</v>
      </c>
      <c r="C4" s="545" t="s">
        <v>1127</v>
      </c>
      <c r="D4" s="542"/>
      <c r="E4" s="402" t="str">
        <f>"Next Level Efficiency at "&amp;FIXED(E14,0)&amp;" Hits"</f>
        <v>Next Level Efficiency at 2 Hits</v>
      </c>
      <c r="G4" s="542"/>
    </row>
    <row r="5">
      <c r="A5" s="402" t="s">
        <v>1128</v>
      </c>
      <c r="C5" s="545" t="s">
        <v>1129</v>
      </c>
      <c r="D5" s="542"/>
      <c r="E5" s="546" t="str">
        <f t="array" ref="E5">INDEX(M64:M164,MIN(E14,70))</f>
        <v>#REF!</v>
      </c>
      <c r="G5" s="542"/>
    </row>
    <row r="6">
      <c r="A6" s="402" t="s">
        <v>1130</v>
      </c>
      <c r="C6" s="543">
        <v>104.0</v>
      </c>
      <c r="D6" s="402"/>
      <c r="E6" s="402"/>
      <c r="F6" s="542"/>
      <c r="G6" s="542"/>
    </row>
    <row r="7">
      <c r="A7" s="402" t="s">
        <v>1131</v>
      </c>
      <c r="C7" s="543">
        <v>1.0</v>
      </c>
      <c r="D7" s="402" t="s">
        <v>1132</v>
      </c>
      <c r="E7" s="402"/>
      <c r="F7" s="542"/>
      <c r="G7" s="542"/>
    </row>
    <row r="8">
      <c r="A8" s="402"/>
      <c r="B8" s="402"/>
      <c r="C8" s="402"/>
      <c r="D8" s="402"/>
      <c r="E8" s="542"/>
      <c r="F8" s="542"/>
      <c r="G8" s="542"/>
      <c r="H8" s="1"/>
    </row>
    <row r="9">
      <c r="A9" s="402"/>
      <c r="B9" s="402"/>
      <c r="C9" s="402"/>
      <c r="D9" s="402"/>
      <c r="E9" s="542"/>
      <c r="F9" s="542"/>
      <c r="G9" s="542"/>
      <c r="H9" s="1"/>
    </row>
    <row r="10">
      <c r="A10" s="1"/>
      <c r="B10" s="1"/>
      <c r="C10" s="1"/>
      <c r="D10" s="1"/>
      <c r="E10" s="1"/>
      <c r="H10" s="1"/>
    </row>
    <row r="11">
      <c r="A11" s="1"/>
      <c r="B11" s="1"/>
      <c r="C11" s="1"/>
      <c r="D11" s="1"/>
      <c r="E11" s="1"/>
      <c r="H11" s="1"/>
    </row>
    <row r="12">
      <c r="A12" s="1"/>
      <c r="B12" s="1"/>
      <c r="C12" s="1"/>
      <c r="D12" s="1"/>
      <c r="E12" s="1"/>
      <c r="H12" s="1"/>
    </row>
    <row r="13">
      <c r="A13" s="1" t="s">
        <v>403</v>
      </c>
      <c r="B13" s="1" t="s">
        <v>431</v>
      </c>
      <c r="C13" s="1" t="s">
        <v>610</v>
      </c>
      <c r="D13" s="1" t="s">
        <v>1133</v>
      </c>
      <c r="E13" s="1" t="s">
        <v>1134</v>
      </c>
    </row>
    <row r="14">
      <c r="A14" s="1" t="str">
        <f t="shared" ref="A14:C14" si="1">INDEX(C20:C34,$C$2)</f>
        <v>#REF!</v>
      </c>
      <c r="B14" s="1" t="str">
        <f t="shared" si="1"/>
        <v>#REF!</v>
      </c>
      <c r="C14" s="1" t="str">
        <f t="shared" si="1"/>
        <v>#REF!</v>
      </c>
      <c r="D14" s="28">
        <f>0.02*IF(C4="Owned",1.1,1)*C3</f>
        <v>0.02343</v>
      </c>
      <c r="E14">
        <f>IF(C5="Completed",1.5,1)*C6*C7*D14</f>
        <v>2.43672</v>
      </c>
    </row>
    <row r="15">
      <c r="A15" s="1">
        <f t="shared" ref="A15:C15" si="2">INDEX(C20:C34,$C$2+1)</f>
        <v>0.1</v>
      </c>
      <c r="B15" s="1">
        <f t="shared" si="2"/>
        <v>0.938</v>
      </c>
      <c r="C15" s="1">
        <f t="shared" si="2"/>
        <v>3</v>
      </c>
    </row>
    <row r="16">
      <c r="A16" s="1"/>
      <c r="B16" s="1"/>
    </row>
    <row r="17">
      <c r="A17" s="1"/>
      <c r="B17" s="1"/>
    </row>
    <row r="18">
      <c r="A18" s="1"/>
      <c r="B18" s="1"/>
      <c r="C18" s="1"/>
      <c r="D18" s="1"/>
      <c r="E18" s="1"/>
    </row>
    <row r="19">
      <c r="A19" s="1" t="s">
        <v>1135</v>
      </c>
      <c r="B19" s="1" t="s">
        <v>478</v>
      </c>
      <c r="C19" s="1" t="s">
        <v>403</v>
      </c>
      <c r="D19" s="1" t="s">
        <v>431</v>
      </c>
      <c r="E19" s="1" t="s">
        <v>1136</v>
      </c>
    </row>
    <row r="20">
      <c r="A20" s="1">
        <v>1.0</v>
      </c>
      <c r="B20" s="1">
        <v>3.0</v>
      </c>
      <c r="C20" s="1">
        <v>0.1</v>
      </c>
      <c r="D20" s="1">
        <v>0.938</v>
      </c>
      <c r="E20">
        <f t="shared" ref="E20:E34" si="3">SUM($B$20:B20)</f>
        <v>3</v>
      </c>
    </row>
    <row r="21">
      <c r="A21" s="1">
        <v>2.0</v>
      </c>
      <c r="B21" s="1">
        <v>4.0</v>
      </c>
      <c r="C21" s="1">
        <v>0.1532</v>
      </c>
      <c r="D21" s="1">
        <v>0.941</v>
      </c>
      <c r="E21">
        <f t="shared" si="3"/>
        <v>7</v>
      </c>
    </row>
    <row r="22">
      <c r="A22" s="1">
        <v>3.0</v>
      </c>
      <c r="B22" s="1">
        <v>5.0</v>
      </c>
      <c r="C22" s="1">
        <v>0.2072</v>
      </c>
      <c r="D22" s="1">
        <v>0.944</v>
      </c>
      <c r="E22">
        <f t="shared" si="3"/>
        <v>12</v>
      </c>
    </row>
    <row r="23">
      <c r="A23" s="1">
        <v>4.0</v>
      </c>
      <c r="B23" s="1">
        <v>7.0</v>
      </c>
      <c r="C23" s="1">
        <v>0.2671</v>
      </c>
      <c r="D23" s="1">
        <v>0.947</v>
      </c>
      <c r="E23">
        <f t="shared" si="3"/>
        <v>19</v>
      </c>
    </row>
    <row r="24">
      <c r="A24" s="1">
        <v>5.0</v>
      </c>
      <c r="B24" s="1">
        <v>9.0</v>
      </c>
      <c r="C24" s="1">
        <v>0.3288</v>
      </c>
      <c r="D24" s="1">
        <v>0.95</v>
      </c>
      <c r="E24">
        <f t="shared" si="3"/>
        <v>28</v>
      </c>
    </row>
    <row r="25">
      <c r="A25" s="1">
        <v>6.0</v>
      </c>
      <c r="B25" s="1">
        <v>12.0</v>
      </c>
      <c r="C25" s="1">
        <v>0.3942</v>
      </c>
      <c r="D25" s="1">
        <v>0.953</v>
      </c>
      <c r="E25">
        <f t="shared" si="3"/>
        <v>40</v>
      </c>
    </row>
    <row r="26">
      <c r="A26" s="1">
        <v>7.0</v>
      </c>
      <c r="B26" s="1">
        <v>16.0</v>
      </c>
      <c r="C26" s="1">
        <v>0.4627</v>
      </c>
      <c r="D26" s="1">
        <v>0.956</v>
      </c>
      <c r="E26">
        <f t="shared" si="3"/>
        <v>56</v>
      </c>
    </row>
    <row r="27">
      <c r="A27" s="1">
        <v>8.0</v>
      </c>
      <c r="B27" s="1">
        <v>21.0</v>
      </c>
      <c r="C27" s="1">
        <v>0.5323</v>
      </c>
      <c r="D27" s="1">
        <v>0.959</v>
      </c>
      <c r="E27">
        <f t="shared" si="3"/>
        <v>77</v>
      </c>
    </row>
    <row r="28">
      <c r="A28" s="1">
        <v>9.0</v>
      </c>
      <c r="B28" s="1">
        <v>27.0</v>
      </c>
      <c r="C28" s="1">
        <v>0.6003</v>
      </c>
      <c r="D28" s="1">
        <v>0.962</v>
      </c>
      <c r="E28">
        <f t="shared" si="3"/>
        <v>104</v>
      </c>
    </row>
    <row r="29">
      <c r="A29" s="1">
        <v>10.0</v>
      </c>
      <c r="B29" s="1">
        <v>35.0</v>
      </c>
      <c r="C29" s="1">
        <v>0.6659</v>
      </c>
      <c r="D29" s="1">
        <v>0.965</v>
      </c>
      <c r="E29">
        <f t="shared" si="3"/>
        <v>139</v>
      </c>
    </row>
    <row r="30">
      <c r="A30" s="1">
        <v>11.0</v>
      </c>
      <c r="B30" s="1">
        <v>46.0</v>
      </c>
      <c r="C30" s="1">
        <v>0.7288</v>
      </c>
      <c r="D30" s="1">
        <v>0.968</v>
      </c>
      <c r="E30">
        <f t="shared" si="3"/>
        <v>185</v>
      </c>
    </row>
    <row r="31">
      <c r="A31" s="1">
        <v>12.0</v>
      </c>
      <c r="B31" s="1">
        <v>60.0</v>
      </c>
      <c r="C31" s="1">
        <v>0.7867</v>
      </c>
      <c r="D31" s="1">
        <v>0.971</v>
      </c>
      <c r="E31">
        <f t="shared" si="3"/>
        <v>245</v>
      </c>
    </row>
    <row r="32">
      <c r="A32" s="1">
        <v>13.0</v>
      </c>
      <c r="B32" s="1">
        <v>78.0</v>
      </c>
      <c r="C32" s="1">
        <v>0.8379</v>
      </c>
      <c r="D32" s="1">
        <v>0.974</v>
      </c>
      <c r="E32">
        <f t="shared" si="3"/>
        <v>323</v>
      </c>
    </row>
    <row r="33">
      <c r="A33" s="1">
        <v>14.0</v>
      </c>
      <c r="B33" s="1">
        <v>101.0</v>
      </c>
      <c r="C33" s="1">
        <v>0.8809</v>
      </c>
      <c r="D33" s="1">
        <v>0.977</v>
      </c>
      <c r="E33">
        <f t="shared" si="3"/>
        <v>424</v>
      </c>
    </row>
    <row r="34">
      <c r="A34" s="1">
        <v>15.0</v>
      </c>
      <c r="B34" s="1">
        <v>131.0</v>
      </c>
      <c r="C34" s="1">
        <v>0.9147</v>
      </c>
      <c r="D34" s="1">
        <v>0.98</v>
      </c>
      <c r="E34">
        <f t="shared" si="3"/>
        <v>555</v>
      </c>
    </row>
    <row r="35">
      <c r="A35" s="1"/>
      <c r="B35" s="1"/>
      <c r="C35" s="1"/>
      <c r="D35" s="1"/>
      <c r="E35" s="1"/>
      <c r="F35" s="1"/>
    </row>
    <row r="36">
      <c r="A36" s="1"/>
      <c r="B36" s="1"/>
      <c r="C36" s="1"/>
      <c r="D36" s="1"/>
      <c r="E36" s="1"/>
      <c r="F36" s="1"/>
    </row>
    <row r="37">
      <c r="A37" s="1"/>
      <c r="B37" s="1"/>
      <c r="C37" s="1"/>
      <c r="D37" s="1"/>
      <c r="E37" s="1"/>
      <c r="F37" s="1"/>
    </row>
    <row r="38">
      <c r="A38" s="1" t="s">
        <v>1137</v>
      </c>
      <c r="C38" s="543">
        <v>3.0</v>
      </c>
      <c r="D38" s="547" t="s">
        <v>1138</v>
      </c>
      <c r="E38" s="547" t="s">
        <v>1139</v>
      </c>
      <c r="F38" s="547" t="s">
        <v>1136</v>
      </c>
    </row>
    <row r="39">
      <c r="A39" s="1" t="s">
        <v>1140</v>
      </c>
      <c r="C39" s="543">
        <v>10.0</v>
      </c>
      <c r="D39" s="548">
        <f t="array" ref="D39">INDEX(D48:D57,C39)</f>
        <v>0.3</v>
      </c>
      <c r="E39" s="548">
        <f t="array" ref="E39">INDEX(E48:E57,C39)</f>
        <v>20</v>
      </c>
      <c r="F39" s="548">
        <f t="array" ref="F39">INDEX(G48:G57,C39)</f>
        <v>34</v>
      </c>
    </row>
    <row r="40">
      <c r="A40" s="1" t="s">
        <v>1141</v>
      </c>
      <c r="C40" s="549">
        <v>0.08</v>
      </c>
    </row>
    <row r="41">
      <c r="A41" s="1" t="s">
        <v>1125</v>
      </c>
      <c r="B41" s="1"/>
      <c r="C41" s="543">
        <v>1.065</v>
      </c>
    </row>
    <row r="42">
      <c r="A42" s="1" t="s">
        <v>1126</v>
      </c>
      <c r="C42" s="537" t="s">
        <v>1127</v>
      </c>
    </row>
    <row r="43">
      <c r="A43" s="1" t="s">
        <v>1142</v>
      </c>
      <c r="C43" s="537" t="s">
        <v>1127</v>
      </c>
    </row>
    <row r="44">
      <c r="A44" s="1" t="s">
        <v>1143</v>
      </c>
      <c r="C44" s="549">
        <v>0.24</v>
      </c>
    </row>
    <row r="47">
      <c r="A47" s="1" t="s">
        <v>1135</v>
      </c>
      <c r="B47" s="1" t="s">
        <v>478</v>
      </c>
      <c r="C47" s="1" t="s">
        <v>403</v>
      </c>
      <c r="D47" s="1" t="s">
        <v>1138</v>
      </c>
      <c r="E47" s="1" t="s">
        <v>1139</v>
      </c>
      <c r="G47" s="1" t="s">
        <v>1136</v>
      </c>
      <c r="H47" s="1" t="s">
        <v>1136</v>
      </c>
      <c r="I47" s="1" t="s">
        <v>1144</v>
      </c>
      <c r="J47" s="1" t="s">
        <v>1145</v>
      </c>
    </row>
    <row r="48">
      <c r="A48" s="1">
        <v>1.0</v>
      </c>
      <c r="B48" s="1">
        <v>3.0</v>
      </c>
      <c r="C48" s="1">
        <v>2.0</v>
      </c>
      <c r="D48" s="1">
        <v>0.01</v>
      </c>
      <c r="E48" s="1">
        <v>1.0</v>
      </c>
      <c r="F48" s="1">
        <v>1.0</v>
      </c>
      <c r="G48">
        <f t="shared" ref="G48:G57" si="4">SUM($F$48:F48)</f>
        <v>1</v>
      </c>
      <c r="H48">
        <f t="shared" ref="H48:H62" si="5">SUM($B$48:B48)+$F$39</f>
        <v>37</v>
      </c>
      <c r="I48">
        <f t="shared" ref="I48:I62" si="6">(0.08+$C$40)*IF($C$42="Owned",1.1,1)*$C$41*(2+C48)*($C$44+$D$39)*(1+(($E$39+4)/2)*0.25)</f>
        <v>1.6194816</v>
      </c>
      <c r="J48">
        <f t="shared" ref="J48:J62" si="7">I48^(1/H48)</f>
        <v>1.013115154</v>
      </c>
    </row>
    <row r="49">
      <c r="A49" s="1">
        <v>2.0</v>
      </c>
      <c r="B49" s="1">
        <v>4.0</v>
      </c>
      <c r="C49" s="1">
        <v>4.0</v>
      </c>
      <c r="D49" s="1">
        <v>0.016</v>
      </c>
      <c r="E49" s="1">
        <v>2.0</v>
      </c>
      <c r="F49" s="1">
        <v>2.0</v>
      </c>
      <c r="G49">
        <f t="shared" si="4"/>
        <v>3</v>
      </c>
      <c r="H49">
        <f t="shared" si="5"/>
        <v>41</v>
      </c>
      <c r="I49">
        <f t="shared" si="6"/>
        <v>2.4292224</v>
      </c>
      <c r="J49">
        <f t="shared" si="7"/>
        <v>1.021884098</v>
      </c>
    </row>
    <row r="50">
      <c r="A50" s="1">
        <v>3.0</v>
      </c>
      <c r="B50" s="1">
        <v>5.0</v>
      </c>
      <c r="C50" s="1">
        <v>6.5</v>
      </c>
      <c r="D50" s="1">
        <v>0.024</v>
      </c>
      <c r="E50" s="1">
        <v>4.0</v>
      </c>
      <c r="F50" s="1">
        <v>2.0</v>
      </c>
      <c r="G50">
        <f t="shared" si="4"/>
        <v>5</v>
      </c>
      <c r="H50">
        <f t="shared" si="5"/>
        <v>46</v>
      </c>
      <c r="I50">
        <f t="shared" si="6"/>
        <v>3.4413984</v>
      </c>
      <c r="J50">
        <f t="shared" si="7"/>
        <v>1.02723108</v>
      </c>
    </row>
    <row r="51">
      <c r="A51" s="1">
        <v>4.0</v>
      </c>
      <c r="B51" s="1">
        <v>7.0</v>
      </c>
      <c r="C51" s="1">
        <v>10.0</v>
      </c>
      <c r="D51" s="1">
        <v>0.036</v>
      </c>
      <c r="E51" s="1">
        <v>6.0</v>
      </c>
      <c r="F51" s="1">
        <v>3.0</v>
      </c>
      <c r="G51">
        <f t="shared" si="4"/>
        <v>8</v>
      </c>
      <c r="H51">
        <f t="shared" si="5"/>
        <v>53</v>
      </c>
      <c r="I51">
        <f t="shared" si="6"/>
        <v>4.8584448</v>
      </c>
      <c r="J51">
        <f t="shared" si="7"/>
        <v>1.030274092</v>
      </c>
    </row>
    <row r="52">
      <c r="A52" s="1">
        <v>5.0</v>
      </c>
      <c r="B52" s="1">
        <v>9.0</v>
      </c>
      <c r="C52" s="1">
        <v>14.5</v>
      </c>
      <c r="D52" s="1">
        <v>0.052</v>
      </c>
      <c r="E52" s="1">
        <v>8.0</v>
      </c>
      <c r="F52" s="1">
        <v>3.0</v>
      </c>
      <c r="G52">
        <f t="shared" si="4"/>
        <v>11</v>
      </c>
      <c r="H52">
        <f t="shared" si="5"/>
        <v>62</v>
      </c>
      <c r="I52">
        <f t="shared" si="6"/>
        <v>6.6803616</v>
      </c>
      <c r="J52">
        <f t="shared" si="7"/>
        <v>1.031105789</v>
      </c>
    </row>
    <row r="53">
      <c r="A53" s="1">
        <v>6.0</v>
      </c>
      <c r="B53" s="1">
        <v>12.0</v>
      </c>
      <c r="C53" s="1">
        <v>20.5</v>
      </c>
      <c r="D53" s="1">
        <v>0.075</v>
      </c>
      <c r="E53" s="1">
        <v>10.0</v>
      </c>
      <c r="F53" s="1">
        <v>3.0</v>
      </c>
      <c r="G53">
        <f t="shared" si="4"/>
        <v>14</v>
      </c>
      <c r="H53">
        <f t="shared" si="5"/>
        <v>74</v>
      </c>
      <c r="I53">
        <f t="shared" si="6"/>
        <v>9.109584</v>
      </c>
      <c r="J53">
        <f t="shared" si="7"/>
        <v>1.030305923</v>
      </c>
    </row>
    <row r="54">
      <c r="A54" s="1">
        <v>7.0</v>
      </c>
      <c r="B54" s="1">
        <v>16.0</v>
      </c>
      <c r="C54" s="1">
        <v>28.5</v>
      </c>
      <c r="D54" s="1">
        <v>0.107</v>
      </c>
      <c r="E54" s="1">
        <v>12.0</v>
      </c>
      <c r="F54" s="1">
        <v>4.0</v>
      </c>
      <c r="G54">
        <f t="shared" si="4"/>
        <v>18</v>
      </c>
      <c r="H54">
        <f t="shared" si="5"/>
        <v>90</v>
      </c>
      <c r="I54">
        <f t="shared" si="6"/>
        <v>12.3485472</v>
      </c>
      <c r="J54">
        <f t="shared" si="7"/>
        <v>1.028321853</v>
      </c>
    </row>
    <row r="55">
      <c r="A55" s="1">
        <v>8.0</v>
      </c>
      <c r="B55" s="1">
        <v>21.0</v>
      </c>
      <c r="C55" s="1">
        <v>39.0</v>
      </c>
      <c r="D55" s="1">
        <v>0.151</v>
      </c>
      <c r="E55" s="1">
        <v>14.0</v>
      </c>
      <c r="F55" s="1">
        <v>5.0</v>
      </c>
      <c r="G55">
        <f t="shared" si="4"/>
        <v>23</v>
      </c>
      <c r="H55">
        <f t="shared" si="5"/>
        <v>111</v>
      </c>
      <c r="I55">
        <f t="shared" si="6"/>
        <v>16.5996864</v>
      </c>
      <c r="J55">
        <f t="shared" si="7"/>
        <v>1.025632775</v>
      </c>
    </row>
    <row r="56">
      <c r="A56" s="1">
        <v>9.0</v>
      </c>
      <c r="B56" s="1">
        <v>27.0</v>
      </c>
      <c r="C56" s="1">
        <v>52.5</v>
      </c>
      <c r="D56" s="1">
        <v>0.213</v>
      </c>
      <c r="E56" s="1">
        <v>16.0</v>
      </c>
      <c r="F56" s="1">
        <v>5.0</v>
      </c>
      <c r="G56">
        <f t="shared" si="4"/>
        <v>28</v>
      </c>
      <c r="H56">
        <f t="shared" si="5"/>
        <v>138</v>
      </c>
      <c r="I56">
        <f t="shared" si="6"/>
        <v>22.0654368</v>
      </c>
      <c r="J56">
        <f t="shared" si="7"/>
        <v>1.022673606</v>
      </c>
    </row>
    <row r="57">
      <c r="A57" s="1">
        <v>10.0</v>
      </c>
      <c r="B57" s="1">
        <v>35.0</v>
      </c>
      <c r="C57" s="1">
        <v>70.0</v>
      </c>
      <c r="D57" s="1">
        <v>0.3</v>
      </c>
      <c r="E57" s="1">
        <v>20.0</v>
      </c>
      <c r="F57" s="1">
        <v>6.0</v>
      </c>
      <c r="G57">
        <f t="shared" si="4"/>
        <v>34</v>
      </c>
      <c r="H57">
        <f t="shared" si="5"/>
        <v>173</v>
      </c>
      <c r="I57">
        <f t="shared" si="6"/>
        <v>29.1506688</v>
      </c>
      <c r="J57">
        <f t="shared" si="7"/>
        <v>1.019685342</v>
      </c>
    </row>
    <row r="58">
      <c r="A58" s="1">
        <v>11.0</v>
      </c>
      <c r="B58" s="1">
        <v>46.0</v>
      </c>
      <c r="C58" s="1">
        <v>93.0</v>
      </c>
      <c r="H58">
        <f t="shared" si="5"/>
        <v>219</v>
      </c>
      <c r="I58">
        <f t="shared" si="6"/>
        <v>38.462688</v>
      </c>
      <c r="J58">
        <f t="shared" si="7"/>
        <v>1.016804885</v>
      </c>
    </row>
    <row r="59">
      <c r="A59" s="1">
        <v>12.0</v>
      </c>
      <c r="B59" s="1">
        <v>60.0</v>
      </c>
      <c r="C59" s="1">
        <v>123.0</v>
      </c>
      <c r="H59">
        <f t="shared" si="5"/>
        <v>279</v>
      </c>
      <c r="I59">
        <f t="shared" si="6"/>
        <v>50.6088</v>
      </c>
      <c r="J59">
        <f t="shared" si="7"/>
        <v>1.014164343</v>
      </c>
    </row>
    <row r="60">
      <c r="A60" s="1">
        <v>13.0</v>
      </c>
      <c r="B60" s="1">
        <v>78.0</v>
      </c>
      <c r="C60" s="1">
        <v>162.0</v>
      </c>
      <c r="H60">
        <f t="shared" si="5"/>
        <v>357</v>
      </c>
      <c r="I60">
        <f t="shared" si="6"/>
        <v>66.3987456</v>
      </c>
      <c r="J60">
        <f t="shared" si="7"/>
        <v>1.011821933</v>
      </c>
    </row>
    <row r="61">
      <c r="A61" s="1">
        <v>14.0</v>
      </c>
      <c r="B61" s="1">
        <v>101.0</v>
      </c>
      <c r="C61" s="1">
        <v>212.5</v>
      </c>
      <c r="H61">
        <f t="shared" si="5"/>
        <v>458</v>
      </c>
      <c r="I61">
        <f t="shared" si="6"/>
        <v>86.8447008</v>
      </c>
      <c r="J61">
        <f t="shared" si="7"/>
        <v>1.009794647</v>
      </c>
    </row>
    <row r="62">
      <c r="A62" s="1">
        <v>15.0</v>
      </c>
      <c r="B62" s="1">
        <v>131.0</v>
      </c>
      <c r="C62" s="1">
        <v>278.0</v>
      </c>
      <c r="H62">
        <f t="shared" si="5"/>
        <v>589</v>
      </c>
      <c r="I62">
        <f t="shared" si="6"/>
        <v>113.363712</v>
      </c>
      <c r="J62">
        <f t="shared" si="7"/>
        <v>1.008063921</v>
      </c>
    </row>
    <row r="63">
      <c r="E63" s="1" t="s">
        <v>1146</v>
      </c>
      <c r="K63" s="1" t="s">
        <v>1146</v>
      </c>
      <c r="M63" s="1" t="s">
        <v>1147</v>
      </c>
    </row>
    <row r="64">
      <c r="A64" t="str">
        <f>(1-$A$14)</f>
        <v>#REF!</v>
      </c>
      <c r="B64" t="str">
        <f>$B$14</f>
        <v>#REF!</v>
      </c>
      <c r="C64" s="9" t="str">
        <f>A64</f>
        <v>#REF!</v>
      </c>
      <c r="D64" s="550" t="str">
        <f t="shared" ref="D64:D164" si="8">1/C64</f>
        <v>#REF!</v>
      </c>
      <c r="E64" t="str">
        <f t="shared" ref="E64:E164" si="9">(D64)^(1/$C$14)</f>
        <v>#REF!</v>
      </c>
      <c r="G64">
        <f>1-$A$15</f>
        <v>0.9</v>
      </c>
      <c r="H64">
        <f>$B$15</f>
        <v>0.938</v>
      </c>
      <c r="I64" s="9">
        <f>G64</f>
        <v>0.9</v>
      </c>
      <c r="J64" s="550">
        <f t="shared" ref="J64:J164" si="10">1/I64</f>
        <v>1.111111111</v>
      </c>
      <c r="K64">
        <f t="shared" ref="K64:K164" si="11">(J64)^(1/$C$15)</f>
        <v>1.035744169</v>
      </c>
      <c r="M64" s="70" t="str">
        <f t="shared" ref="M64:M164" si="12">(J64/D64)^(1/($C$15-$C$14))</f>
        <v>#REF!</v>
      </c>
    </row>
    <row r="65">
      <c r="A65" t="str">
        <f t="shared" ref="A65:A164" si="13">A64*$B$64</f>
        <v>#REF!</v>
      </c>
      <c r="B65" s="1">
        <v>2.0</v>
      </c>
      <c r="C65" s="8" t="str">
        <f t="shared" ref="C65:C164" si="14">C64*A65</f>
        <v>#REF!</v>
      </c>
      <c r="D65" s="550" t="str">
        <f t="shared" si="8"/>
        <v>#REF!</v>
      </c>
      <c r="E65" t="str">
        <f t="shared" si="9"/>
        <v>#REF!</v>
      </c>
      <c r="G65" t="str">
        <f t="shared" ref="G65:G164" si="15">G64*$B$64</f>
        <v>#REF!</v>
      </c>
      <c r="H65" s="1">
        <v>2.0</v>
      </c>
      <c r="I65" s="8" t="str">
        <f t="shared" ref="I65:I164" si="16">I64*G65</f>
        <v>#REF!</v>
      </c>
      <c r="J65" s="550" t="str">
        <f t="shared" si="10"/>
        <v>#REF!</v>
      </c>
      <c r="K65" t="str">
        <f t="shared" si="11"/>
        <v>#REF!</v>
      </c>
      <c r="M65" s="70" t="str">
        <f t="shared" si="12"/>
        <v>#REF!</v>
      </c>
    </row>
    <row r="66">
      <c r="A66" t="str">
        <f t="shared" si="13"/>
        <v>#REF!</v>
      </c>
      <c r="B66">
        <f t="shared" ref="B66:B164" si="17">B65+1</f>
        <v>3</v>
      </c>
      <c r="C66" s="8" t="str">
        <f t="shared" si="14"/>
        <v>#REF!</v>
      </c>
      <c r="D66" s="550" t="str">
        <f t="shared" si="8"/>
        <v>#REF!</v>
      </c>
      <c r="E66" t="str">
        <f t="shared" si="9"/>
        <v>#REF!</v>
      </c>
      <c r="G66" t="str">
        <f t="shared" si="15"/>
        <v>#REF!</v>
      </c>
      <c r="H66">
        <f t="shared" ref="H66:H164" si="18">H65+1</f>
        <v>3</v>
      </c>
      <c r="I66" s="8" t="str">
        <f t="shared" si="16"/>
        <v>#REF!</v>
      </c>
      <c r="J66" s="550" t="str">
        <f t="shared" si="10"/>
        <v>#REF!</v>
      </c>
      <c r="K66" t="str">
        <f t="shared" si="11"/>
        <v>#REF!</v>
      </c>
      <c r="M66" s="70" t="str">
        <f t="shared" si="12"/>
        <v>#REF!</v>
      </c>
    </row>
    <row r="67">
      <c r="A67" t="str">
        <f t="shared" si="13"/>
        <v>#REF!</v>
      </c>
      <c r="B67">
        <f t="shared" si="17"/>
        <v>4</v>
      </c>
      <c r="C67" s="8" t="str">
        <f t="shared" si="14"/>
        <v>#REF!</v>
      </c>
      <c r="D67" s="550" t="str">
        <f t="shared" si="8"/>
        <v>#REF!</v>
      </c>
      <c r="E67" t="str">
        <f t="shared" si="9"/>
        <v>#REF!</v>
      </c>
      <c r="G67" t="str">
        <f t="shared" si="15"/>
        <v>#REF!</v>
      </c>
      <c r="H67">
        <f t="shared" si="18"/>
        <v>4</v>
      </c>
      <c r="I67" s="8" t="str">
        <f t="shared" si="16"/>
        <v>#REF!</v>
      </c>
      <c r="J67" s="550" t="str">
        <f t="shared" si="10"/>
        <v>#REF!</v>
      </c>
      <c r="K67" t="str">
        <f t="shared" si="11"/>
        <v>#REF!</v>
      </c>
      <c r="M67" s="70" t="str">
        <f t="shared" si="12"/>
        <v>#REF!</v>
      </c>
    </row>
    <row r="68">
      <c r="A68" t="str">
        <f t="shared" si="13"/>
        <v>#REF!</v>
      </c>
      <c r="B68">
        <f t="shared" si="17"/>
        <v>5</v>
      </c>
      <c r="C68" s="8" t="str">
        <f t="shared" si="14"/>
        <v>#REF!</v>
      </c>
      <c r="D68" s="550" t="str">
        <f t="shared" si="8"/>
        <v>#REF!</v>
      </c>
      <c r="E68" t="str">
        <f t="shared" si="9"/>
        <v>#REF!</v>
      </c>
      <c r="G68" t="str">
        <f t="shared" si="15"/>
        <v>#REF!</v>
      </c>
      <c r="H68">
        <f t="shared" si="18"/>
        <v>5</v>
      </c>
      <c r="I68" s="8" t="str">
        <f t="shared" si="16"/>
        <v>#REF!</v>
      </c>
      <c r="J68" s="550" t="str">
        <f t="shared" si="10"/>
        <v>#REF!</v>
      </c>
      <c r="K68" t="str">
        <f t="shared" si="11"/>
        <v>#REF!</v>
      </c>
      <c r="M68" s="70" t="str">
        <f t="shared" si="12"/>
        <v>#REF!</v>
      </c>
    </row>
    <row r="69">
      <c r="A69" t="str">
        <f t="shared" si="13"/>
        <v>#REF!</v>
      </c>
      <c r="B69">
        <f t="shared" si="17"/>
        <v>6</v>
      </c>
      <c r="C69" s="8" t="str">
        <f t="shared" si="14"/>
        <v>#REF!</v>
      </c>
      <c r="D69" s="550" t="str">
        <f t="shared" si="8"/>
        <v>#REF!</v>
      </c>
      <c r="E69" t="str">
        <f t="shared" si="9"/>
        <v>#REF!</v>
      </c>
      <c r="G69" t="str">
        <f t="shared" si="15"/>
        <v>#REF!</v>
      </c>
      <c r="H69">
        <f t="shared" si="18"/>
        <v>6</v>
      </c>
      <c r="I69" s="8" t="str">
        <f t="shared" si="16"/>
        <v>#REF!</v>
      </c>
      <c r="J69" s="550" t="str">
        <f t="shared" si="10"/>
        <v>#REF!</v>
      </c>
      <c r="K69" t="str">
        <f t="shared" si="11"/>
        <v>#REF!</v>
      </c>
      <c r="M69" s="70" t="str">
        <f t="shared" si="12"/>
        <v>#REF!</v>
      </c>
    </row>
    <row r="70">
      <c r="A70" t="str">
        <f t="shared" si="13"/>
        <v>#REF!</v>
      </c>
      <c r="B70">
        <f t="shared" si="17"/>
        <v>7</v>
      </c>
      <c r="C70" s="8" t="str">
        <f t="shared" si="14"/>
        <v>#REF!</v>
      </c>
      <c r="D70" s="550" t="str">
        <f t="shared" si="8"/>
        <v>#REF!</v>
      </c>
      <c r="E70" t="str">
        <f t="shared" si="9"/>
        <v>#REF!</v>
      </c>
      <c r="G70" t="str">
        <f t="shared" si="15"/>
        <v>#REF!</v>
      </c>
      <c r="H70">
        <f t="shared" si="18"/>
        <v>7</v>
      </c>
      <c r="I70" s="8" t="str">
        <f t="shared" si="16"/>
        <v>#REF!</v>
      </c>
      <c r="J70" s="550" t="str">
        <f t="shared" si="10"/>
        <v>#REF!</v>
      </c>
      <c r="K70" t="str">
        <f t="shared" si="11"/>
        <v>#REF!</v>
      </c>
      <c r="M70" s="70" t="str">
        <f t="shared" si="12"/>
        <v>#REF!</v>
      </c>
    </row>
    <row r="71">
      <c r="A71" t="str">
        <f t="shared" si="13"/>
        <v>#REF!</v>
      </c>
      <c r="B71">
        <f t="shared" si="17"/>
        <v>8</v>
      </c>
      <c r="C71" s="8" t="str">
        <f t="shared" si="14"/>
        <v>#REF!</v>
      </c>
      <c r="D71" s="550" t="str">
        <f t="shared" si="8"/>
        <v>#REF!</v>
      </c>
      <c r="E71" t="str">
        <f t="shared" si="9"/>
        <v>#REF!</v>
      </c>
      <c r="G71" t="str">
        <f t="shared" si="15"/>
        <v>#REF!</v>
      </c>
      <c r="H71">
        <f t="shared" si="18"/>
        <v>8</v>
      </c>
      <c r="I71" s="8" t="str">
        <f t="shared" si="16"/>
        <v>#REF!</v>
      </c>
      <c r="J71" s="550" t="str">
        <f t="shared" si="10"/>
        <v>#REF!</v>
      </c>
      <c r="K71" t="str">
        <f t="shared" si="11"/>
        <v>#REF!</v>
      </c>
      <c r="M71" s="70" t="str">
        <f t="shared" si="12"/>
        <v>#REF!</v>
      </c>
    </row>
    <row r="72">
      <c r="A72" t="str">
        <f t="shared" si="13"/>
        <v>#REF!</v>
      </c>
      <c r="B72">
        <f t="shared" si="17"/>
        <v>9</v>
      </c>
      <c r="C72" s="8" t="str">
        <f t="shared" si="14"/>
        <v>#REF!</v>
      </c>
      <c r="D72" s="550" t="str">
        <f t="shared" si="8"/>
        <v>#REF!</v>
      </c>
      <c r="E72" t="str">
        <f t="shared" si="9"/>
        <v>#REF!</v>
      </c>
      <c r="G72" t="str">
        <f t="shared" si="15"/>
        <v>#REF!</v>
      </c>
      <c r="H72">
        <f t="shared" si="18"/>
        <v>9</v>
      </c>
      <c r="I72" s="8" t="str">
        <f t="shared" si="16"/>
        <v>#REF!</v>
      </c>
      <c r="J72" s="550" t="str">
        <f t="shared" si="10"/>
        <v>#REF!</v>
      </c>
      <c r="K72" t="str">
        <f t="shared" si="11"/>
        <v>#REF!</v>
      </c>
      <c r="M72" s="70" t="str">
        <f t="shared" si="12"/>
        <v>#REF!</v>
      </c>
    </row>
    <row r="73">
      <c r="A73" t="str">
        <f t="shared" si="13"/>
        <v>#REF!</v>
      </c>
      <c r="B73">
        <f t="shared" si="17"/>
        <v>10</v>
      </c>
      <c r="C73" s="8" t="str">
        <f t="shared" si="14"/>
        <v>#REF!</v>
      </c>
      <c r="D73" s="550" t="str">
        <f t="shared" si="8"/>
        <v>#REF!</v>
      </c>
      <c r="E73" t="str">
        <f t="shared" si="9"/>
        <v>#REF!</v>
      </c>
      <c r="G73" t="str">
        <f t="shared" si="15"/>
        <v>#REF!</v>
      </c>
      <c r="H73">
        <f t="shared" si="18"/>
        <v>10</v>
      </c>
      <c r="I73" s="8" t="str">
        <f t="shared" si="16"/>
        <v>#REF!</v>
      </c>
      <c r="J73" s="550" t="str">
        <f t="shared" si="10"/>
        <v>#REF!</v>
      </c>
      <c r="K73" t="str">
        <f t="shared" si="11"/>
        <v>#REF!</v>
      </c>
      <c r="M73" s="70" t="str">
        <f t="shared" si="12"/>
        <v>#REF!</v>
      </c>
    </row>
    <row r="74">
      <c r="A74" t="str">
        <f t="shared" si="13"/>
        <v>#REF!</v>
      </c>
      <c r="B74">
        <f t="shared" si="17"/>
        <v>11</v>
      </c>
      <c r="C74" s="8" t="str">
        <f t="shared" si="14"/>
        <v>#REF!</v>
      </c>
      <c r="D74" s="550" t="str">
        <f t="shared" si="8"/>
        <v>#REF!</v>
      </c>
      <c r="E74" t="str">
        <f t="shared" si="9"/>
        <v>#REF!</v>
      </c>
      <c r="G74" t="str">
        <f t="shared" si="15"/>
        <v>#REF!</v>
      </c>
      <c r="H74">
        <f t="shared" si="18"/>
        <v>11</v>
      </c>
      <c r="I74" s="8" t="str">
        <f t="shared" si="16"/>
        <v>#REF!</v>
      </c>
      <c r="J74" s="550" t="str">
        <f t="shared" si="10"/>
        <v>#REF!</v>
      </c>
      <c r="K74" t="str">
        <f t="shared" si="11"/>
        <v>#REF!</v>
      </c>
      <c r="M74" s="70" t="str">
        <f t="shared" si="12"/>
        <v>#REF!</v>
      </c>
    </row>
    <row r="75">
      <c r="A75" t="str">
        <f t="shared" si="13"/>
        <v>#REF!</v>
      </c>
      <c r="B75">
        <f t="shared" si="17"/>
        <v>12</v>
      </c>
      <c r="C75" s="8" t="str">
        <f t="shared" si="14"/>
        <v>#REF!</v>
      </c>
      <c r="D75" s="550" t="str">
        <f t="shared" si="8"/>
        <v>#REF!</v>
      </c>
      <c r="E75" t="str">
        <f t="shared" si="9"/>
        <v>#REF!</v>
      </c>
      <c r="G75" t="str">
        <f t="shared" si="15"/>
        <v>#REF!</v>
      </c>
      <c r="H75">
        <f t="shared" si="18"/>
        <v>12</v>
      </c>
      <c r="I75" s="8" t="str">
        <f t="shared" si="16"/>
        <v>#REF!</v>
      </c>
      <c r="J75" s="550" t="str">
        <f t="shared" si="10"/>
        <v>#REF!</v>
      </c>
      <c r="K75" t="str">
        <f t="shared" si="11"/>
        <v>#REF!</v>
      </c>
      <c r="M75" s="70" t="str">
        <f t="shared" si="12"/>
        <v>#REF!</v>
      </c>
    </row>
    <row r="76">
      <c r="A76" t="str">
        <f t="shared" si="13"/>
        <v>#REF!</v>
      </c>
      <c r="B76">
        <f t="shared" si="17"/>
        <v>13</v>
      </c>
      <c r="C76" s="8" t="str">
        <f t="shared" si="14"/>
        <v>#REF!</v>
      </c>
      <c r="D76" s="550" t="str">
        <f t="shared" si="8"/>
        <v>#REF!</v>
      </c>
      <c r="E76" t="str">
        <f t="shared" si="9"/>
        <v>#REF!</v>
      </c>
      <c r="G76" t="str">
        <f t="shared" si="15"/>
        <v>#REF!</v>
      </c>
      <c r="H76">
        <f t="shared" si="18"/>
        <v>13</v>
      </c>
      <c r="I76" s="8" t="str">
        <f t="shared" si="16"/>
        <v>#REF!</v>
      </c>
      <c r="J76" s="550" t="str">
        <f t="shared" si="10"/>
        <v>#REF!</v>
      </c>
      <c r="K76" t="str">
        <f t="shared" si="11"/>
        <v>#REF!</v>
      </c>
      <c r="M76" s="70" t="str">
        <f t="shared" si="12"/>
        <v>#REF!</v>
      </c>
    </row>
    <row r="77">
      <c r="A77" t="str">
        <f t="shared" si="13"/>
        <v>#REF!</v>
      </c>
      <c r="B77">
        <f t="shared" si="17"/>
        <v>14</v>
      </c>
      <c r="C77" s="8" t="str">
        <f t="shared" si="14"/>
        <v>#REF!</v>
      </c>
      <c r="D77" s="550" t="str">
        <f t="shared" si="8"/>
        <v>#REF!</v>
      </c>
      <c r="E77" t="str">
        <f t="shared" si="9"/>
        <v>#REF!</v>
      </c>
      <c r="G77" t="str">
        <f t="shared" si="15"/>
        <v>#REF!</v>
      </c>
      <c r="H77">
        <f t="shared" si="18"/>
        <v>14</v>
      </c>
      <c r="I77" s="8" t="str">
        <f t="shared" si="16"/>
        <v>#REF!</v>
      </c>
      <c r="J77" s="550" t="str">
        <f t="shared" si="10"/>
        <v>#REF!</v>
      </c>
      <c r="K77" t="str">
        <f t="shared" si="11"/>
        <v>#REF!</v>
      </c>
      <c r="M77" s="70" t="str">
        <f t="shared" si="12"/>
        <v>#REF!</v>
      </c>
    </row>
    <row r="78">
      <c r="A78" t="str">
        <f t="shared" si="13"/>
        <v>#REF!</v>
      </c>
      <c r="B78">
        <f t="shared" si="17"/>
        <v>15</v>
      </c>
      <c r="C78" s="8" t="str">
        <f t="shared" si="14"/>
        <v>#REF!</v>
      </c>
      <c r="D78" s="550" t="str">
        <f t="shared" si="8"/>
        <v>#REF!</v>
      </c>
      <c r="E78" t="str">
        <f t="shared" si="9"/>
        <v>#REF!</v>
      </c>
      <c r="G78" t="str">
        <f t="shared" si="15"/>
        <v>#REF!</v>
      </c>
      <c r="H78">
        <f t="shared" si="18"/>
        <v>15</v>
      </c>
      <c r="I78" s="8" t="str">
        <f t="shared" si="16"/>
        <v>#REF!</v>
      </c>
      <c r="J78" s="550" t="str">
        <f t="shared" si="10"/>
        <v>#REF!</v>
      </c>
      <c r="K78" t="str">
        <f t="shared" si="11"/>
        <v>#REF!</v>
      </c>
      <c r="M78" s="70" t="str">
        <f t="shared" si="12"/>
        <v>#REF!</v>
      </c>
    </row>
    <row r="79">
      <c r="A79" t="str">
        <f t="shared" si="13"/>
        <v>#REF!</v>
      </c>
      <c r="B79">
        <f t="shared" si="17"/>
        <v>16</v>
      </c>
      <c r="C79" s="8" t="str">
        <f t="shared" si="14"/>
        <v>#REF!</v>
      </c>
      <c r="D79" s="550" t="str">
        <f t="shared" si="8"/>
        <v>#REF!</v>
      </c>
      <c r="E79" t="str">
        <f t="shared" si="9"/>
        <v>#REF!</v>
      </c>
      <c r="G79" t="str">
        <f t="shared" si="15"/>
        <v>#REF!</v>
      </c>
      <c r="H79">
        <f t="shared" si="18"/>
        <v>16</v>
      </c>
      <c r="I79" s="8" t="str">
        <f t="shared" si="16"/>
        <v>#REF!</v>
      </c>
      <c r="J79" s="550" t="str">
        <f t="shared" si="10"/>
        <v>#REF!</v>
      </c>
      <c r="K79" t="str">
        <f t="shared" si="11"/>
        <v>#REF!</v>
      </c>
      <c r="M79" s="70" t="str">
        <f t="shared" si="12"/>
        <v>#REF!</v>
      </c>
    </row>
    <row r="80">
      <c r="A80" t="str">
        <f t="shared" si="13"/>
        <v>#REF!</v>
      </c>
      <c r="B80">
        <f t="shared" si="17"/>
        <v>17</v>
      </c>
      <c r="C80" s="8" t="str">
        <f t="shared" si="14"/>
        <v>#REF!</v>
      </c>
      <c r="D80" s="550" t="str">
        <f t="shared" si="8"/>
        <v>#REF!</v>
      </c>
      <c r="E80" t="str">
        <f t="shared" si="9"/>
        <v>#REF!</v>
      </c>
      <c r="G80" t="str">
        <f t="shared" si="15"/>
        <v>#REF!</v>
      </c>
      <c r="H80">
        <f t="shared" si="18"/>
        <v>17</v>
      </c>
      <c r="I80" s="8" t="str">
        <f t="shared" si="16"/>
        <v>#REF!</v>
      </c>
      <c r="J80" s="550" t="str">
        <f t="shared" si="10"/>
        <v>#REF!</v>
      </c>
      <c r="K80" t="str">
        <f t="shared" si="11"/>
        <v>#REF!</v>
      </c>
      <c r="M80" s="70" t="str">
        <f t="shared" si="12"/>
        <v>#REF!</v>
      </c>
    </row>
    <row r="81">
      <c r="A81" t="str">
        <f t="shared" si="13"/>
        <v>#REF!</v>
      </c>
      <c r="B81">
        <f t="shared" si="17"/>
        <v>18</v>
      </c>
      <c r="C81" s="8" t="str">
        <f t="shared" si="14"/>
        <v>#REF!</v>
      </c>
      <c r="D81" s="550" t="str">
        <f t="shared" si="8"/>
        <v>#REF!</v>
      </c>
      <c r="E81" t="str">
        <f t="shared" si="9"/>
        <v>#REF!</v>
      </c>
      <c r="G81" t="str">
        <f t="shared" si="15"/>
        <v>#REF!</v>
      </c>
      <c r="H81">
        <f t="shared" si="18"/>
        <v>18</v>
      </c>
      <c r="I81" s="8" t="str">
        <f t="shared" si="16"/>
        <v>#REF!</v>
      </c>
      <c r="J81" s="550" t="str">
        <f t="shared" si="10"/>
        <v>#REF!</v>
      </c>
      <c r="K81" t="str">
        <f t="shared" si="11"/>
        <v>#REF!</v>
      </c>
      <c r="M81" s="70" t="str">
        <f t="shared" si="12"/>
        <v>#REF!</v>
      </c>
    </row>
    <row r="82">
      <c r="A82" t="str">
        <f t="shared" si="13"/>
        <v>#REF!</v>
      </c>
      <c r="B82">
        <f t="shared" si="17"/>
        <v>19</v>
      </c>
      <c r="C82" s="8" t="str">
        <f t="shared" si="14"/>
        <v>#REF!</v>
      </c>
      <c r="D82" s="550" t="str">
        <f t="shared" si="8"/>
        <v>#REF!</v>
      </c>
      <c r="E82" t="str">
        <f t="shared" si="9"/>
        <v>#REF!</v>
      </c>
      <c r="G82" t="str">
        <f t="shared" si="15"/>
        <v>#REF!</v>
      </c>
      <c r="H82">
        <f t="shared" si="18"/>
        <v>19</v>
      </c>
      <c r="I82" s="8" t="str">
        <f t="shared" si="16"/>
        <v>#REF!</v>
      </c>
      <c r="J82" s="550" t="str">
        <f t="shared" si="10"/>
        <v>#REF!</v>
      </c>
      <c r="K82" t="str">
        <f t="shared" si="11"/>
        <v>#REF!</v>
      </c>
      <c r="M82" s="70" t="str">
        <f t="shared" si="12"/>
        <v>#REF!</v>
      </c>
    </row>
    <row r="83">
      <c r="A83" t="str">
        <f t="shared" si="13"/>
        <v>#REF!</v>
      </c>
      <c r="B83">
        <f t="shared" si="17"/>
        <v>20</v>
      </c>
      <c r="C83" s="8" t="str">
        <f t="shared" si="14"/>
        <v>#REF!</v>
      </c>
      <c r="D83" s="550" t="str">
        <f t="shared" si="8"/>
        <v>#REF!</v>
      </c>
      <c r="E83" t="str">
        <f t="shared" si="9"/>
        <v>#REF!</v>
      </c>
      <c r="G83" t="str">
        <f t="shared" si="15"/>
        <v>#REF!</v>
      </c>
      <c r="H83">
        <f t="shared" si="18"/>
        <v>20</v>
      </c>
      <c r="I83" s="8" t="str">
        <f t="shared" si="16"/>
        <v>#REF!</v>
      </c>
      <c r="J83" s="550" t="str">
        <f t="shared" si="10"/>
        <v>#REF!</v>
      </c>
      <c r="K83" t="str">
        <f t="shared" si="11"/>
        <v>#REF!</v>
      </c>
      <c r="M83" s="70" t="str">
        <f t="shared" si="12"/>
        <v>#REF!</v>
      </c>
    </row>
    <row r="84">
      <c r="A84" t="str">
        <f t="shared" si="13"/>
        <v>#REF!</v>
      </c>
      <c r="B84">
        <f t="shared" si="17"/>
        <v>21</v>
      </c>
      <c r="C84" s="8" t="str">
        <f t="shared" si="14"/>
        <v>#REF!</v>
      </c>
      <c r="D84" s="550" t="str">
        <f t="shared" si="8"/>
        <v>#REF!</v>
      </c>
      <c r="E84" t="str">
        <f t="shared" si="9"/>
        <v>#REF!</v>
      </c>
      <c r="G84" t="str">
        <f t="shared" si="15"/>
        <v>#REF!</v>
      </c>
      <c r="H84">
        <f t="shared" si="18"/>
        <v>21</v>
      </c>
      <c r="I84" s="8" t="str">
        <f t="shared" si="16"/>
        <v>#REF!</v>
      </c>
      <c r="J84" s="550" t="str">
        <f t="shared" si="10"/>
        <v>#REF!</v>
      </c>
      <c r="K84" t="str">
        <f t="shared" si="11"/>
        <v>#REF!</v>
      </c>
      <c r="M84" s="70" t="str">
        <f t="shared" si="12"/>
        <v>#REF!</v>
      </c>
    </row>
    <row r="85">
      <c r="A85" t="str">
        <f t="shared" si="13"/>
        <v>#REF!</v>
      </c>
      <c r="B85">
        <f t="shared" si="17"/>
        <v>22</v>
      </c>
      <c r="C85" s="8" t="str">
        <f t="shared" si="14"/>
        <v>#REF!</v>
      </c>
      <c r="D85" s="550" t="str">
        <f t="shared" si="8"/>
        <v>#REF!</v>
      </c>
      <c r="E85" t="str">
        <f t="shared" si="9"/>
        <v>#REF!</v>
      </c>
      <c r="G85" t="str">
        <f t="shared" si="15"/>
        <v>#REF!</v>
      </c>
      <c r="H85">
        <f t="shared" si="18"/>
        <v>22</v>
      </c>
      <c r="I85" s="8" t="str">
        <f t="shared" si="16"/>
        <v>#REF!</v>
      </c>
      <c r="J85" s="550" t="str">
        <f t="shared" si="10"/>
        <v>#REF!</v>
      </c>
      <c r="K85" t="str">
        <f t="shared" si="11"/>
        <v>#REF!</v>
      </c>
      <c r="M85" s="70" t="str">
        <f t="shared" si="12"/>
        <v>#REF!</v>
      </c>
    </row>
    <row r="86">
      <c r="A86" t="str">
        <f t="shared" si="13"/>
        <v>#REF!</v>
      </c>
      <c r="B86">
        <f t="shared" si="17"/>
        <v>23</v>
      </c>
      <c r="C86" s="8" t="str">
        <f t="shared" si="14"/>
        <v>#REF!</v>
      </c>
      <c r="D86" s="550" t="str">
        <f t="shared" si="8"/>
        <v>#REF!</v>
      </c>
      <c r="E86" t="str">
        <f t="shared" si="9"/>
        <v>#REF!</v>
      </c>
      <c r="G86" t="str">
        <f t="shared" si="15"/>
        <v>#REF!</v>
      </c>
      <c r="H86">
        <f t="shared" si="18"/>
        <v>23</v>
      </c>
      <c r="I86" s="8" t="str">
        <f t="shared" si="16"/>
        <v>#REF!</v>
      </c>
      <c r="J86" s="550" t="str">
        <f t="shared" si="10"/>
        <v>#REF!</v>
      </c>
      <c r="K86" t="str">
        <f t="shared" si="11"/>
        <v>#REF!</v>
      </c>
      <c r="M86" s="70" t="str">
        <f t="shared" si="12"/>
        <v>#REF!</v>
      </c>
    </row>
    <row r="87">
      <c r="A87" t="str">
        <f t="shared" si="13"/>
        <v>#REF!</v>
      </c>
      <c r="B87">
        <f t="shared" si="17"/>
        <v>24</v>
      </c>
      <c r="C87" s="8" t="str">
        <f t="shared" si="14"/>
        <v>#REF!</v>
      </c>
      <c r="D87" s="550" t="str">
        <f t="shared" si="8"/>
        <v>#REF!</v>
      </c>
      <c r="E87" t="str">
        <f t="shared" si="9"/>
        <v>#REF!</v>
      </c>
      <c r="G87" t="str">
        <f t="shared" si="15"/>
        <v>#REF!</v>
      </c>
      <c r="H87">
        <f t="shared" si="18"/>
        <v>24</v>
      </c>
      <c r="I87" s="8" t="str">
        <f t="shared" si="16"/>
        <v>#REF!</v>
      </c>
      <c r="J87" s="550" t="str">
        <f t="shared" si="10"/>
        <v>#REF!</v>
      </c>
      <c r="K87" t="str">
        <f t="shared" si="11"/>
        <v>#REF!</v>
      </c>
      <c r="M87" s="70" t="str">
        <f t="shared" si="12"/>
        <v>#REF!</v>
      </c>
    </row>
    <row r="88">
      <c r="A88" t="str">
        <f t="shared" si="13"/>
        <v>#REF!</v>
      </c>
      <c r="B88">
        <f t="shared" si="17"/>
        <v>25</v>
      </c>
      <c r="C88" s="8" t="str">
        <f t="shared" si="14"/>
        <v>#REF!</v>
      </c>
      <c r="D88" s="550" t="str">
        <f t="shared" si="8"/>
        <v>#REF!</v>
      </c>
      <c r="E88" t="str">
        <f t="shared" si="9"/>
        <v>#REF!</v>
      </c>
      <c r="G88" t="str">
        <f t="shared" si="15"/>
        <v>#REF!</v>
      </c>
      <c r="H88">
        <f t="shared" si="18"/>
        <v>25</v>
      </c>
      <c r="I88" s="8" t="str">
        <f t="shared" si="16"/>
        <v>#REF!</v>
      </c>
      <c r="J88" s="550" t="str">
        <f t="shared" si="10"/>
        <v>#REF!</v>
      </c>
      <c r="K88" t="str">
        <f t="shared" si="11"/>
        <v>#REF!</v>
      </c>
      <c r="M88" s="70" t="str">
        <f t="shared" si="12"/>
        <v>#REF!</v>
      </c>
    </row>
    <row r="89">
      <c r="A89" t="str">
        <f t="shared" si="13"/>
        <v>#REF!</v>
      </c>
      <c r="B89">
        <f t="shared" si="17"/>
        <v>26</v>
      </c>
      <c r="C89" s="8" t="str">
        <f t="shared" si="14"/>
        <v>#REF!</v>
      </c>
      <c r="D89" s="550" t="str">
        <f t="shared" si="8"/>
        <v>#REF!</v>
      </c>
      <c r="E89" t="str">
        <f t="shared" si="9"/>
        <v>#REF!</v>
      </c>
      <c r="G89" t="str">
        <f t="shared" si="15"/>
        <v>#REF!</v>
      </c>
      <c r="H89">
        <f t="shared" si="18"/>
        <v>26</v>
      </c>
      <c r="I89" s="8" t="str">
        <f t="shared" si="16"/>
        <v>#REF!</v>
      </c>
      <c r="J89" s="550" t="str">
        <f t="shared" si="10"/>
        <v>#REF!</v>
      </c>
      <c r="K89" t="str">
        <f t="shared" si="11"/>
        <v>#REF!</v>
      </c>
      <c r="M89" s="70" t="str">
        <f t="shared" si="12"/>
        <v>#REF!</v>
      </c>
    </row>
    <row r="90">
      <c r="A90" t="str">
        <f t="shared" si="13"/>
        <v>#REF!</v>
      </c>
      <c r="B90">
        <f t="shared" si="17"/>
        <v>27</v>
      </c>
      <c r="C90" s="8" t="str">
        <f t="shared" si="14"/>
        <v>#REF!</v>
      </c>
      <c r="D90" s="550" t="str">
        <f t="shared" si="8"/>
        <v>#REF!</v>
      </c>
      <c r="E90" t="str">
        <f t="shared" si="9"/>
        <v>#REF!</v>
      </c>
      <c r="G90" t="str">
        <f t="shared" si="15"/>
        <v>#REF!</v>
      </c>
      <c r="H90">
        <f t="shared" si="18"/>
        <v>27</v>
      </c>
      <c r="I90" s="8" t="str">
        <f t="shared" si="16"/>
        <v>#REF!</v>
      </c>
      <c r="J90" s="550" t="str">
        <f t="shared" si="10"/>
        <v>#REF!</v>
      </c>
      <c r="K90" t="str">
        <f t="shared" si="11"/>
        <v>#REF!</v>
      </c>
      <c r="M90" s="70" t="str">
        <f t="shared" si="12"/>
        <v>#REF!</v>
      </c>
    </row>
    <row r="91">
      <c r="A91" t="str">
        <f t="shared" si="13"/>
        <v>#REF!</v>
      </c>
      <c r="B91">
        <f t="shared" si="17"/>
        <v>28</v>
      </c>
      <c r="C91" s="8" t="str">
        <f t="shared" si="14"/>
        <v>#REF!</v>
      </c>
      <c r="D91" s="550" t="str">
        <f t="shared" si="8"/>
        <v>#REF!</v>
      </c>
      <c r="E91" t="str">
        <f t="shared" si="9"/>
        <v>#REF!</v>
      </c>
      <c r="G91" t="str">
        <f t="shared" si="15"/>
        <v>#REF!</v>
      </c>
      <c r="H91">
        <f t="shared" si="18"/>
        <v>28</v>
      </c>
      <c r="I91" s="8" t="str">
        <f t="shared" si="16"/>
        <v>#REF!</v>
      </c>
      <c r="J91" s="550" t="str">
        <f t="shared" si="10"/>
        <v>#REF!</v>
      </c>
      <c r="K91" t="str">
        <f t="shared" si="11"/>
        <v>#REF!</v>
      </c>
      <c r="M91" s="70" t="str">
        <f t="shared" si="12"/>
        <v>#REF!</v>
      </c>
    </row>
    <row r="92">
      <c r="A92" t="str">
        <f t="shared" si="13"/>
        <v>#REF!</v>
      </c>
      <c r="B92">
        <f t="shared" si="17"/>
        <v>29</v>
      </c>
      <c r="C92" s="8" t="str">
        <f t="shared" si="14"/>
        <v>#REF!</v>
      </c>
      <c r="D92" s="550" t="str">
        <f t="shared" si="8"/>
        <v>#REF!</v>
      </c>
      <c r="E92" t="str">
        <f t="shared" si="9"/>
        <v>#REF!</v>
      </c>
      <c r="G92" t="str">
        <f t="shared" si="15"/>
        <v>#REF!</v>
      </c>
      <c r="H92">
        <f t="shared" si="18"/>
        <v>29</v>
      </c>
      <c r="I92" s="8" t="str">
        <f t="shared" si="16"/>
        <v>#REF!</v>
      </c>
      <c r="J92" s="550" t="str">
        <f t="shared" si="10"/>
        <v>#REF!</v>
      </c>
      <c r="K92" t="str">
        <f t="shared" si="11"/>
        <v>#REF!</v>
      </c>
      <c r="M92" s="70" t="str">
        <f t="shared" si="12"/>
        <v>#REF!</v>
      </c>
    </row>
    <row r="93">
      <c r="A93" t="str">
        <f t="shared" si="13"/>
        <v>#REF!</v>
      </c>
      <c r="B93">
        <f t="shared" si="17"/>
        <v>30</v>
      </c>
      <c r="C93" s="8" t="str">
        <f t="shared" si="14"/>
        <v>#REF!</v>
      </c>
      <c r="D93" s="550" t="str">
        <f t="shared" si="8"/>
        <v>#REF!</v>
      </c>
      <c r="E93" t="str">
        <f t="shared" si="9"/>
        <v>#REF!</v>
      </c>
      <c r="G93" t="str">
        <f t="shared" si="15"/>
        <v>#REF!</v>
      </c>
      <c r="H93">
        <f t="shared" si="18"/>
        <v>30</v>
      </c>
      <c r="I93" s="8" t="str">
        <f t="shared" si="16"/>
        <v>#REF!</v>
      </c>
      <c r="J93" s="550" t="str">
        <f t="shared" si="10"/>
        <v>#REF!</v>
      </c>
      <c r="K93" t="str">
        <f t="shared" si="11"/>
        <v>#REF!</v>
      </c>
      <c r="M93" s="70" t="str">
        <f t="shared" si="12"/>
        <v>#REF!</v>
      </c>
    </row>
    <row r="94">
      <c r="A94" t="str">
        <f t="shared" si="13"/>
        <v>#REF!</v>
      </c>
      <c r="B94">
        <f t="shared" si="17"/>
        <v>31</v>
      </c>
      <c r="C94" s="8" t="str">
        <f t="shared" si="14"/>
        <v>#REF!</v>
      </c>
      <c r="D94" s="550" t="str">
        <f t="shared" si="8"/>
        <v>#REF!</v>
      </c>
      <c r="E94" t="str">
        <f t="shared" si="9"/>
        <v>#REF!</v>
      </c>
      <c r="G94" t="str">
        <f t="shared" si="15"/>
        <v>#REF!</v>
      </c>
      <c r="H94">
        <f t="shared" si="18"/>
        <v>31</v>
      </c>
      <c r="I94" s="8" t="str">
        <f t="shared" si="16"/>
        <v>#REF!</v>
      </c>
      <c r="J94" s="550" t="str">
        <f t="shared" si="10"/>
        <v>#REF!</v>
      </c>
      <c r="K94" t="str">
        <f t="shared" si="11"/>
        <v>#REF!</v>
      </c>
      <c r="M94" s="70" t="str">
        <f t="shared" si="12"/>
        <v>#REF!</v>
      </c>
    </row>
    <row r="95">
      <c r="A95" t="str">
        <f t="shared" si="13"/>
        <v>#REF!</v>
      </c>
      <c r="B95">
        <f t="shared" si="17"/>
        <v>32</v>
      </c>
      <c r="C95" s="8" t="str">
        <f t="shared" si="14"/>
        <v>#REF!</v>
      </c>
      <c r="D95" s="550" t="str">
        <f t="shared" si="8"/>
        <v>#REF!</v>
      </c>
      <c r="E95" t="str">
        <f t="shared" si="9"/>
        <v>#REF!</v>
      </c>
      <c r="G95" t="str">
        <f t="shared" si="15"/>
        <v>#REF!</v>
      </c>
      <c r="H95">
        <f t="shared" si="18"/>
        <v>32</v>
      </c>
      <c r="I95" s="8" t="str">
        <f t="shared" si="16"/>
        <v>#REF!</v>
      </c>
      <c r="J95" s="550" t="str">
        <f t="shared" si="10"/>
        <v>#REF!</v>
      </c>
      <c r="K95" t="str">
        <f t="shared" si="11"/>
        <v>#REF!</v>
      </c>
      <c r="M95" s="70" t="str">
        <f t="shared" si="12"/>
        <v>#REF!</v>
      </c>
    </row>
    <row r="96">
      <c r="A96" t="str">
        <f t="shared" si="13"/>
        <v>#REF!</v>
      </c>
      <c r="B96">
        <f t="shared" si="17"/>
        <v>33</v>
      </c>
      <c r="C96" s="8" t="str">
        <f t="shared" si="14"/>
        <v>#REF!</v>
      </c>
      <c r="D96" s="550" t="str">
        <f t="shared" si="8"/>
        <v>#REF!</v>
      </c>
      <c r="E96" t="str">
        <f t="shared" si="9"/>
        <v>#REF!</v>
      </c>
      <c r="G96" t="str">
        <f t="shared" si="15"/>
        <v>#REF!</v>
      </c>
      <c r="H96">
        <f t="shared" si="18"/>
        <v>33</v>
      </c>
      <c r="I96" s="8" t="str">
        <f t="shared" si="16"/>
        <v>#REF!</v>
      </c>
      <c r="J96" s="550" t="str">
        <f t="shared" si="10"/>
        <v>#REF!</v>
      </c>
      <c r="K96" t="str">
        <f t="shared" si="11"/>
        <v>#REF!</v>
      </c>
      <c r="M96" s="70" t="str">
        <f t="shared" si="12"/>
        <v>#REF!</v>
      </c>
    </row>
    <row r="97">
      <c r="A97" t="str">
        <f t="shared" si="13"/>
        <v>#REF!</v>
      </c>
      <c r="B97">
        <f t="shared" si="17"/>
        <v>34</v>
      </c>
      <c r="C97" s="8" t="str">
        <f t="shared" si="14"/>
        <v>#REF!</v>
      </c>
      <c r="D97" s="550" t="str">
        <f t="shared" si="8"/>
        <v>#REF!</v>
      </c>
      <c r="E97" t="str">
        <f t="shared" si="9"/>
        <v>#REF!</v>
      </c>
      <c r="G97" t="str">
        <f t="shared" si="15"/>
        <v>#REF!</v>
      </c>
      <c r="H97">
        <f t="shared" si="18"/>
        <v>34</v>
      </c>
      <c r="I97" s="8" t="str">
        <f t="shared" si="16"/>
        <v>#REF!</v>
      </c>
      <c r="J97" s="550" t="str">
        <f t="shared" si="10"/>
        <v>#REF!</v>
      </c>
      <c r="K97" t="str">
        <f t="shared" si="11"/>
        <v>#REF!</v>
      </c>
      <c r="M97" s="70" t="str">
        <f t="shared" si="12"/>
        <v>#REF!</v>
      </c>
    </row>
    <row r="98">
      <c r="A98" t="str">
        <f t="shared" si="13"/>
        <v>#REF!</v>
      </c>
      <c r="B98">
        <f t="shared" si="17"/>
        <v>35</v>
      </c>
      <c r="C98" s="8" t="str">
        <f t="shared" si="14"/>
        <v>#REF!</v>
      </c>
      <c r="D98" s="550" t="str">
        <f t="shared" si="8"/>
        <v>#REF!</v>
      </c>
      <c r="E98" t="str">
        <f t="shared" si="9"/>
        <v>#REF!</v>
      </c>
      <c r="G98" t="str">
        <f t="shared" si="15"/>
        <v>#REF!</v>
      </c>
      <c r="H98">
        <f t="shared" si="18"/>
        <v>35</v>
      </c>
      <c r="I98" s="8" t="str">
        <f t="shared" si="16"/>
        <v>#REF!</v>
      </c>
      <c r="J98" s="550" t="str">
        <f t="shared" si="10"/>
        <v>#REF!</v>
      </c>
      <c r="K98" t="str">
        <f t="shared" si="11"/>
        <v>#REF!</v>
      </c>
      <c r="M98" s="70" t="str">
        <f t="shared" si="12"/>
        <v>#REF!</v>
      </c>
    </row>
    <row r="99">
      <c r="A99" t="str">
        <f t="shared" si="13"/>
        <v>#REF!</v>
      </c>
      <c r="B99">
        <f t="shared" si="17"/>
        <v>36</v>
      </c>
      <c r="C99" s="8" t="str">
        <f t="shared" si="14"/>
        <v>#REF!</v>
      </c>
      <c r="D99" s="550" t="str">
        <f t="shared" si="8"/>
        <v>#REF!</v>
      </c>
      <c r="E99" t="str">
        <f t="shared" si="9"/>
        <v>#REF!</v>
      </c>
      <c r="G99" t="str">
        <f t="shared" si="15"/>
        <v>#REF!</v>
      </c>
      <c r="H99">
        <f t="shared" si="18"/>
        <v>36</v>
      </c>
      <c r="I99" s="8" t="str">
        <f t="shared" si="16"/>
        <v>#REF!</v>
      </c>
      <c r="J99" s="550" t="str">
        <f t="shared" si="10"/>
        <v>#REF!</v>
      </c>
      <c r="K99" t="str">
        <f t="shared" si="11"/>
        <v>#REF!</v>
      </c>
      <c r="M99" s="70" t="str">
        <f t="shared" si="12"/>
        <v>#REF!</v>
      </c>
    </row>
    <row r="100">
      <c r="A100" t="str">
        <f t="shared" si="13"/>
        <v>#REF!</v>
      </c>
      <c r="B100">
        <f t="shared" si="17"/>
        <v>37</v>
      </c>
      <c r="C100" s="8" t="str">
        <f t="shared" si="14"/>
        <v>#REF!</v>
      </c>
      <c r="D100" s="550" t="str">
        <f t="shared" si="8"/>
        <v>#REF!</v>
      </c>
      <c r="E100" t="str">
        <f t="shared" si="9"/>
        <v>#REF!</v>
      </c>
      <c r="G100" t="str">
        <f t="shared" si="15"/>
        <v>#REF!</v>
      </c>
      <c r="H100">
        <f t="shared" si="18"/>
        <v>37</v>
      </c>
      <c r="I100" s="8" t="str">
        <f t="shared" si="16"/>
        <v>#REF!</v>
      </c>
      <c r="J100" s="550" t="str">
        <f t="shared" si="10"/>
        <v>#REF!</v>
      </c>
      <c r="K100" t="str">
        <f t="shared" si="11"/>
        <v>#REF!</v>
      </c>
      <c r="M100" s="70" t="str">
        <f t="shared" si="12"/>
        <v>#REF!</v>
      </c>
    </row>
    <row r="101">
      <c r="A101" t="str">
        <f t="shared" si="13"/>
        <v>#REF!</v>
      </c>
      <c r="B101">
        <f t="shared" si="17"/>
        <v>38</v>
      </c>
      <c r="C101" s="8" t="str">
        <f t="shared" si="14"/>
        <v>#REF!</v>
      </c>
      <c r="D101" s="550" t="str">
        <f t="shared" si="8"/>
        <v>#REF!</v>
      </c>
      <c r="E101" t="str">
        <f t="shared" si="9"/>
        <v>#REF!</v>
      </c>
      <c r="G101" t="str">
        <f t="shared" si="15"/>
        <v>#REF!</v>
      </c>
      <c r="H101">
        <f t="shared" si="18"/>
        <v>38</v>
      </c>
      <c r="I101" s="8" t="str">
        <f t="shared" si="16"/>
        <v>#REF!</v>
      </c>
      <c r="J101" s="550" t="str">
        <f t="shared" si="10"/>
        <v>#REF!</v>
      </c>
      <c r="K101" t="str">
        <f t="shared" si="11"/>
        <v>#REF!</v>
      </c>
      <c r="M101" s="70" t="str">
        <f t="shared" si="12"/>
        <v>#REF!</v>
      </c>
    </row>
    <row r="102">
      <c r="A102" t="str">
        <f t="shared" si="13"/>
        <v>#REF!</v>
      </c>
      <c r="B102">
        <f t="shared" si="17"/>
        <v>39</v>
      </c>
      <c r="C102" s="8" t="str">
        <f t="shared" si="14"/>
        <v>#REF!</v>
      </c>
      <c r="D102" s="550" t="str">
        <f t="shared" si="8"/>
        <v>#REF!</v>
      </c>
      <c r="E102" t="str">
        <f t="shared" si="9"/>
        <v>#REF!</v>
      </c>
      <c r="G102" t="str">
        <f t="shared" si="15"/>
        <v>#REF!</v>
      </c>
      <c r="H102">
        <f t="shared" si="18"/>
        <v>39</v>
      </c>
      <c r="I102" s="8" t="str">
        <f t="shared" si="16"/>
        <v>#REF!</v>
      </c>
      <c r="J102" s="550" t="str">
        <f t="shared" si="10"/>
        <v>#REF!</v>
      </c>
      <c r="K102" t="str">
        <f t="shared" si="11"/>
        <v>#REF!</v>
      </c>
      <c r="M102" s="70" t="str">
        <f t="shared" si="12"/>
        <v>#REF!</v>
      </c>
    </row>
    <row r="103">
      <c r="A103" t="str">
        <f t="shared" si="13"/>
        <v>#REF!</v>
      </c>
      <c r="B103">
        <f t="shared" si="17"/>
        <v>40</v>
      </c>
      <c r="C103" s="8" t="str">
        <f t="shared" si="14"/>
        <v>#REF!</v>
      </c>
      <c r="D103" s="550" t="str">
        <f t="shared" si="8"/>
        <v>#REF!</v>
      </c>
      <c r="E103" t="str">
        <f t="shared" si="9"/>
        <v>#REF!</v>
      </c>
      <c r="G103" t="str">
        <f t="shared" si="15"/>
        <v>#REF!</v>
      </c>
      <c r="H103">
        <f t="shared" si="18"/>
        <v>40</v>
      </c>
      <c r="I103" s="8" t="str">
        <f t="shared" si="16"/>
        <v>#REF!</v>
      </c>
      <c r="J103" s="550" t="str">
        <f t="shared" si="10"/>
        <v>#REF!</v>
      </c>
      <c r="K103" t="str">
        <f t="shared" si="11"/>
        <v>#REF!</v>
      </c>
      <c r="M103" s="70" t="str">
        <f t="shared" si="12"/>
        <v>#REF!</v>
      </c>
    </row>
    <row r="104">
      <c r="A104" t="str">
        <f t="shared" si="13"/>
        <v>#REF!</v>
      </c>
      <c r="B104">
        <f t="shared" si="17"/>
        <v>41</v>
      </c>
      <c r="C104" s="8" t="str">
        <f t="shared" si="14"/>
        <v>#REF!</v>
      </c>
      <c r="D104" s="550" t="str">
        <f t="shared" si="8"/>
        <v>#REF!</v>
      </c>
      <c r="E104" t="str">
        <f t="shared" si="9"/>
        <v>#REF!</v>
      </c>
      <c r="G104" t="str">
        <f t="shared" si="15"/>
        <v>#REF!</v>
      </c>
      <c r="H104">
        <f t="shared" si="18"/>
        <v>41</v>
      </c>
      <c r="I104" s="8" t="str">
        <f t="shared" si="16"/>
        <v>#REF!</v>
      </c>
      <c r="J104" s="550" t="str">
        <f t="shared" si="10"/>
        <v>#REF!</v>
      </c>
      <c r="K104" t="str">
        <f t="shared" si="11"/>
        <v>#REF!</v>
      </c>
      <c r="M104" s="70" t="str">
        <f t="shared" si="12"/>
        <v>#REF!</v>
      </c>
    </row>
    <row r="105">
      <c r="A105" t="str">
        <f t="shared" si="13"/>
        <v>#REF!</v>
      </c>
      <c r="B105">
        <f t="shared" si="17"/>
        <v>42</v>
      </c>
      <c r="C105" s="8" t="str">
        <f t="shared" si="14"/>
        <v>#REF!</v>
      </c>
      <c r="D105" s="550" t="str">
        <f t="shared" si="8"/>
        <v>#REF!</v>
      </c>
      <c r="E105" t="str">
        <f t="shared" si="9"/>
        <v>#REF!</v>
      </c>
      <c r="G105" t="str">
        <f t="shared" si="15"/>
        <v>#REF!</v>
      </c>
      <c r="H105">
        <f t="shared" si="18"/>
        <v>42</v>
      </c>
      <c r="I105" s="8" t="str">
        <f t="shared" si="16"/>
        <v>#REF!</v>
      </c>
      <c r="J105" s="550" t="str">
        <f t="shared" si="10"/>
        <v>#REF!</v>
      </c>
      <c r="K105" t="str">
        <f t="shared" si="11"/>
        <v>#REF!</v>
      </c>
      <c r="M105" s="70" t="str">
        <f t="shared" si="12"/>
        <v>#REF!</v>
      </c>
    </row>
    <row r="106">
      <c r="A106" t="str">
        <f t="shared" si="13"/>
        <v>#REF!</v>
      </c>
      <c r="B106">
        <f t="shared" si="17"/>
        <v>43</v>
      </c>
      <c r="C106" s="8" t="str">
        <f t="shared" si="14"/>
        <v>#REF!</v>
      </c>
      <c r="D106" s="550" t="str">
        <f t="shared" si="8"/>
        <v>#REF!</v>
      </c>
      <c r="E106" t="str">
        <f t="shared" si="9"/>
        <v>#REF!</v>
      </c>
      <c r="G106" t="str">
        <f t="shared" si="15"/>
        <v>#REF!</v>
      </c>
      <c r="H106">
        <f t="shared" si="18"/>
        <v>43</v>
      </c>
      <c r="I106" s="8" t="str">
        <f t="shared" si="16"/>
        <v>#REF!</v>
      </c>
      <c r="J106" s="550" t="str">
        <f t="shared" si="10"/>
        <v>#REF!</v>
      </c>
      <c r="K106" t="str">
        <f t="shared" si="11"/>
        <v>#REF!</v>
      </c>
      <c r="M106" s="70" t="str">
        <f t="shared" si="12"/>
        <v>#REF!</v>
      </c>
    </row>
    <row r="107">
      <c r="A107" t="str">
        <f t="shared" si="13"/>
        <v>#REF!</v>
      </c>
      <c r="B107">
        <f t="shared" si="17"/>
        <v>44</v>
      </c>
      <c r="C107" s="8" t="str">
        <f t="shared" si="14"/>
        <v>#REF!</v>
      </c>
      <c r="D107" s="550" t="str">
        <f t="shared" si="8"/>
        <v>#REF!</v>
      </c>
      <c r="E107" t="str">
        <f t="shared" si="9"/>
        <v>#REF!</v>
      </c>
      <c r="G107" t="str">
        <f t="shared" si="15"/>
        <v>#REF!</v>
      </c>
      <c r="H107">
        <f t="shared" si="18"/>
        <v>44</v>
      </c>
      <c r="I107" s="8" t="str">
        <f t="shared" si="16"/>
        <v>#REF!</v>
      </c>
      <c r="J107" s="550" t="str">
        <f t="shared" si="10"/>
        <v>#REF!</v>
      </c>
      <c r="K107" t="str">
        <f t="shared" si="11"/>
        <v>#REF!</v>
      </c>
      <c r="M107" s="70" t="str">
        <f t="shared" si="12"/>
        <v>#REF!</v>
      </c>
    </row>
    <row r="108">
      <c r="A108" t="str">
        <f t="shared" si="13"/>
        <v>#REF!</v>
      </c>
      <c r="B108">
        <f t="shared" si="17"/>
        <v>45</v>
      </c>
      <c r="C108" s="8" t="str">
        <f t="shared" si="14"/>
        <v>#REF!</v>
      </c>
      <c r="D108" s="550" t="str">
        <f t="shared" si="8"/>
        <v>#REF!</v>
      </c>
      <c r="E108" t="str">
        <f t="shared" si="9"/>
        <v>#REF!</v>
      </c>
      <c r="G108" t="str">
        <f t="shared" si="15"/>
        <v>#REF!</v>
      </c>
      <c r="H108">
        <f t="shared" si="18"/>
        <v>45</v>
      </c>
      <c r="I108" s="8" t="str">
        <f t="shared" si="16"/>
        <v>#REF!</v>
      </c>
      <c r="J108" s="550" t="str">
        <f t="shared" si="10"/>
        <v>#REF!</v>
      </c>
      <c r="K108" t="str">
        <f t="shared" si="11"/>
        <v>#REF!</v>
      </c>
      <c r="M108" s="70" t="str">
        <f t="shared" si="12"/>
        <v>#REF!</v>
      </c>
    </row>
    <row r="109">
      <c r="A109" t="str">
        <f t="shared" si="13"/>
        <v>#REF!</v>
      </c>
      <c r="B109">
        <f t="shared" si="17"/>
        <v>46</v>
      </c>
      <c r="C109" s="8" t="str">
        <f t="shared" si="14"/>
        <v>#REF!</v>
      </c>
      <c r="D109" s="550" t="str">
        <f t="shared" si="8"/>
        <v>#REF!</v>
      </c>
      <c r="E109" t="str">
        <f t="shared" si="9"/>
        <v>#REF!</v>
      </c>
      <c r="G109" t="str">
        <f t="shared" si="15"/>
        <v>#REF!</v>
      </c>
      <c r="H109">
        <f t="shared" si="18"/>
        <v>46</v>
      </c>
      <c r="I109" s="8" t="str">
        <f t="shared" si="16"/>
        <v>#REF!</v>
      </c>
      <c r="J109" s="550" t="str">
        <f t="shared" si="10"/>
        <v>#REF!</v>
      </c>
      <c r="K109" t="str">
        <f t="shared" si="11"/>
        <v>#REF!</v>
      </c>
      <c r="M109" s="70" t="str">
        <f t="shared" si="12"/>
        <v>#REF!</v>
      </c>
    </row>
    <row r="110">
      <c r="A110" t="str">
        <f t="shared" si="13"/>
        <v>#REF!</v>
      </c>
      <c r="B110">
        <f t="shared" si="17"/>
        <v>47</v>
      </c>
      <c r="C110" s="8" t="str">
        <f t="shared" si="14"/>
        <v>#REF!</v>
      </c>
      <c r="D110" s="550" t="str">
        <f t="shared" si="8"/>
        <v>#REF!</v>
      </c>
      <c r="E110" t="str">
        <f t="shared" si="9"/>
        <v>#REF!</v>
      </c>
      <c r="G110" t="str">
        <f t="shared" si="15"/>
        <v>#REF!</v>
      </c>
      <c r="H110">
        <f t="shared" si="18"/>
        <v>47</v>
      </c>
      <c r="I110" s="8" t="str">
        <f t="shared" si="16"/>
        <v>#REF!</v>
      </c>
      <c r="J110" s="550" t="str">
        <f t="shared" si="10"/>
        <v>#REF!</v>
      </c>
      <c r="K110" t="str">
        <f t="shared" si="11"/>
        <v>#REF!</v>
      </c>
      <c r="M110" s="70" t="str">
        <f t="shared" si="12"/>
        <v>#REF!</v>
      </c>
    </row>
    <row r="111">
      <c r="A111" t="str">
        <f t="shared" si="13"/>
        <v>#REF!</v>
      </c>
      <c r="B111">
        <f t="shared" si="17"/>
        <v>48</v>
      </c>
      <c r="C111" s="8" t="str">
        <f t="shared" si="14"/>
        <v>#REF!</v>
      </c>
      <c r="D111" s="550" t="str">
        <f t="shared" si="8"/>
        <v>#REF!</v>
      </c>
      <c r="E111" t="str">
        <f t="shared" si="9"/>
        <v>#REF!</v>
      </c>
      <c r="G111" t="str">
        <f t="shared" si="15"/>
        <v>#REF!</v>
      </c>
      <c r="H111">
        <f t="shared" si="18"/>
        <v>48</v>
      </c>
      <c r="I111" s="8" t="str">
        <f t="shared" si="16"/>
        <v>#REF!</v>
      </c>
      <c r="J111" s="550" t="str">
        <f t="shared" si="10"/>
        <v>#REF!</v>
      </c>
      <c r="K111" t="str">
        <f t="shared" si="11"/>
        <v>#REF!</v>
      </c>
      <c r="M111" s="70" t="str">
        <f t="shared" si="12"/>
        <v>#REF!</v>
      </c>
    </row>
    <row r="112">
      <c r="A112" t="str">
        <f t="shared" si="13"/>
        <v>#REF!</v>
      </c>
      <c r="B112">
        <f t="shared" si="17"/>
        <v>49</v>
      </c>
      <c r="C112" s="8" t="str">
        <f t="shared" si="14"/>
        <v>#REF!</v>
      </c>
      <c r="D112" s="550" t="str">
        <f t="shared" si="8"/>
        <v>#REF!</v>
      </c>
      <c r="E112" t="str">
        <f t="shared" si="9"/>
        <v>#REF!</v>
      </c>
      <c r="G112" t="str">
        <f t="shared" si="15"/>
        <v>#REF!</v>
      </c>
      <c r="H112">
        <f t="shared" si="18"/>
        <v>49</v>
      </c>
      <c r="I112" s="8" t="str">
        <f t="shared" si="16"/>
        <v>#REF!</v>
      </c>
      <c r="J112" s="550" t="str">
        <f t="shared" si="10"/>
        <v>#REF!</v>
      </c>
      <c r="K112" t="str">
        <f t="shared" si="11"/>
        <v>#REF!</v>
      </c>
      <c r="M112" s="70" t="str">
        <f t="shared" si="12"/>
        <v>#REF!</v>
      </c>
    </row>
    <row r="113">
      <c r="A113" t="str">
        <f t="shared" si="13"/>
        <v>#REF!</v>
      </c>
      <c r="B113">
        <f t="shared" si="17"/>
        <v>50</v>
      </c>
      <c r="C113" s="8" t="str">
        <f t="shared" si="14"/>
        <v>#REF!</v>
      </c>
      <c r="D113" s="550" t="str">
        <f t="shared" si="8"/>
        <v>#REF!</v>
      </c>
      <c r="E113" t="str">
        <f t="shared" si="9"/>
        <v>#REF!</v>
      </c>
      <c r="G113" t="str">
        <f t="shared" si="15"/>
        <v>#REF!</v>
      </c>
      <c r="H113">
        <f t="shared" si="18"/>
        <v>50</v>
      </c>
      <c r="I113" s="8" t="str">
        <f t="shared" si="16"/>
        <v>#REF!</v>
      </c>
      <c r="J113" s="550" t="str">
        <f t="shared" si="10"/>
        <v>#REF!</v>
      </c>
      <c r="K113" t="str">
        <f t="shared" si="11"/>
        <v>#REF!</v>
      </c>
      <c r="M113" s="70" t="str">
        <f t="shared" si="12"/>
        <v>#REF!</v>
      </c>
    </row>
    <row r="114">
      <c r="A114" t="str">
        <f t="shared" si="13"/>
        <v>#REF!</v>
      </c>
      <c r="B114">
        <f t="shared" si="17"/>
        <v>51</v>
      </c>
      <c r="C114" s="8" t="str">
        <f t="shared" si="14"/>
        <v>#REF!</v>
      </c>
      <c r="D114" s="550" t="str">
        <f t="shared" si="8"/>
        <v>#REF!</v>
      </c>
      <c r="E114" t="str">
        <f t="shared" si="9"/>
        <v>#REF!</v>
      </c>
      <c r="G114" t="str">
        <f t="shared" si="15"/>
        <v>#REF!</v>
      </c>
      <c r="H114">
        <f t="shared" si="18"/>
        <v>51</v>
      </c>
      <c r="I114" s="8" t="str">
        <f t="shared" si="16"/>
        <v>#REF!</v>
      </c>
      <c r="J114" s="550" t="str">
        <f t="shared" si="10"/>
        <v>#REF!</v>
      </c>
      <c r="K114" t="str">
        <f t="shared" si="11"/>
        <v>#REF!</v>
      </c>
      <c r="M114" s="70" t="str">
        <f t="shared" si="12"/>
        <v>#REF!</v>
      </c>
    </row>
    <row r="115">
      <c r="A115" t="str">
        <f t="shared" si="13"/>
        <v>#REF!</v>
      </c>
      <c r="B115">
        <f t="shared" si="17"/>
        <v>52</v>
      </c>
      <c r="C115" s="8" t="str">
        <f t="shared" si="14"/>
        <v>#REF!</v>
      </c>
      <c r="D115" s="550" t="str">
        <f t="shared" si="8"/>
        <v>#REF!</v>
      </c>
      <c r="E115" t="str">
        <f t="shared" si="9"/>
        <v>#REF!</v>
      </c>
      <c r="G115" t="str">
        <f t="shared" si="15"/>
        <v>#REF!</v>
      </c>
      <c r="H115">
        <f t="shared" si="18"/>
        <v>52</v>
      </c>
      <c r="I115" s="8" t="str">
        <f t="shared" si="16"/>
        <v>#REF!</v>
      </c>
      <c r="J115" s="550" t="str">
        <f t="shared" si="10"/>
        <v>#REF!</v>
      </c>
      <c r="K115" t="str">
        <f t="shared" si="11"/>
        <v>#REF!</v>
      </c>
      <c r="M115" s="70" t="str">
        <f t="shared" si="12"/>
        <v>#REF!</v>
      </c>
    </row>
    <row r="116">
      <c r="A116" t="str">
        <f t="shared" si="13"/>
        <v>#REF!</v>
      </c>
      <c r="B116">
        <f t="shared" si="17"/>
        <v>53</v>
      </c>
      <c r="C116" s="8" t="str">
        <f t="shared" si="14"/>
        <v>#REF!</v>
      </c>
      <c r="D116" s="550" t="str">
        <f t="shared" si="8"/>
        <v>#REF!</v>
      </c>
      <c r="E116" t="str">
        <f t="shared" si="9"/>
        <v>#REF!</v>
      </c>
      <c r="G116" t="str">
        <f t="shared" si="15"/>
        <v>#REF!</v>
      </c>
      <c r="H116">
        <f t="shared" si="18"/>
        <v>53</v>
      </c>
      <c r="I116" s="8" t="str">
        <f t="shared" si="16"/>
        <v>#REF!</v>
      </c>
      <c r="J116" s="550" t="str">
        <f t="shared" si="10"/>
        <v>#REF!</v>
      </c>
      <c r="K116" t="str">
        <f t="shared" si="11"/>
        <v>#REF!</v>
      </c>
      <c r="M116" s="70" t="str">
        <f t="shared" si="12"/>
        <v>#REF!</v>
      </c>
    </row>
    <row r="117">
      <c r="A117" t="str">
        <f t="shared" si="13"/>
        <v>#REF!</v>
      </c>
      <c r="B117">
        <f t="shared" si="17"/>
        <v>54</v>
      </c>
      <c r="C117" s="8" t="str">
        <f t="shared" si="14"/>
        <v>#REF!</v>
      </c>
      <c r="D117" s="550" t="str">
        <f t="shared" si="8"/>
        <v>#REF!</v>
      </c>
      <c r="E117" t="str">
        <f t="shared" si="9"/>
        <v>#REF!</v>
      </c>
      <c r="G117" t="str">
        <f t="shared" si="15"/>
        <v>#REF!</v>
      </c>
      <c r="H117">
        <f t="shared" si="18"/>
        <v>54</v>
      </c>
      <c r="I117" s="8" t="str">
        <f t="shared" si="16"/>
        <v>#REF!</v>
      </c>
      <c r="J117" s="550" t="str">
        <f t="shared" si="10"/>
        <v>#REF!</v>
      </c>
      <c r="K117" t="str">
        <f t="shared" si="11"/>
        <v>#REF!</v>
      </c>
      <c r="M117" s="70" t="str">
        <f t="shared" si="12"/>
        <v>#REF!</v>
      </c>
    </row>
    <row r="118">
      <c r="A118" t="str">
        <f t="shared" si="13"/>
        <v>#REF!</v>
      </c>
      <c r="B118">
        <f t="shared" si="17"/>
        <v>55</v>
      </c>
      <c r="C118" s="8" t="str">
        <f t="shared" si="14"/>
        <v>#REF!</v>
      </c>
      <c r="D118" s="550" t="str">
        <f t="shared" si="8"/>
        <v>#REF!</v>
      </c>
      <c r="E118" t="str">
        <f t="shared" si="9"/>
        <v>#REF!</v>
      </c>
      <c r="G118" t="str">
        <f t="shared" si="15"/>
        <v>#REF!</v>
      </c>
      <c r="H118">
        <f t="shared" si="18"/>
        <v>55</v>
      </c>
      <c r="I118" s="8" t="str">
        <f t="shared" si="16"/>
        <v>#REF!</v>
      </c>
      <c r="J118" s="550" t="str">
        <f t="shared" si="10"/>
        <v>#REF!</v>
      </c>
      <c r="K118" t="str">
        <f t="shared" si="11"/>
        <v>#REF!</v>
      </c>
      <c r="M118" s="70" t="str">
        <f t="shared" si="12"/>
        <v>#REF!</v>
      </c>
    </row>
    <row r="119">
      <c r="A119" t="str">
        <f t="shared" si="13"/>
        <v>#REF!</v>
      </c>
      <c r="B119">
        <f t="shared" si="17"/>
        <v>56</v>
      </c>
      <c r="C119" s="8" t="str">
        <f t="shared" si="14"/>
        <v>#REF!</v>
      </c>
      <c r="D119" s="550" t="str">
        <f t="shared" si="8"/>
        <v>#REF!</v>
      </c>
      <c r="E119" t="str">
        <f t="shared" si="9"/>
        <v>#REF!</v>
      </c>
      <c r="G119" t="str">
        <f t="shared" si="15"/>
        <v>#REF!</v>
      </c>
      <c r="H119">
        <f t="shared" si="18"/>
        <v>56</v>
      </c>
      <c r="I119" s="8" t="str">
        <f t="shared" si="16"/>
        <v>#REF!</v>
      </c>
      <c r="J119" s="550" t="str">
        <f t="shared" si="10"/>
        <v>#REF!</v>
      </c>
      <c r="K119" t="str">
        <f t="shared" si="11"/>
        <v>#REF!</v>
      </c>
      <c r="M119" s="70" t="str">
        <f t="shared" si="12"/>
        <v>#REF!</v>
      </c>
    </row>
    <row r="120">
      <c r="A120" t="str">
        <f t="shared" si="13"/>
        <v>#REF!</v>
      </c>
      <c r="B120">
        <f t="shared" si="17"/>
        <v>57</v>
      </c>
      <c r="C120" s="8" t="str">
        <f t="shared" si="14"/>
        <v>#REF!</v>
      </c>
      <c r="D120" s="550" t="str">
        <f t="shared" si="8"/>
        <v>#REF!</v>
      </c>
      <c r="E120" t="str">
        <f t="shared" si="9"/>
        <v>#REF!</v>
      </c>
      <c r="G120" t="str">
        <f t="shared" si="15"/>
        <v>#REF!</v>
      </c>
      <c r="H120">
        <f t="shared" si="18"/>
        <v>57</v>
      </c>
      <c r="I120" s="8" t="str">
        <f t="shared" si="16"/>
        <v>#REF!</v>
      </c>
      <c r="J120" s="550" t="str">
        <f t="shared" si="10"/>
        <v>#REF!</v>
      </c>
      <c r="K120" t="str">
        <f t="shared" si="11"/>
        <v>#REF!</v>
      </c>
      <c r="M120" s="70" t="str">
        <f t="shared" si="12"/>
        <v>#REF!</v>
      </c>
    </row>
    <row r="121">
      <c r="A121" t="str">
        <f t="shared" si="13"/>
        <v>#REF!</v>
      </c>
      <c r="B121">
        <f t="shared" si="17"/>
        <v>58</v>
      </c>
      <c r="C121" s="8" t="str">
        <f t="shared" si="14"/>
        <v>#REF!</v>
      </c>
      <c r="D121" s="550" t="str">
        <f t="shared" si="8"/>
        <v>#REF!</v>
      </c>
      <c r="E121" t="str">
        <f t="shared" si="9"/>
        <v>#REF!</v>
      </c>
      <c r="G121" t="str">
        <f t="shared" si="15"/>
        <v>#REF!</v>
      </c>
      <c r="H121">
        <f t="shared" si="18"/>
        <v>58</v>
      </c>
      <c r="I121" s="8" t="str">
        <f t="shared" si="16"/>
        <v>#REF!</v>
      </c>
      <c r="J121" s="550" t="str">
        <f t="shared" si="10"/>
        <v>#REF!</v>
      </c>
      <c r="K121" t="str">
        <f t="shared" si="11"/>
        <v>#REF!</v>
      </c>
      <c r="M121" s="70" t="str">
        <f t="shared" si="12"/>
        <v>#REF!</v>
      </c>
    </row>
    <row r="122">
      <c r="A122" t="str">
        <f t="shared" si="13"/>
        <v>#REF!</v>
      </c>
      <c r="B122">
        <f t="shared" si="17"/>
        <v>59</v>
      </c>
      <c r="C122" s="8" t="str">
        <f t="shared" si="14"/>
        <v>#REF!</v>
      </c>
      <c r="D122" s="550" t="str">
        <f t="shared" si="8"/>
        <v>#REF!</v>
      </c>
      <c r="E122" t="str">
        <f t="shared" si="9"/>
        <v>#REF!</v>
      </c>
      <c r="G122" t="str">
        <f t="shared" si="15"/>
        <v>#REF!</v>
      </c>
      <c r="H122">
        <f t="shared" si="18"/>
        <v>59</v>
      </c>
      <c r="I122" s="8" t="str">
        <f t="shared" si="16"/>
        <v>#REF!</v>
      </c>
      <c r="J122" s="550" t="str">
        <f t="shared" si="10"/>
        <v>#REF!</v>
      </c>
      <c r="K122" t="str">
        <f t="shared" si="11"/>
        <v>#REF!</v>
      </c>
      <c r="M122" s="70" t="str">
        <f t="shared" si="12"/>
        <v>#REF!</v>
      </c>
    </row>
    <row r="123">
      <c r="A123" t="str">
        <f t="shared" si="13"/>
        <v>#REF!</v>
      </c>
      <c r="B123">
        <f t="shared" si="17"/>
        <v>60</v>
      </c>
      <c r="C123" s="8" t="str">
        <f t="shared" si="14"/>
        <v>#REF!</v>
      </c>
      <c r="D123" s="550" t="str">
        <f t="shared" si="8"/>
        <v>#REF!</v>
      </c>
      <c r="E123" t="str">
        <f t="shared" si="9"/>
        <v>#REF!</v>
      </c>
      <c r="G123" t="str">
        <f t="shared" si="15"/>
        <v>#REF!</v>
      </c>
      <c r="H123">
        <f t="shared" si="18"/>
        <v>60</v>
      </c>
      <c r="I123" s="8" t="str">
        <f t="shared" si="16"/>
        <v>#REF!</v>
      </c>
      <c r="J123" s="550" t="str">
        <f t="shared" si="10"/>
        <v>#REF!</v>
      </c>
      <c r="K123" t="str">
        <f t="shared" si="11"/>
        <v>#REF!</v>
      </c>
      <c r="M123" s="70" t="str">
        <f t="shared" si="12"/>
        <v>#REF!</v>
      </c>
    </row>
    <row r="124">
      <c r="A124" t="str">
        <f t="shared" si="13"/>
        <v>#REF!</v>
      </c>
      <c r="B124">
        <f t="shared" si="17"/>
        <v>61</v>
      </c>
      <c r="C124" s="8" t="str">
        <f t="shared" si="14"/>
        <v>#REF!</v>
      </c>
      <c r="D124" s="550" t="str">
        <f t="shared" si="8"/>
        <v>#REF!</v>
      </c>
      <c r="E124" t="str">
        <f t="shared" si="9"/>
        <v>#REF!</v>
      </c>
      <c r="G124" t="str">
        <f t="shared" si="15"/>
        <v>#REF!</v>
      </c>
      <c r="H124">
        <f t="shared" si="18"/>
        <v>61</v>
      </c>
      <c r="I124" s="8" t="str">
        <f t="shared" si="16"/>
        <v>#REF!</v>
      </c>
      <c r="J124" s="550" t="str">
        <f t="shared" si="10"/>
        <v>#REF!</v>
      </c>
      <c r="K124" t="str">
        <f t="shared" si="11"/>
        <v>#REF!</v>
      </c>
      <c r="M124" s="70" t="str">
        <f t="shared" si="12"/>
        <v>#REF!</v>
      </c>
    </row>
    <row r="125">
      <c r="A125" t="str">
        <f t="shared" si="13"/>
        <v>#REF!</v>
      </c>
      <c r="B125">
        <f t="shared" si="17"/>
        <v>62</v>
      </c>
      <c r="C125" s="8" t="str">
        <f t="shared" si="14"/>
        <v>#REF!</v>
      </c>
      <c r="D125" s="550" t="str">
        <f t="shared" si="8"/>
        <v>#REF!</v>
      </c>
      <c r="E125" t="str">
        <f t="shared" si="9"/>
        <v>#REF!</v>
      </c>
      <c r="G125" t="str">
        <f t="shared" si="15"/>
        <v>#REF!</v>
      </c>
      <c r="H125">
        <f t="shared" si="18"/>
        <v>62</v>
      </c>
      <c r="I125" s="8" t="str">
        <f t="shared" si="16"/>
        <v>#REF!</v>
      </c>
      <c r="J125" s="550" t="str">
        <f t="shared" si="10"/>
        <v>#REF!</v>
      </c>
      <c r="K125" t="str">
        <f t="shared" si="11"/>
        <v>#REF!</v>
      </c>
      <c r="M125" s="70" t="str">
        <f t="shared" si="12"/>
        <v>#REF!</v>
      </c>
    </row>
    <row r="126">
      <c r="A126" t="str">
        <f t="shared" si="13"/>
        <v>#REF!</v>
      </c>
      <c r="B126">
        <f t="shared" si="17"/>
        <v>63</v>
      </c>
      <c r="C126" s="8" t="str">
        <f t="shared" si="14"/>
        <v>#REF!</v>
      </c>
      <c r="D126" s="550" t="str">
        <f t="shared" si="8"/>
        <v>#REF!</v>
      </c>
      <c r="E126" t="str">
        <f t="shared" si="9"/>
        <v>#REF!</v>
      </c>
      <c r="G126" t="str">
        <f t="shared" si="15"/>
        <v>#REF!</v>
      </c>
      <c r="H126">
        <f t="shared" si="18"/>
        <v>63</v>
      </c>
      <c r="I126" s="8" t="str">
        <f t="shared" si="16"/>
        <v>#REF!</v>
      </c>
      <c r="J126" s="550" t="str">
        <f t="shared" si="10"/>
        <v>#REF!</v>
      </c>
      <c r="K126" t="str">
        <f t="shared" si="11"/>
        <v>#REF!</v>
      </c>
      <c r="M126" s="70" t="str">
        <f t="shared" si="12"/>
        <v>#REF!</v>
      </c>
    </row>
    <row r="127">
      <c r="A127" t="str">
        <f t="shared" si="13"/>
        <v>#REF!</v>
      </c>
      <c r="B127">
        <f t="shared" si="17"/>
        <v>64</v>
      </c>
      <c r="C127" s="8" t="str">
        <f t="shared" si="14"/>
        <v>#REF!</v>
      </c>
      <c r="D127" s="550" t="str">
        <f t="shared" si="8"/>
        <v>#REF!</v>
      </c>
      <c r="E127" t="str">
        <f t="shared" si="9"/>
        <v>#REF!</v>
      </c>
      <c r="G127" t="str">
        <f t="shared" si="15"/>
        <v>#REF!</v>
      </c>
      <c r="H127">
        <f t="shared" si="18"/>
        <v>64</v>
      </c>
      <c r="I127" s="8" t="str">
        <f t="shared" si="16"/>
        <v>#REF!</v>
      </c>
      <c r="J127" s="550" t="str">
        <f t="shared" si="10"/>
        <v>#REF!</v>
      </c>
      <c r="K127" t="str">
        <f t="shared" si="11"/>
        <v>#REF!</v>
      </c>
      <c r="M127" s="70" t="str">
        <f t="shared" si="12"/>
        <v>#REF!</v>
      </c>
    </row>
    <row r="128">
      <c r="A128" t="str">
        <f t="shared" si="13"/>
        <v>#REF!</v>
      </c>
      <c r="B128">
        <f t="shared" si="17"/>
        <v>65</v>
      </c>
      <c r="C128" s="8" t="str">
        <f t="shared" si="14"/>
        <v>#REF!</v>
      </c>
      <c r="D128" s="550" t="str">
        <f t="shared" si="8"/>
        <v>#REF!</v>
      </c>
      <c r="E128" t="str">
        <f t="shared" si="9"/>
        <v>#REF!</v>
      </c>
      <c r="G128" t="str">
        <f t="shared" si="15"/>
        <v>#REF!</v>
      </c>
      <c r="H128">
        <f t="shared" si="18"/>
        <v>65</v>
      </c>
      <c r="I128" s="8" t="str">
        <f t="shared" si="16"/>
        <v>#REF!</v>
      </c>
      <c r="J128" s="550" t="str">
        <f t="shared" si="10"/>
        <v>#REF!</v>
      </c>
      <c r="K128" t="str">
        <f t="shared" si="11"/>
        <v>#REF!</v>
      </c>
      <c r="M128" s="70" t="str">
        <f t="shared" si="12"/>
        <v>#REF!</v>
      </c>
    </row>
    <row r="129">
      <c r="A129" t="str">
        <f t="shared" si="13"/>
        <v>#REF!</v>
      </c>
      <c r="B129">
        <f t="shared" si="17"/>
        <v>66</v>
      </c>
      <c r="C129" s="8" t="str">
        <f t="shared" si="14"/>
        <v>#REF!</v>
      </c>
      <c r="D129" s="550" t="str">
        <f t="shared" si="8"/>
        <v>#REF!</v>
      </c>
      <c r="E129" t="str">
        <f t="shared" si="9"/>
        <v>#REF!</v>
      </c>
      <c r="G129" t="str">
        <f t="shared" si="15"/>
        <v>#REF!</v>
      </c>
      <c r="H129">
        <f t="shared" si="18"/>
        <v>66</v>
      </c>
      <c r="I129" s="8" t="str">
        <f t="shared" si="16"/>
        <v>#REF!</v>
      </c>
      <c r="J129" s="550" t="str">
        <f t="shared" si="10"/>
        <v>#REF!</v>
      </c>
      <c r="K129" t="str">
        <f t="shared" si="11"/>
        <v>#REF!</v>
      </c>
      <c r="M129" s="70" t="str">
        <f t="shared" si="12"/>
        <v>#REF!</v>
      </c>
    </row>
    <row r="130">
      <c r="A130" t="str">
        <f t="shared" si="13"/>
        <v>#REF!</v>
      </c>
      <c r="B130">
        <f t="shared" si="17"/>
        <v>67</v>
      </c>
      <c r="C130" s="8" t="str">
        <f t="shared" si="14"/>
        <v>#REF!</v>
      </c>
      <c r="D130" s="550" t="str">
        <f t="shared" si="8"/>
        <v>#REF!</v>
      </c>
      <c r="E130" t="str">
        <f t="shared" si="9"/>
        <v>#REF!</v>
      </c>
      <c r="G130" t="str">
        <f t="shared" si="15"/>
        <v>#REF!</v>
      </c>
      <c r="H130">
        <f t="shared" si="18"/>
        <v>67</v>
      </c>
      <c r="I130" s="8" t="str">
        <f t="shared" si="16"/>
        <v>#REF!</v>
      </c>
      <c r="J130" s="550" t="str">
        <f t="shared" si="10"/>
        <v>#REF!</v>
      </c>
      <c r="K130" t="str">
        <f t="shared" si="11"/>
        <v>#REF!</v>
      </c>
      <c r="M130" s="70" t="str">
        <f t="shared" si="12"/>
        <v>#REF!</v>
      </c>
    </row>
    <row r="131">
      <c r="A131" t="str">
        <f t="shared" si="13"/>
        <v>#REF!</v>
      </c>
      <c r="B131">
        <f t="shared" si="17"/>
        <v>68</v>
      </c>
      <c r="C131" s="8" t="str">
        <f t="shared" si="14"/>
        <v>#REF!</v>
      </c>
      <c r="D131" s="550" t="str">
        <f t="shared" si="8"/>
        <v>#REF!</v>
      </c>
      <c r="E131" t="str">
        <f t="shared" si="9"/>
        <v>#REF!</v>
      </c>
      <c r="G131" t="str">
        <f t="shared" si="15"/>
        <v>#REF!</v>
      </c>
      <c r="H131">
        <f t="shared" si="18"/>
        <v>68</v>
      </c>
      <c r="I131" s="8" t="str">
        <f t="shared" si="16"/>
        <v>#REF!</v>
      </c>
      <c r="J131" s="550" t="str">
        <f t="shared" si="10"/>
        <v>#REF!</v>
      </c>
      <c r="K131" t="str">
        <f t="shared" si="11"/>
        <v>#REF!</v>
      </c>
      <c r="M131" s="70" t="str">
        <f t="shared" si="12"/>
        <v>#REF!</v>
      </c>
    </row>
    <row r="132">
      <c r="A132" t="str">
        <f t="shared" si="13"/>
        <v>#REF!</v>
      </c>
      <c r="B132">
        <f t="shared" si="17"/>
        <v>69</v>
      </c>
      <c r="C132" s="8" t="str">
        <f t="shared" si="14"/>
        <v>#REF!</v>
      </c>
      <c r="D132" s="550" t="str">
        <f t="shared" si="8"/>
        <v>#REF!</v>
      </c>
      <c r="E132" t="str">
        <f t="shared" si="9"/>
        <v>#REF!</v>
      </c>
      <c r="G132" t="str">
        <f t="shared" si="15"/>
        <v>#REF!</v>
      </c>
      <c r="H132">
        <f t="shared" si="18"/>
        <v>69</v>
      </c>
      <c r="I132" s="8" t="str">
        <f t="shared" si="16"/>
        <v>#REF!</v>
      </c>
      <c r="J132" s="550" t="str">
        <f t="shared" si="10"/>
        <v>#REF!</v>
      </c>
      <c r="K132" t="str">
        <f t="shared" si="11"/>
        <v>#REF!</v>
      </c>
      <c r="M132" s="70" t="str">
        <f t="shared" si="12"/>
        <v>#REF!</v>
      </c>
    </row>
    <row r="133">
      <c r="A133" t="str">
        <f t="shared" si="13"/>
        <v>#REF!</v>
      </c>
      <c r="B133">
        <f t="shared" si="17"/>
        <v>70</v>
      </c>
      <c r="C133" s="8" t="str">
        <f t="shared" si="14"/>
        <v>#REF!</v>
      </c>
      <c r="D133" s="550" t="str">
        <f t="shared" si="8"/>
        <v>#REF!</v>
      </c>
      <c r="E133" t="str">
        <f t="shared" si="9"/>
        <v>#REF!</v>
      </c>
      <c r="G133" t="str">
        <f t="shared" si="15"/>
        <v>#REF!</v>
      </c>
      <c r="H133">
        <f t="shared" si="18"/>
        <v>70</v>
      </c>
      <c r="I133" s="8" t="str">
        <f t="shared" si="16"/>
        <v>#REF!</v>
      </c>
      <c r="J133" s="550" t="str">
        <f t="shared" si="10"/>
        <v>#REF!</v>
      </c>
      <c r="K133" t="str">
        <f t="shared" si="11"/>
        <v>#REF!</v>
      </c>
      <c r="M133" s="70" t="str">
        <f t="shared" si="12"/>
        <v>#REF!</v>
      </c>
    </row>
    <row r="134">
      <c r="A134" t="str">
        <f t="shared" si="13"/>
        <v>#REF!</v>
      </c>
      <c r="B134">
        <f t="shared" si="17"/>
        <v>71</v>
      </c>
      <c r="C134" s="8" t="str">
        <f t="shared" si="14"/>
        <v>#REF!</v>
      </c>
      <c r="D134" s="550" t="str">
        <f t="shared" si="8"/>
        <v>#REF!</v>
      </c>
      <c r="E134" t="str">
        <f t="shared" si="9"/>
        <v>#REF!</v>
      </c>
      <c r="G134" t="str">
        <f t="shared" si="15"/>
        <v>#REF!</v>
      </c>
      <c r="H134">
        <f t="shared" si="18"/>
        <v>71</v>
      </c>
      <c r="I134" s="8" t="str">
        <f t="shared" si="16"/>
        <v>#REF!</v>
      </c>
      <c r="J134" s="550" t="str">
        <f t="shared" si="10"/>
        <v>#REF!</v>
      </c>
      <c r="K134" t="str">
        <f t="shared" si="11"/>
        <v>#REF!</v>
      </c>
      <c r="M134" s="70" t="str">
        <f t="shared" si="12"/>
        <v>#REF!</v>
      </c>
    </row>
    <row r="135">
      <c r="A135" t="str">
        <f t="shared" si="13"/>
        <v>#REF!</v>
      </c>
      <c r="B135">
        <f t="shared" si="17"/>
        <v>72</v>
      </c>
      <c r="C135" s="8" t="str">
        <f t="shared" si="14"/>
        <v>#REF!</v>
      </c>
      <c r="D135" s="550" t="str">
        <f t="shared" si="8"/>
        <v>#REF!</v>
      </c>
      <c r="E135" t="str">
        <f t="shared" si="9"/>
        <v>#REF!</v>
      </c>
      <c r="G135" t="str">
        <f t="shared" si="15"/>
        <v>#REF!</v>
      </c>
      <c r="H135">
        <f t="shared" si="18"/>
        <v>72</v>
      </c>
      <c r="I135" s="8" t="str">
        <f t="shared" si="16"/>
        <v>#REF!</v>
      </c>
      <c r="J135" s="550" t="str">
        <f t="shared" si="10"/>
        <v>#REF!</v>
      </c>
      <c r="K135" t="str">
        <f t="shared" si="11"/>
        <v>#REF!</v>
      </c>
      <c r="M135" s="70" t="str">
        <f t="shared" si="12"/>
        <v>#REF!</v>
      </c>
    </row>
    <row r="136">
      <c r="A136" t="str">
        <f t="shared" si="13"/>
        <v>#REF!</v>
      </c>
      <c r="B136">
        <f t="shared" si="17"/>
        <v>73</v>
      </c>
      <c r="C136" s="8" t="str">
        <f t="shared" si="14"/>
        <v>#REF!</v>
      </c>
      <c r="D136" s="550" t="str">
        <f t="shared" si="8"/>
        <v>#REF!</v>
      </c>
      <c r="E136" t="str">
        <f t="shared" si="9"/>
        <v>#REF!</v>
      </c>
      <c r="G136" t="str">
        <f t="shared" si="15"/>
        <v>#REF!</v>
      </c>
      <c r="H136">
        <f t="shared" si="18"/>
        <v>73</v>
      </c>
      <c r="I136" s="8" t="str">
        <f t="shared" si="16"/>
        <v>#REF!</v>
      </c>
      <c r="J136" s="550" t="str">
        <f t="shared" si="10"/>
        <v>#REF!</v>
      </c>
      <c r="K136" t="str">
        <f t="shared" si="11"/>
        <v>#REF!</v>
      </c>
      <c r="M136" s="70" t="str">
        <f t="shared" si="12"/>
        <v>#REF!</v>
      </c>
    </row>
    <row r="137">
      <c r="A137" t="str">
        <f t="shared" si="13"/>
        <v>#REF!</v>
      </c>
      <c r="B137">
        <f t="shared" si="17"/>
        <v>74</v>
      </c>
      <c r="C137" s="8" t="str">
        <f t="shared" si="14"/>
        <v>#REF!</v>
      </c>
      <c r="D137" s="550" t="str">
        <f t="shared" si="8"/>
        <v>#REF!</v>
      </c>
      <c r="E137" t="str">
        <f t="shared" si="9"/>
        <v>#REF!</v>
      </c>
      <c r="G137" t="str">
        <f t="shared" si="15"/>
        <v>#REF!</v>
      </c>
      <c r="H137">
        <f t="shared" si="18"/>
        <v>74</v>
      </c>
      <c r="I137" s="8" t="str">
        <f t="shared" si="16"/>
        <v>#REF!</v>
      </c>
      <c r="J137" s="550" t="str">
        <f t="shared" si="10"/>
        <v>#REF!</v>
      </c>
      <c r="K137" t="str">
        <f t="shared" si="11"/>
        <v>#REF!</v>
      </c>
      <c r="M137" s="70" t="str">
        <f t="shared" si="12"/>
        <v>#REF!</v>
      </c>
    </row>
    <row r="138">
      <c r="A138" t="str">
        <f t="shared" si="13"/>
        <v>#REF!</v>
      </c>
      <c r="B138">
        <f t="shared" si="17"/>
        <v>75</v>
      </c>
      <c r="C138" s="8" t="str">
        <f t="shared" si="14"/>
        <v>#REF!</v>
      </c>
      <c r="D138" s="550" t="str">
        <f t="shared" si="8"/>
        <v>#REF!</v>
      </c>
      <c r="E138" t="str">
        <f t="shared" si="9"/>
        <v>#REF!</v>
      </c>
      <c r="G138" t="str">
        <f t="shared" si="15"/>
        <v>#REF!</v>
      </c>
      <c r="H138">
        <f t="shared" si="18"/>
        <v>75</v>
      </c>
      <c r="I138" s="8" t="str">
        <f t="shared" si="16"/>
        <v>#REF!</v>
      </c>
      <c r="J138" s="550" t="str">
        <f t="shared" si="10"/>
        <v>#REF!</v>
      </c>
      <c r="K138" t="str">
        <f t="shared" si="11"/>
        <v>#REF!</v>
      </c>
      <c r="M138" s="70" t="str">
        <f t="shared" si="12"/>
        <v>#REF!</v>
      </c>
    </row>
    <row r="139">
      <c r="A139" t="str">
        <f t="shared" si="13"/>
        <v>#REF!</v>
      </c>
      <c r="B139">
        <f t="shared" si="17"/>
        <v>76</v>
      </c>
      <c r="C139" s="8" t="str">
        <f t="shared" si="14"/>
        <v>#REF!</v>
      </c>
      <c r="D139" s="550" t="str">
        <f t="shared" si="8"/>
        <v>#REF!</v>
      </c>
      <c r="E139" t="str">
        <f t="shared" si="9"/>
        <v>#REF!</v>
      </c>
      <c r="G139" t="str">
        <f t="shared" si="15"/>
        <v>#REF!</v>
      </c>
      <c r="H139">
        <f t="shared" si="18"/>
        <v>76</v>
      </c>
      <c r="I139" s="8" t="str">
        <f t="shared" si="16"/>
        <v>#REF!</v>
      </c>
      <c r="J139" s="550" t="str">
        <f t="shared" si="10"/>
        <v>#REF!</v>
      </c>
      <c r="K139" t="str">
        <f t="shared" si="11"/>
        <v>#REF!</v>
      </c>
      <c r="M139" s="70" t="str">
        <f t="shared" si="12"/>
        <v>#REF!</v>
      </c>
    </row>
    <row r="140">
      <c r="A140" t="str">
        <f t="shared" si="13"/>
        <v>#REF!</v>
      </c>
      <c r="B140">
        <f t="shared" si="17"/>
        <v>77</v>
      </c>
      <c r="C140" s="8" t="str">
        <f t="shared" si="14"/>
        <v>#REF!</v>
      </c>
      <c r="D140" s="550" t="str">
        <f t="shared" si="8"/>
        <v>#REF!</v>
      </c>
      <c r="E140" t="str">
        <f t="shared" si="9"/>
        <v>#REF!</v>
      </c>
      <c r="G140" t="str">
        <f t="shared" si="15"/>
        <v>#REF!</v>
      </c>
      <c r="H140">
        <f t="shared" si="18"/>
        <v>77</v>
      </c>
      <c r="I140" s="8" t="str">
        <f t="shared" si="16"/>
        <v>#REF!</v>
      </c>
      <c r="J140" s="550" t="str">
        <f t="shared" si="10"/>
        <v>#REF!</v>
      </c>
      <c r="K140" t="str">
        <f t="shared" si="11"/>
        <v>#REF!</v>
      </c>
      <c r="M140" s="70" t="str">
        <f t="shared" si="12"/>
        <v>#REF!</v>
      </c>
    </row>
    <row r="141">
      <c r="A141" t="str">
        <f t="shared" si="13"/>
        <v>#REF!</v>
      </c>
      <c r="B141">
        <f t="shared" si="17"/>
        <v>78</v>
      </c>
      <c r="C141" s="8" t="str">
        <f t="shared" si="14"/>
        <v>#REF!</v>
      </c>
      <c r="D141" s="550" t="str">
        <f t="shared" si="8"/>
        <v>#REF!</v>
      </c>
      <c r="E141" t="str">
        <f t="shared" si="9"/>
        <v>#REF!</v>
      </c>
      <c r="G141" t="str">
        <f t="shared" si="15"/>
        <v>#REF!</v>
      </c>
      <c r="H141">
        <f t="shared" si="18"/>
        <v>78</v>
      </c>
      <c r="I141" s="8" t="str">
        <f t="shared" si="16"/>
        <v>#REF!</v>
      </c>
      <c r="J141" s="550" t="str">
        <f t="shared" si="10"/>
        <v>#REF!</v>
      </c>
      <c r="K141" t="str">
        <f t="shared" si="11"/>
        <v>#REF!</v>
      </c>
      <c r="M141" s="70" t="str">
        <f t="shared" si="12"/>
        <v>#REF!</v>
      </c>
    </row>
    <row r="142">
      <c r="A142" t="str">
        <f t="shared" si="13"/>
        <v>#REF!</v>
      </c>
      <c r="B142">
        <f t="shared" si="17"/>
        <v>79</v>
      </c>
      <c r="C142" s="8" t="str">
        <f t="shared" si="14"/>
        <v>#REF!</v>
      </c>
      <c r="D142" s="550" t="str">
        <f t="shared" si="8"/>
        <v>#REF!</v>
      </c>
      <c r="E142" t="str">
        <f t="shared" si="9"/>
        <v>#REF!</v>
      </c>
      <c r="G142" t="str">
        <f t="shared" si="15"/>
        <v>#REF!</v>
      </c>
      <c r="H142">
        <f t="shared" si="18"/>
        <v>79</v>
      </c>
      <c r="I142" s="8" t="str">
        <f t="shared" si="16"/>
        <v>#REF!</v>
      </c>
      <c r="J142" s="550" t="str">
        <f t="shared" si="10"/>
        <v>#REF!</v>
      </c>
      <c r="K142" t="str">
        <f t="shared" si="11"/>
        <v>#REF!</v>
      </c>
      <c r="M142" s="70" t="str">
        <f t="shared" si="12"/>
        <v>#REF!</v>
      </c>
    </row>
    <row r="143">
      <c r="A143" t="str">
        <f t="shared" si="13"/>
        <v>#REF!</v>
      </c>
      <c r="B143">
        <f t="shared" si="17"/>
        <v>80</v>
      </c>
      <c r="C143" s="8" t="str">
        <f t="shared" si="14"/>
        <v>#REF!</v>
      </c>
      <c r="D143" s="550" t="str">
        <f t="shared" si="8"/>
        <v>#REF!</v>
      </c>
      <c r="E143" t="str">
        <f t="shared" si="9"/>
        <v>#REF!</v>
      </c>
      <c r="G143" t="str">
        <f t="shared" si="15"/>
        <v>#REF!</v>
      </c>
      <c r="H143">
        <f t="shared" si="18"/>
        <v>80</v>
      </c>
      <c r="I143" s="8" t="str">
        <f t="shared" si="16"/>
        <v>#REF!</v>
      </c>
      <c r="J143" s="550" t="str">
        <f t="shared" si="10"/>
        <v>#REF!</v>
      </c>
      <c r="K143" t="str">
        <f t="shared" si="11"/>
        <v>#REF!</v>
      </c>
      <c r="M143" s="70" t="str">
        <f t="shared" si="12"/>
        <v>#REF!</v>
      </c>
    </row>
    <row r="144">
      <c r="A144" t="str">
        <f t="shared" si="13"/>
        <v>#REF!</v>
      </c>
      <c r="B144">
        <f t="shared" si="17"/>
        <v>81</v>
      </c>
      <c r="C144" s="8" t="str">
        <f t="shared" si="14"/>
        <v>#REF!</v>
      </c>
      <c r="D144" s="550" t="str">
        <f t="shared" si="8"/>
        <v>#REF!</v>
      </c>
      <c r="E144" t="str">
        <f t="shared" si="9"/>
        <v>#REF!</v>
      </c>
      <c r="G144" t="str">
        <f t="shared" si="15"/>
        <v>#REF!</v>
      </c>
      <c r="H144">
        <f t="shared" si="18"/>
        <v>81</v>
      </c>
      <c r="I144" s="8" t="str">
        <f t="shared" si="16"/>
        <v>#REF!</v>
      </c>
      <c r="J144" s="550" t="str">
        <f t="shared" si="10"/>
        <v>#REF!</v>
      </c>
      <c r="K144" t="str">
        <f t="shared" si="11"/>
        <v>#REF!</v>
      </c>
      <c r="M144" s="70" t="str">
        <f t="shared" si="12"/>
        <v>#REF!</v>
      </c>
    </row>
    <row r="145">
      <c r="A145" t="str">
        <f t="shared" si="13"/>
        <v>#REF!</v>
      </c>
      <c r="B145">
        <f t="shared" si="17"/>
        <v>82</v>
      </c>
      <c r="C145" s="8" t="str">
        <f t="shared" si="14"/>
        <v>#REF!</v>
      </c>
      <c r="D145" s="550" t="str">
        <f t="shared" si="8"/>
        <v>#REF!</v>
      </c>
      <c r="E145" t="str">
        <f t="shared" si="9"/>
        <v>#REF!</v>
      </c>
      <c r="G145" t="str">
        <f t="shared" si="15"/>
        <v>#REF!</v>
      </c>
      <c r="H145">
        <f t="shared" si="18"/>
        <v>82</v>
      </c>
      <c r="I145" s="8" t="str">
        <f t="shared" si="16"/>
        <v>#REF!</v>
      </c>
      <c r="J145" s="550" t="str">
        <f t="shared" si="10"/>
        <v>#REF!</v>
      </c>
      <c r="K145" t="str">
        <f t="shared" si="11"/>
        <v>#REF!</v>
      </c>
      <c r="M145" s="70" t="str">
        <f t="shared" si="12"/>
        <v>#REF!</v>
      </c>
    </row>
    <row r="146">
      <c r="A146" t="str">
        <f t="shared" si="13"/>
        <v>#REF!</v>
      </c>
      <c r="B146">
        <f t="shared" si="17"/>
        <v>83</v>
      </c>
      <c r="C146" s="8" t="str">
        <f t="shared" si="14"/>
        <v>#REF!</v>
      </c>
      <c r="D146" s="550" t="str">
        <f t="shared" si="8"/>
        <v>#REF!</v>
      </c>
      <c r="E146" t="str">
        <f t="shared" si="9"/>
        <v>#REF!</v>
      </c>
      <c r="G146" t="str">
        <f t="shared" si="15"/>
        <v>#REF!</v>
      </c>
      <c r="H146">
        <f t="shared" si="18"/>
        <v>83</v>
      </c>
      <c r="I146" s="8" t="str">
        <f t="shared" si="16"/>
        <v>#REF!</v>
      </c>
      <c r="J146" s="550" t="str">
        <f t="shared" si="10"/>
        <v>#REF!</v>
      </c>
      <c r="K146" t="str">
        <f t="shared" si="11"/>
        <v>#REF!</v>
      </c>
      <c r="M146" s="70" t="str">
        <f t="shared" si="12"/>
        <v>#REF!</v>
      </c>
    </row>
    <row r="147">
      <c r="A147" t="str">
        <f t="shared" si="13"/>
        <v>#REF!</v>
      </c>
      <c r="B147">
        <f t="shared" si="17"/>
        <v>84</v>
      </c>
      <c r="C147" s="8" t="str">
        <f t="shared" si="14"/>
        <v>#REF!</v>
      </c>
      <c r="D147" s="550" t="str">
        <f t="shared" si="8"/>
        <v>#REF!</v>
      </c>
      <c r="E147" t="str">
        <f t="shared" si="9"/>
        <v>#REF!</v>
      </c>
      <c r="G147" t="str">
        <f t="shared" si="15"/>
        <v>#REF!</v>
      </c>
      <c r="H147">
        <f t="shared" si="18"/>
        <v>84</v>
      </c>
      <c r="I147" s="8" t="str">
        <f t="shared" si="16"/>
        <v>#REF!</v>
      </c>
      <c r="J147" s="550" t="str">
        <f t="shared" si="10"/>
        <v>#REF!</v>
      </c>
      <c r="K147" t="str">
        <f t="shared" si="11"/>
        <v>#REF!</v>
      </c>
      <c r="M147" s="70" t="str">
        <f t="shared" si="12"/>
        <v>#REF!</v>
      </c>
    </row>
    <row r="148">
      <c r="A148" t="str">
        <f t="shared" si="13"/>
        <v>#REF!</v>
      </c>
      <c r="B148">
        <f t="shared" si="17"/>
        <v>85</v>
      </c>
      <c r="C148" s="8" t="str">
        <f t="shared" si="14"/>
        <v>#REF!</v>
      </c>
      <c r="D148" s="550" t="str">
        <f t="shared" si="8"/>
        <v>#REF!</v>
      </c>
      <c r="E148" t="str">
        <f t="shared" si="9"/>
        <v>#REF!</v>
      </c>
      <c r="G148" t="str">
        <f t="shared" si="15"/>
        <v>#REF!</v>
      </c>
      <c r="H148">
        <f t="shared" si="18"/>
        <v>85</v>
      </c>
      <c r="I148" s="8" t="str">
        <f t="shared" si="16"/>
        <v>#REF!</v>
      </c>
      <c r="J148" s="550" t="str">
        <f t="shared" si="10"/>
        <v>#REF!</v>
      </c>
      <c r="K148" t="str">
        <f t="shared" si="11"/>
        <v>#REF!</v>
      </c>
      <c r="M148" s="70" t="str">
        <f t="shared" si="12"/>
        <v>#REF!</v>
      </c>
    </row>
    <row r="149">
      <c r="A149" t="str">
        <f t="shared" si="13"/>
        <v>#REF!</v>
      </c>
      <c r="B149">
        <f t="shared" si="17"/>
        <v>86</v>
      </c>
      <c r="C149" s="8" t="str">
        <f t="shared" si="14"/>
        <v>#REF!</v>
      </c>
      <c r="D149" s="550" t="str">
        <f t="shared" si="8"/>
        <v>#REF!</v>
      </c>
      <c r="E149" t="str">
        <f t="shared" si="9"/>
        <v>#REF!</v>
      </c>
      <c r="G149" t="str">
        <f t="shared" si="15"/>
        <v>#REF!</v>
      </c>
      <c r="H149">
        <f t="shared" si="18"/>
        <v>86</v>
      </c>
      <c r="I149" s="8" t="str">
        <f t="shared" si="16"/>
        <v>#REF!</v>
      </c>
      <c r="J149" s="550" t="str">
        <f t="shared" si="10"/>
        <v>#REF!</v>
      </c>
      <c r="K149" t="str">
        <f t="shared" si="11"/>
        <v>#REF!</v>
      </c>
      <c r="M149" s="70" t="str">
        <f t="shared" si="12"/>
        <v>#REF!</v>
      </c>
    </row>
    <row r="150">
      <c r="A150" t="str">
        <f t="shared" si="13"/>
        <v>#REF!</v>
      </c>
      <c r="B150">
        <f t="shared" si="17"/>
        <v>87</v>
      </c>
      <c r="C150" s="8" t="str">
        <f t="shared" si="14"/>
        <v>#REF!</v>
      </c>
      <c r="D150" s="550" t="str">
        <f t="shared" si="8"/>
        <v>#REF!</v>
      </c>
      <c r="E150" t="str">
        <f t="shared" si="9"/>
        <v>#REF!</v>
      </c>
      <c r="G150" t="str">
        <f t="shared" si="15"/>
        <v>#REF!</v>
      </c>
      <c r="H150">
        <f t="shared" si="18"/>
        <v>87</v>
      </c>
      <c r="I150" s="8" t="str">
        <f t="shared" si="16"/>
        <v>#REF!</v>
      </c>
      <c r="J150" s="550" t="str">
        <f t="shared" si="10"/>
        <v>#REF!</v>
      </c>
      <c r="K150" t="str">
        <f t="shared" si="11"/>
        <v>#REF!</v>
      </c>
      <c r="M150" s="70" t="str">
        <f t="shared" si="12"/>
        <v>#REF!</v>
      </c>
    </row>
    <row r="151">
      <c r="A151" t="str">
        <f t="shared" si="13"/>
        <v>#REF!</v>
      </c>
      <c r="B151">
        <f t="shared" si="17"/>
        <v>88</v>
      </c>
      <c r="C151" s="8" t="str">
        <f t="shared" si="14"/>
        <v>#REF!</v>
      </c>
      <c r="D151" s="550" t="str">
        <f t="shared" si="8"/>
        <v>#REF!</v>
      </c>
      <c r="E151" t="str">
        <f t="shared" si="9"/>
        <v>#REF!</v>
      </c>
      <c r="G151" t="str">
        <f t="shared" si="15"/>
        <v>#REF!</v>
      </c>
      <c r="H151">
        <f t="shared" si="18"/>
        <v>88</v>
      </c>
      <c r="I151" s="8" t="str">
        <f t="shared" si="16"/>
        <v>#REF!</v>
      </c>
      <c r="J151" s="550" t="str">
        <f t="shared" si="10"/>
        <v>#REF!</v>
      </c>
      <c r="K151" t="str">
        <f t="shared" si="11"/>
        <v>#REF!</v>
      </c>
      <c r="M151" s="70" t="str">
        <f t="shared" si="12"/>
        <v>#REF!</v>
      </c>
    </row>
    <row r="152">
      <c r="A152" t="str">
        <f t="shared" si="13"/>
        <v>#REF!</v>
      </c>
      <c r="B152">
        <f t="shared" si="17"/>
        <v>89</v>
      </c>
      <c r="C152" s="8" t="str">
        <f t="shared" si="14"/>
        <v>#REF!</v>
      </c>
      <c r="D152" s="550" t="str">
        <f t="shared" si="8"/>
        <v>#REF!</v>
      </c>
      <c r="E152" t="str">
        <f t="shared" si="9"/>
        <v>#REF!</v>
      </c>
      <c r="G152" t="str">
        <f t="shared" si="15"/>
        <v>#REF!</v>
      </c>
      <c r="H152">
        <f t="shared" si="18"/>
        <v>89</v>
      </c>
      <c r="I152" s="8" t="str">
        <f t="shared" si="16"/>
        <v>#REF!</v>
      </c>
      <c r="J152" s="550" t="str">
        <f t="shared" si="10"/>
        <v>#REF!</v>
      </c>
      <c r="K152" t="str">
        <f t="shared" si="11"/>
        <v>#REF!</v>
      </c>
      <c r="M152" s="70" t="str">
        <f t="shared" si="12"/>
        <v>#REF!</v>
      </c>
    </row>
    <row r="153">
      <c r="A153" t="str">
        <f t="shared" si="13"/>
        <v>#REF!</v>
      </c>
      <c r="B153">
        <f t="shared" si="17"/>
        <v>90</v>
      </c>
      <c r="C153" s="8" t="str">
        <f t="shared" si="14"/>
        <v>#REF!</v>
      </c>
      <c r="D153" s="550" t="str">
        <f t="shared" si="8"/>
        <v>#REF!</v>
      </c>
      <c r="E153" t="str">
        <f t="shared" si="9"/>
        <v>#REF!</v>
      </c>
      <c r="G153" t="str">
        <f t="shared" si="15"/>
        <v>#REF!</v>
      </c>
      <c r="H153">
        <f t="shared" si="18"/>
        <v>90</v>
      </c>
      <c r="I153" s="8" t="str">
        <f t="shared" si="16"/>
        <v>#REF!</v>
      </c>
      <c r="J153" s="550" t="str">
        <f t="shared" si="10"/>
        <v>#REF!</v>
      </c>
      <c r="K153" t="str">
        <f t="shared" si="11"/>
        <v>#REF!</v>
      </c>
      <c r="M153" s="70" t="str">
        <f t="shared" si="12"/>
        <v>#REF!</v>
      </c>
    </row>
    <row r="154">
      <c r="A154" t="str">
        <f t="shared" si="13"/>
        <v>#REF!</v>
      </c>
      <c r="B154">
        <f t="shared" si="17"/>
        <v>91</v>
      </c>
      <c r="C154" s="8" t="str">
        <f t="shared" si="14"/>
        <v>#REF!</v>
      </c>
      <c r="D154" s="550" t="str">
        <f t="shared" si="8"/>
        <v>#REF!</v>
      </c>
      <c r="E154" t="str">
        <f t="shared" si="9"/>
        <v>#REF!</v>
      </c>
      <c r="G154" t="str">
        <f t="shared" si="15"/>
        <v>#REF!</v>
      </c>
      <c r="H154">
        <f t="shared" si="18"/>
        <v>91</v>
      </c>
      <c r="I154" s="8" t="str">
        <f t="shared" si="16"/>
        <v>#REF!</v>
      </c>
      <c r="J154" s="550" t="str">
        <f t="shared" si="10"/>
        <v>#REF!</v>
      </c>
      <c r="K154" t="str">
        <f t="shared" si="11"/>
        <v>#REF!</v>
      </c>
      <c r="M154" s="70" t="str">
        <f t="shared" si="12"/>
        <v>#REF!</v>
      </c>
    </row>
    <row r="155">
      <c r="A155" t="str">
        <f t="shared" si="13"/>
        <v>#REF!</v>
      </c>
      <c r="B155">
        <f t="shared" si="17"/>
        <v>92</v>
      </c>
      <c r="C155" s="8" t="str">
        <f t="shared" si="14"/>
        <v>#REF!</v>
      </c>
      <c r="D155" s="550" t="str">
        <f t="shared" si="8"/>
        <v>#REF!</v>
      </c>
      <c r="E155" t="str">
        <f t="shared" si="9"/>
        <v>#REF!</v>
      </c>
      <c r="G155" t="str">
        <f t="shared" si="15"/>
        <v>#REF!</v>
      </c>
      <c r="H155">
        <f t="shared" si="18"/>
        <v>92</v>
      </c>
      <c r="I155" s="8" t="str">
        <f t="shared" si="16"/>
        <v>#REF!</v>
      </c>
      <c r="J155" s="550" t="str">
        <f t="shared" si="10"/>
        <v>#REF!</v>
      </c>
      <c r="K155" t="str">
        <f t="shared" si="11"/>
        <v>#REF!</v>
      </c>
      <c r="M155" s="70" t="str">
        <f t="shared" si="12"/>
        <v>#REF!</v>
      </c>
    </row>
    <row r="156">
      <c r="A156" t="str">
        <f t="shared" si="13"/>
        <v>#REF!</v>
      </c>
      <c r="B156">
        <f t="shared" si="17"/>
        <v>93</v>
      </c>
      <c r="C156" s="8" t="str">
        <f t="shared" si="14"/>
        <v>#REF!</v>
      </c>
      <c r="D156" s="550" t="str">
        <f t="shared" si="8"/>
        <v>#REF!</v>
      </c>
      <c r="E156" t="str">
        <f t="shared" si="9"/>
        <v>#REF!</v>
      </c>
      <c r="G156" t="str">
        <f t="shared" si="15"/>
        <v>#REF!</v>
      </c>
      <c r="H156">
        <f t="shared" si="18"/>
        <v>93</v>
      </c>
      <c r="I156" s="8" t="str">
        <f t="shared" si="16"/>
        <v>#REF!</v>
      </c>
      <c r="J156" s="550" t="str">
        <f t="shared" si="10"/>
        <v>#REF!</v>
      </c>
      <c r="K156" t="str">
        <f t="shared" si="11"/>
        <v>#REF!</v>
      </c>
      <c r="M156" s="70" t="str">
        <f t="shared" si="12"/>
        <v>#REF!</v>
      </c>
    </row>
    <row r="157">
      <c r="A157" t="str">
        <f t="shared" si="13"/>
        <v>#REF!</v>
      </c>
      <c r="B157">
        <f t="shared" si="17"/>
        <v>94</v>
      </c>
      <c r="C157" s="8" t="str">
        <f t="shared" si="14"/>
        <v>#REF!</v>
      </c>
      <c r="D157" s="550" t="str">
        <f t="shared" si="8"/>
        <v>#REF!</v>
      </c>
      <c r="E157" t="str">
        <f t="shared" si="9"/>
        <v>#REF!</v>
      </c>
      <c r="G157" t="str">
        <f t="shared" si="15"/>
        <v>#REF!</v>
      </c>
      <c r="H157">
        <f t="shared" si="18"/>
        <v>94</v>
      </c>
      <c r="I157" s="8" t="str">
        <f t="shared" si="16"/>
        <v>#REF!</v>
      </c>
      <c r="J157" s="550" t="str">
        <f t="shared" si="10"/>
        <v>#REF!</v>
      </c>
      <c r="K157" t="str">
        <f t="shared" si="11"/>
        <v>#REF!</v>
      </c>
      <c r="M157" s="70" t="str">
        <f t="shared" si="12"/>
        <v>#REF!</v>
      </c>
    </row>
    <row r="158">
      <c r="A158" t="str">
        <f t="shared" si="13"/>
        <v>#REF!</v>
      </c>
      <c r="B158">
        <f t="shared" si="17"/>
        <v>95</v>
      </c>
      <c r="C158" s="8" t="str">
        <f t="shared" si="14"/>
        <v>#REF!</v>
      </c>
      <c r="D158" s="550" t="str">
        <f t="shared" si="8"/>
        <v>#REF!</v>
      </c>
      <c r="E158" t="str">
        <f t="shared" si="9"/>
        <v>#REF!</v>
      </c>
      <c r="G158" t="str">
        <f t="shared" si="15"/>
        <v>#REF!</v>
      </c>
      <c r="H158">
        <f t="shared" si="18"/>
        <v>95</v>
      </c>
      <c r="I158" s="8" t="str">
        <f t="shared" si="16"/>
        <v>#REF!</v>
      </c>
      <c r="J158" s="550" t="str">
        <f t="shared" si="10"/>
        <v>#REF!</v>
      </c>
      <c r="K158" t="str">
        <f t="shared" si="11"/>
        <v>#REF!</v>
      </c>
      <c r="M158" s="70" t="str">
        <f t="shared" si="12"/>
        <v>#REF!</v>
      </c>
    </row>
    <row r="159">
      <c r="A159" t="str">
        <f t="shared" si="13"/>
        <v>#REF!</v>
      </c>
      <c r="B159">
        <f t="shared" si="17"/>
        <v>96</v>
      </c>
      <c r="C159" s="8" t="str">
        <f t="shared" si="14"/>
        <v>#REF!</v>
      </c>
      <c r="D159" s="550" t="str">
        <f t="shared" si="8"/>
        <v>#REF!</v>
      </c>
      <c r="E159" t="str">
        <f t="shared" si="9"/>
        <v>#REF!</v>
      </c>
      <c r="G159" t="str">
        <f t="shared" si="15"/>
        <v>#REF!</v>
      </c>
      <c r="H159">
        <f t="shared" si="18"/>
        <v>96</v>
      </c>
      <c r="I159" s="8" t="str">
        <f t="shared" si="16"/>
        <v>#REF!</v>
      </c>
      <c r="J159" s="550" t="str">
        <f t="shared" si="10"/>
        <v>#REF!</v>
      </c>
      <c r="K159" t="str">
        <f t="shared" si="11"/>
        <v>#REF!</v>
      </c>
      <c r="M159" s="70" t="str">
        <f t="shared" si="12"/>
        <v>#REF!</v>
      </c>
    </row>
    <row r="160">
      <c r="A160" t="str">
        <f t="shared" si="13"/>
        <v>#REF!</v>
      </c>
      <c r="B160">
        <f t="shared" si="17"/>
        <v>97</v>
      </c>
      <c r="C160" s="8" t="str">
        <f t="shared" si="14"/>
        <v>#REF!</v>
      </c>
      <c r="D160" s="550" t="str">
        <f t="shared" si="8"/>
        <v>#REF!</v>
      </c>
      <c r="E160" t="str">
        <f t="shared" si="9"/>
        <v>#REF!</v>
      </c>
      <c r="G160" t="str">
        <f t="shared" si="15"/>
        <v>#REF!</v>
      </c>
      <c r="H160">
        <f t="shared" si="18"/>
        <v>97</v>
      </c>
      <c r="I160" s="8" t="str">
        <f t="shared" si="16"/>
        <v>#REF!</v>
      </c>
      <c r="J160" s="550" t="str">
        <f t="shared" si="10"/>
        <v>#REF!</v>
      </c>
      <c r="K160" t="str">
        <f t="shared" si="11"/>
        <v>#REF!</v>
      </c>
      <c r="M160" s="70" t="str">
        <f t="shared" si="12"/>
        <v>#REF!</v>
      </c>
    </row>
    <row r="161">
      <c r="A161" t="str">
        <f t="shared" si="13"/>
        <v>#REF!</v>
      </c>
      <c r="B161">
        <f t="shared" si="17"/>
        <v>98</v>
      </c>
      <c r="C161" s="8" t="str">
        <f t="shared" si="14"/>
        <v>#REF!</v>
      </c>
      <c r="D161" s="550" t="str">
        <f t="shared" si="8"/>
        <v>#REF!</v>
      </c>
      <c r="E161" t="str">
        <f t="shared" si="9"/>
        <v>#REF!</v>
      </c>
      <c r="G161" t="str">
        <f t="shared" si="15"/>
        <v>#REF!</v>
      </c>
      <c r="H161">
        <f t="shared" si="18"/>
        <v>98</v>
      </c>
      <c r="I161" s="8" t="str">
        <f t="shared" si="16"/>
        <v>#REF!</v>
      </c>
      <c r="J161" s="550" t="str">
        <f t="shared" si="10"/>
        <v>#REF!</v>
      </c>
      <c r="K161" t="str">
        <f t="shared" si="11"/>
        <v>#REF!</v>
      </c>
      <c r="M161" s="70" t="str">
        <f t="shared" si="12"/>
        <v>#REF!</v>
      </c>
    </row>
    <row r="162">
      <c r="A162" t="str">
        <f t="shared" si="13"/>
        <v>#REF!</v>
      </c>
      <c r="B162">
        <f t="shared" si="17"/>
        <v>99</v>
      </c>
      <c r="C162" s="8" t="str">
        <f t="shared" si="14"/>
        <v>#REF!</v>
      </c>
      <c r="D162" s="550" t="str">
        <f t="shared" si="8"/>
        <v>#REF!</v>
      </c>
      <c r="E162" t="str">
        <f t="shared" si="9"/>
        <v>#REF!</v>
      </c>
      <c r="G162" t="str">
        <f t="shared" si="15"/>
        <v>#REF!</v>
      </c>
      <c r="H162">
        <f t="shared" si="18"/>
        <v>99</v>
      </c>
      <c r="I162" s="8" t="str">
        <f t="shared" si="16"/>
        <v>#REF!</v>
      </c>
      <c r="J162" s="550" t="str">
        <f t="shared" si="10"/>
        <v>#REF!</v>
      </c>
      <c r="K162" t="str">
        <f t="shared" si="11"/>
        <v>#REF!</v>
      </c>
      <c r="M162" s="70" t="str">
        <f t="shared" si="12"/>
        <v>#REF!</v>
      </c>
    </row>
    <row r="163">
      <c r="A163" t="str">
        <f t="shared" si="13"/>
        <v>#REF!</v>
      </c>
      <c r="B163">
        <f t="shared" si="17"/>
        <v>100</v>
      </c>
      <c r="C163" s="8" t="str">
        <f t="shared" si="14"/>
        <v>#REF!</v>
      </c>
      <c r="D163" s="550" t="str">
        <f t="shared" si="8"/>
        <v>#REF!</v>
      </c>
      <c r="E163" t="str">
        <f t="shared" si="9"/>
        <v>#REF!</v>
      </c>
      <c r="G163" t="str">
        <f t="shared" si="15"/>
        <v>#REF!</v>
      </c>
      <c r="H163">
        <f t="shared" si="18"/>
        <v>100</v>
      </c>
      <c r="I163" s="8" t="str">
        <f t="shared" si="16"/>
        <v>#REF!</v>
      </c>
      <c r="J163" s="550" t="str">
        <f t="shared" si="10"/>
        <v>#REF!</v>
      </c>
      <c r="K163" t="str">
        <f t="shared" si="11"/>
        <v>#REF!</v>
      </c>
      <c r="M163" s="70" t="str">
        <f t="shared" si="12"/>
        <v>#REF!</v>
      </c>
    </row>
    <row r="164">
      <c r="A164" t="str">
        <f t="shared" si="13"/>
        <v>#REF!</v>
      </c>
      <c r="B164">
        <f t="shared" si="17"/>
        <v>101</v>
      </c>
      <c r="C164" s="8" t="str">
        <f t="shared" si="14"/>
        <v>#REF!</v>
      </c>
      <c r="D164" s="550" t="str">
        <f t="shared" si="8"/>
        <v>#REF!</v>
      </c>
      <c r="E164" t="str">
        <f t="shared" si="9"/>
        <v>#REF!</v>
      </c>
      <c r="G164" t="str">
        <f t="shared" si="15"/>
        <v>#REF!</v>
      </c>
      <c r="H164">
        <f t="shared" si="18"/>
        <v>101</v>
      </c>
      <c r="I164" s="8" t="str">
        <f t="shared" si="16"/>
        <v>#REF!</v>
      </c>
      <c r="J164" s="550" t="str">
        <f t="shared" si="10"/>
        <v>#REF!</v>
      </c>
      <c r="K164" t="str">
        <f t="shared" si="11"/>
        <v>#REF!</v>
      </c>
      <c r="M164" s="70" t="str">
        <f t="shared" si="12"/>
        <v>#REF!</v>
      </c>
    </row>
  </sheetData>
  <mergeCells count="16">
    <mergeCell ref="A4:B4"/>
    <mergeCell ref="A2:B2"/>
    <mergeCell ref="E2:F2"/>
    <mergeCell ref="E3:F3"/>
    <mergeCell ref="E4:F4"/>
    <mergeCell ref="E5:F5"/>
    <mergeCell ref="A1:B1"/>
    <mergeCell ref="A7:B7"/>
    <mergeCell ref="A6:B6"/>
    <mergeCell ref="A5:B5"/>
    <mergeCell ref="A42:B42"/>
    <mergeCell ref="A40:B40"/>
    <mergeCell ref="A44:B44"/>
    <mergeCell ref="A38:B38"/>
    <mergeCell ref="A39:B39"/>
    <mergeCell ref="A43:B43"/>
  </mergeCells>
  <conditionalFormatting sqref="J48:J62">
    <cfRule type="colorScale" priority="1">
      <colorScale>
        <cfvo type="min"/>
        <cfvo type="percentile" val="85"/>
        <cfvo type="max"/>
        <color rgb="FFFFFFFF"/>
        <color rgb="FF00B600"/>
        <color rgb="FF00FF00"/>
      </colorScale>
    </cfRule>
  </conditionalFormatting>
  <conditionalFormatting sqref="K48:K62">
    <cfRule type="colorScale" priority="2">
      <colorScale>
        <cfvo type="min"/>
        <cfvo type="percentile" val="95"/>
        <cfvo type="max"/>
        <color rgb="FFFFFFFF"/>
        <color rgb="FF80FF80"/>
        <color rgb="FF00FF00"/>
      </colorScale>
    </cfRule>
  </conditionalFormatting>
  <dataValidations>
    <dataValidation type="decimal" allowBlank="1" showDropDown="1" sqref="C7">
      <formula1>1.0</formula1>
      <formula2>90.0</formula2>
    </dataValidation>
    <dataValidation type="list" allowBlank="1" sqref="C5">
      <formula1>"Completed,Not Completed"</formula1>
    </dataValidation>
    <dataValidation type="list" allowBlank="1" showErrorMessage="1" sqref="C2 C38">
      <formula1>'LS tool'!$A$20:$A$34</formula1>
    </dataValidation>
    <dataValidation type="list" allowBlank="1" sqref="C4 C42:C43">
      <formula1>"Owned,Unowned"</formula1>
    </dataValidation>
    <dataValidation type="list" allowBlank="1" sqref="C6">
      <formula1>"84,104,124"</formula1>
    </dataValidation>
    <dataValidation type="list" allowBlank="1" showErrorMessage="1" sqref="C39">
      <formula1>'LS tool'!$A$20:$A$29</formula1>
    </dataValidation>
  </dataValidations>
  <drawing r:id="rId1"/>
</worksheet>
</file>