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BlessingKC\Desktop\Budget 2022\For Council adoption\Budget Committee\chatbot reports\"/>
    </mc:Choice>
  </mc:AlternateContent>
  <bookViews>
    <workbookView xWindow="0" yWindow="0" windowWidth="19368" windowHeight="9084"/>
  </bookViews>
  <sheets>
    <sheet name="MERGED HEAVY IND" sheetId="1" r:id="rId1"/>
    <sheet name="SUMMARY" sheetId="4" r:id="rId2"/>
    <sheet name="VACANT STANDS HEAVY INDUSTRY" sheetId="6" r:id="rId3"/>
    <sheet name="Sheet1" sheetId="7" r:id="rId4"/>
    <sheet name="Sheet2" sheetId="8" r:id="rId5"/>
  </sheets>
  <definedNames>
    <definedName name="_xlnm.Print_Area" localSheetId="0">'MERGED HEAVY IND'!$A$1:$H$3206</definedName>
    <definedName name="_xlnm.Print_Area" localSheetId="1">SUMMARY!$A$1:$K$602</definedName>
    <definedName name="_xlnm.Print_Area" localSheetId="2">'VACANT STANDS HEAVY INDUSTRY'!$A$1:$I$236</definedName>
    <definedName name="_xlnm.Print_Titles" localSheetId="0">'MERGED HEAVY IND'!$8:$9</definedName>
    <definedName name="_xlnm.Print_Titles" localSheetId="1">SUMMARY!$5:$5</definedName>
    <definedName name="_xlnm.Print_Titles" localSheetId="2">'VACANT STANDS HEAVY INDUSTRY'!$4:$4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14" i="1" l="1"/>
  <c r="I207" i="4"/>
  <c r="H207" i="4"/>
  <c r="N207" i="4"/>
  <c r="F1768" i="1"/>
  <c r="H1768" i="1"/>
  <c r="I275" i="4"/>
  <c r="H275" i="4"/>
  <c r="N275" i="4"/>
  <c r="F1826" i="1"/>
  <c r="H1826" i="1"/>
  <c r="I285" i="4"/>
  <c r="H285" i="4"/>
  <c r="N285" i="4"/>
  <c r="F1848" i="1"/>
  <c r="H1848" i="1"/>
  <c r="I290" i="4"/>
  <c r="H290" i="4"/>
  <c r="N290" i="4"/>
  <c r="D498" i="4"/>
  <c r="D337" i="4"/>
  <c r="D283" i="4"/>
  <c r="D27" i="4"/>
  <c r="J594" i="4"/>
  <c r="D487" i="4"/>
  <c r="F1521" i="1"/>
  <c r="F2367" i="1"/>
  <c r="F1885" i="1"/>
  <c r="F388" i="1"/>
  <c r="I234" i="6"/>
  <c r="I232" i="6"/>
  <c r="I230" i="6"/>
  <c r="I228" i="6"/>
  <c r="I226" i="6"/>
  <c r="I224" i="6"/>
  <c r="I222" i="6"/>
  <c r="I220" i="6"/>
  <c r="I218" i="6"/>
  <c r="I212" i="6"/>
  <c r="I202" i="6"/>
  <c r="I200" i="6"/>
  <c r="I198" i="6"/>
  <c r="I196" i="6"/>
  <c r="I194" i="6"/>
  <c r="I192" i="6"/>
  <c r="I190" i="6"/>
  <c r="I188" i="6"/>
  <c r="I186" i="6"/>
  <c r="I184" i="6"/>
  <c r="I178" i="6"/>
  <c r="I176" i="6"/>
  <c r="I174" i="6"/>
  <c r="I172" i="6"/>
  <c r="I168" i="6"/>
  <c r="I170" i="6"/>
  <c r="I166" i="6"/>
  <c r="I164" i="6"/>
  <c r="I156" i="6"/>
  <c r="I158" i="6"/>
  <c r="I160" i="6"/>
  <c r="I162" i="6"/>
  <c r="I154" i="6"/>
  <c r="I152" i="6"/>
  <c r="I148" i="6"/>
  <c r="I146" i="6"/>
  <c r="I144" i="6"/>
  <c r="I142" i="6"/>
  <c r="I140" i="6"/>
  <c r="I138" i="6"/>
  <c r="I136" i="6"/>
  <c r="I134" i="6"/>
  <c r="I130" i="6"/>
  <c r="I132" i="6"/>
  <c r="I128" i="6"/>
  <c r="I126" i="6"/>
  <c r="I124" i="6"/>
  <c r="I122" i="6"/>
  <c r="I120" i="6"/>
  <c r="I118" i="6"/>
  <c r="I116" i="6"/>
  <c r="I114" i="6"/>
  <c r="I110" i="6"/>
  <c r="I108" i="6"/>
  <c r="I100" i="6"/>
  <c r="I82" i="6"/>
  <c r="I84" i="6"/>
  <c r="I48" i="6"/>
  <c r="I44" i="6"/>
  <c r="I38" i="6"/>
  <c r="I46" i="6"/>
  <c r="I52" i="6"/>
  <c r="I64" i="6"/>
  <c r="I80" i="6"/>
  <c r="I50" i="6"/>
  <c r="I36" i="6"/>
  <c r="I34" i="6"/>
  <c r="I32" i="6"/>
  <c r="I30" i="6"/>
  <c r="I28" i="6"/>
  <c r="I26" i="6"/>
  <c r="I24" i="6"/>
  <c r="I22" i="6"/>
  <c r="I20" i="6"/>
  <c r="I16" i="6"/>
  <c r="I10" i="6"/>
  <c r="I8" i="6"/>
  <c r="F3054" i="1"/>
  <c r="F3035" i="1"/>
  <c r="F3021" i="1"/>
  <c r="F1099" i="1"/>
  <c r="F935" i="1"/>
  <c r="F170" i="1"/>
  <c r="F112" i="1"/>
  <c r="F93" i="1"/>
  <c r="F71" i="1"/>
  <c r="F54" i="1"/>
  <c r="F39" i="1"/>
  <c r="F15" i="1"/>
  <c r="F125" i="1"/>
  <c r="H173" i="4"/>
  <c r="F2912" i="1"/>
  <c r="F2723" i="1"/>
  <c r="F2353" i="1"/>
  <c r="F2326" i="1"/>
  <c r="F2220" i="1"/>
  <c r="F2215" i="1"/>
  <c r="J935" i="1"/>
  <c r="F704" i="1"/>
  <c r="F206" i="1"/>
  <c r="A67" i="4"/>
  <c r="A69" i="4"/>
  <c r="A71" i="4"/>
  <c r="A73" i="4"/>
  <c r="A75" i="4"/>
  <c r="A77" i="4"/>
  <c r="A79" i="4"/>
  <c r="A81" i="4"/>
  <c r="A83" i="4"/>
  <c r="A85" i="4"/>
  <c r="A87" i="4"/>
  <c r="A89" i="4"/>
  <c r="A91" i="4"/>
  <c r="A93" i="4"/>
  <c r="A95" i="4"/>
  <c r="A99" i="4"/>
  <c r="A101" i="4"/>
  <c r="A103" i="4"/>
  <c r="A105" i="4"/>
  <c r="A107" i="4"/>
  <c r="A109" i="4"/>
  <c r="A111" i="4"/>
  <c r="A113" i="4"/>
  <c r="A115" i="4"/>
  <c r="A117" i="4"/>
  <c r="A119" i="4"/>
  <c r="A121" i="4"/>
  <c r="A123" i="4"/>
  <c r="A125" i="4"/>
  <c r="A127" i="4"/>
  <c r="A129" i="4"/>
  <c r="A131" i="4"/>
  <c r="A133" i="4"/>
  <c r="A135" i="4"/>
  <c r="A137" i="4"/>
  <c r="A139" i="4"/>
  <c r="A141" i="4"/>
  <c r="A143" i="4"/>
  <c r="A145" i="4"/>
  <c r="H310" i="4"/>
  <c r="B310" i="4"/>
  <c r="E298" i="4"/>
  <c r="H181" i="4"/>
  <c r="I12" i="6"/>
  <c r="I14" i="6"/>
  <c r="I18" i="6"/>
  <c r="I40" i="6"/>
  <c r="I42" i="6"/>
  <c r="I54" i="6"/>
  <c r="I56" i="6"/>
  <c r="I58" i="6"/>
  <c r="I60" i="6"/>
  <c r="I62" i="6"/>
  <c r="I66" i="6"/>
  <c r="I68" i="6"/>
  <c r="I70" i="6"/>
  <c r="I72" i="6"/>
  <c r="I74" i="6"/>
  <c r="I76" i="6"/>
  <c r="I78" i="6"/>
  <c r="I86" i="6"/>
  <c r="I88" i="6"/>
  <c r="I90" i="6"/>
  <c r="I92" i="6"/>
  <c r="I94" i="6"/>
  <c r="I96" i="6"/>
  <c r="I98" i="6"/>
  <c r="I102" i="6"/>
  <c r="I104" i="6"/>
  <c r="I106" i="6"/>
  <c r="I112" i="6"/>
  <c r="I150" i="6"/>
  <c r="I180" i="6"/>
  <c r="I182" i="6"/>
  <c r="I204" i="6"/>
  <c r="I206" i="6"/>
  <c r="I208" i="6"/>
  <c r="I210" i="6"/>
  <c r="I214" i="6"/>
  <c r="I216" i="6"/>
  <c r="I6" i="6"/>
  <c r="I236" i="6"/>
  <c r="A8" i="6"/>
  <c r="A10" i="6"/>
  <c r="A12" i="6"/>
  <c r="A14" i="6"/>
  <c r="A16" i="6"/>
  <c r="A18" i="6"/>
  <c r="A20" i="6"/>
  <c r="A22" i="6"/>
  <c r="A24" i="6"/>
  <c r="A26" i="6"/>
  <c r="A28" i="6"/>
  <c r="A30" i="6"/>
  <c r="A32" i="6"/>
  <c r="A34" i="6"/>
  <c r="A36" i="6"/>
  <c r="A38" i="6"/>
  <c r="A40" i="6"/>
  <c r="A42" i="6"/>
  <c r="A44" i="6"/>
  <c r="A46" i="6"/>
  <c r="A48" i="6"/>
  <c r="A50" i="6"/>
  <c r="A52" i="6"/>
  <c r="A54" i="6"/>
  <c r="A56" i="6"/>
  <c r="A58" i="6"/>
  <c r="A60" i="6"/>
  <c r="A62" i="6"/>
  <c r="A64" i="6"/>
  <c r="A66" i="6"/>
  <c r="A68" i="6"/>
  <c r="A70" i="6"/>
  <c r="A72" i="6"/>
  <c r="A74" i="6"/>
  <c r="A76" i="6"/>
  <c r="A78" i="6"/>
  <c r="A80" i="6"/>
  <c r="A82" i="6"/>
  <c r="A84" i="6"/>
  <c r="A86" i="6"/>
  <c r="A88" i="6"/>
  <c r="A90" i="6"/>
  <c r="A92" i="6"/>
  <c r="A94" i="6"/>
  <c r="A96" i="6"/>
  <c r="A98" i="6"/>
  <c r="A100" i="6"/>
  <c r="A102" i="6"/>
  <c r="A104" i="6"/>
  <c r="A106" i="6"/>
  <c r="A108" i="6"/>
  <c r="A110" i="6"/>
  <c r="A112" i="6"/>
  <c r="A114" i="6"/>
  <c r="A116" i="6"/>
  <c r="A118" i="6"/>
  <c r="A120" i="6"/>
  <c r="A122" i="6"/>
  <c r="A124" i="6"/>
  <c r="A126" i="6"/>
  <c r="A128" i="6"/>
  <c r="A130" i="6"/>
  <c r="A132" i="6"/>
  <c r="A134" i="6"/>
  <c r="A136" i="6"/>
  <c r="A138" i="6"/>
  <c r="A140" i="6"/>
  <c r="A142" i="6"/>
  <c r="A144" i="6"/>
  <c r="A146" i="6"/>
  <c r="A148" i="6"/>
  <c r="A150" i="6"/>
  <c r="A152" i="6"/>
  <c r="A154" i="6"/>
  <c r="A156" i="6"/>
  <c r="A158" i="6"/>
  <c r="A160" i="6"/>
  <c r="A162" i="6"/>
  <c r="A164" i="6"/>
  <c r="A166" i="6"/>
  <c r="A168" i="6"/>
  <c r="A170" i="6"/>
  <c r="A172" i="6"/>
  <c r="A174" i="6"/>
  <c r="A176" i="6"/>
  <c r="A178" i="6"/>
  <c r="A180" i="6"/>
  <c r="A182" i="6"/>
  <c r="A184" i="6"/>
  <c r="A186" i="6"/>
  <c r="A188" i="6"/>
  <c r="A190" i="6"/>
  <c r="A192" i="6"/>
  <c r="A194" i="6"/>
  <c r="A196" i="6"/>
  <c r="A198" i="6"/>
  <c r="A200" i="6"/>
  <c r="A202" i="6"/>
  <c r="A204" i="6"/>
  <c r="A206" i="6"/>
  <c r="A208" i="6"/>
  <c r="A210" i="6"/>
  <c r="A212" i="6"/>
  <c r="A214" i="6"/>
  <c r="A216" i="6"/>
  <c r="A218" i="6"/>
  <c r="A220" i="6"/>
  <c r="A222" i="6"/>
  <c r="A224" i="6"/>
  <c r="A226" i="6"/>
  <c r="A228" i="6"/>
  <c r="A230" i="6"/>
  <c r="A232" i="6"/>
  <c r="A234" i="6"/>
  <c r="B224" i="6"/>
  <c r="B10" i="6"/>
  <c r="B12" i="6"/>
  <c r="B14" i="6"/>
  <c r="B16" i="6"/>
  <c r="B18" i="6"/>
  <c r="B20" i="6"/>
  <c r="B22" i="6"/>
  <c r="B24" i="6"/>
  <c r="B26" i="6"/>
  <c r="B28" i="6"/>
  <c r="B30" i="6"/>
  <c r="B32" i="6"/>
  <c r="B34" i="6"/>
  <c r="B36" i="6"/>
  <c r="B38" i="6"/>
  <c r="B40" i="6"/>
  <c r="B42" i="6"/>
  <c r="B44" i="6"/>
  <c r="B46" i="6"/>
  <c r="B48" i="6"/>
  <c r="B50" i="6"/>
  <c r="B52" i="6"/>
  <c r="B54" i="6"/>
  <c r="B56" i="6"/>
  <c r="B58" i="6"/>
  <c r="B60" i="6"/>
  <c r="B62" i="6"/>
  <c r="B64" i="6"/>
  <c r="B66" i="6"/>
  <c r="B68" i="6"/>
  <c r="B70" i="6"/>
  <c r="B72" i="6"/>
  <c r="B74" i="6"/>
  <c r="B76" i="6"/>
  <c r="B78" i="6"/>
  <c r="B80" i="6"/>
  <c r="B82" i="6"/>
  <c r="B84" i="6"/>
  <c r="B86" i="6"/>
  <c r="B88" i="6"/>
  <c r="B90" i="6"/>
  <c r="B92" i="6"/>
  <c r="B94" i="6"/>
  <c r="B96" i="6"/>
  <c r="B98" i="6"/>
  <c r="B100" i="6"/>
  <c r="B102" i="6"/>
  <c r="B104" i="6"/>
  <c r="B106" i="6"/>
  <c r="B108" i="6"/>
  <c r="B110" i="6"/>
  <c r="B112" i="6"/>
  <c r="B114" i="6"/>
  <c r="B116" i="6"/>
  <c r="B118" i="6"/>
  <c r="B120" i="6"/>
  <c r="B122" i="6"/>
  <c r="B124" i="6"/>
  <c r="B126" i="6"/>
  <c r="B128" i="6"/>
  <c r="B130" i="6"/>
  <c r="B132" i="6"/>
  <c r="B134" i="6"/>
  <c r="B136" i="6"/>
  <c r="B138" i="6"/>
  <c r="B140" i="6"/>
  <c r="B142" i="6"/>
  <c r="B144" i="6"/>
  <c r="B146" i="6"/>
  <c r="B148" i="6"/>
  <c r="B150" i="6"/>
  <c r="B152" i="6"/>
  <c r="B154" i="6"/>
  <c r="B156" i="6"/>
  <c r="B158" i="6"/>
  <c r="B160" i="6"/>
  <c r="B162" i="6"/>
  <c r="B164" i="6"/>
  <c r="B166" i="6"/>
  <c r="B168" i="6"/>
  <c r="B170" i="6"/>
  <c r="B172" i="6"/>
  <c r="B174" i="6"/>
  <c r="B176" i="6"/>
  <c r="B178" i="6"/>
  <c r="B180" i="6"/>
  <c r="B182" i="6"/>
  <c r="B184" i="6"/>
  <c r="B186" i="6"/>
  <c r="B188" i="6"/>
  <c r="B190" i="6"/>
  <c r="B192" i="6"/>
  <c r="B194" i="6"/>
  <c r="B196" i="6"/>
  <c r="B198" i="6"/>
  <c r="B200" i="6"/>
  <c r="B202" i="6"/>
  <c r="B204" i="6"/>
  <c r="B206" i="6"/>
  <c r="B208" i="6"/>
  <c r="B210" i="6"/>
  <c r="B212" i="6"/>
  <c r="B214" i="6"/>
  <c r="B216" i="6"/>
  <c r="B218" i="6"/>
  <c r="B220" i="6"/>
  <c r="H552" i="4"/>
  <c r="F2897" i="1"/>
  <c r="H524" i="4"/>
  <c r="D524" i="4"/>
  <c r="D522" i="4"/>
  <c r="D518" i="4"/>
  <c r="D500" i="4"/>
  <c r="J487" i="4"/>
  <c r="H487" i="4"/>
  <c r="E487" i="4"/>
  <c r="B487" i="4"/>
  <c r="F2711" i="1"/>
  <c r="H2711" i="1"/>
  <c r="H2712" i="1"/>
  <c r="K487" i="4"/>
  <c r="F2704" i="1"/>
  <c r="H483" i="4"/>
  <c r="D441" i="4"/>
  <c r="D423" i="4"/>
  <c r="D421" i="4"/>
  <c r="D419" i="4"/>
  <c r="D415" i="4"/>
  <c r="H383" i="4"/>
  <c r="D343" i="4"/>
  <c r="H494" i="4"/>
  <c r="D494" i="4"/>
  <c r="H485" i="4"/>
  <c r="F2088" i="1"/>
  <c r="D324" i="4"/>
  <c r="D322" i="4"/>
  <c r="D312" i="4"/>
  <c r="D302" i="4"/>
  <c r="D298" i="4"/>
  <c r="D300" i="4"/>
  <c r="B273" i="4"/>
  <c r="B271" i="4"/>
  <c r="H205" i="4"/>
  <c r="E205" i="4"/>
  <c r="D205" i="4"/>
  <c r="B205" i="4"/>
  <c r="B173" i="4"/>
  <c r="B199" i="4"/>
  <c r="F1154" i="1"/>
  <c r="H1154" i="1"/>
  <c r="H1155" i="1"/>
  <c r="D181" i="4"/>
  <c r="H179" i="4"/>
  <c r="D165" i="4"/>
  <c r="D159" i="4"/>
  <c r="H151" i="4"/>
  <c r="A63" i="4"/>
  <c r="D63" i="4"/>
  <c r="E63" i="4"/>
  <c r="B63" i="4"/>
  <c r="H7" i="4"/>
  <c r="D7" i="4"/>
  <c r="I487" i="4"/>
  <c r="F828" i="1"/>
  <c r="F768" i="1"/>
  <c r="F744" i="1"/>
  <c r="F725" i="1"/>
  <c r="F648" i="1"/>
  <c r="F604" i="1"/>
  <c r="F231" i="1"/>
  <c r="F219" i="1"/>
  <c r="F193" i="1"/>
  <c r="F182" i="1"/>
  <c r="F137" i="1"/>
  <c r="H71" i="1"/>
  <c r="E2886" i="1"/>
  <c r="E2489" i="1"/>
  <c r="D2377" i="1"/>
  <c r="D2378" i="1"/>
  <c r="F2378" i="1"/>
  <c r="H2378" i="1"/>
  <c r="D1755" i="1"/>
  <c r="F1756" i="1"/>
  <c r="H1756" i="1"/>
  <c r="D49" i="1"/>
  <c r="F50" i="1"/>
  <c r="H50" i="1"/>
  <c r="A558" i="4"/>
  <c r="A560" i="4"/>
  <c r="A562" i="4"/>
  <c r="A564" i="4"/>
  <c r="A566" i="4"/>
  <c r="A568" i="4"/>
  <c r="A570" i="4"/>
  <c r="A572" i="4"/>
  <c r="A574" i="4"/>
  <c r="A576" i="4"/>
  <c r="A578" i="4"/>
  <c r="A580" i="4"/>
  <c r="A582" i="4"/>
  <c r="A584" i="4"/>
  <c r="A586" i="4"/>
  <c r="A588" i="4"/>
  <c r="A590" i="4"/>
  <c r="A592" i="4"/>
  <c r="A594" i="4"/>
  <c r="A596" i="4"/>
  <c r="A598" i="4"/>
  <c r="A600" i="4"/>
  <c r="A153" i="4"/>
  <c r="A155" i="4"/>
  <c r="A157" i="4"/>
  <c r="A159" i="4"/>
  <c r="A161" i="4"/>
  <c r="A163" i="4"/>
  <c r="A165" i="4"/>
  <c r="A167" i="4"/>
  <c r="A169" i="4"/>
  <c r="A171" i="4"/>
  <c r="A175" i="4"/>
  <c r="A177" i="4"/>
  <c r="A179" i="4"/>
  <c r="A181" i="4"/>
  <c r="A183" i="4"/>
  <c r="A185" i="4"/>
  <c r="A187" i="4"/>
  <c r="A189" i="4"/>
  <c r="A191" i="4"/>
  <c r="A193" i="4"/>
  <c r="A197" i="4"/>
  <c r="A199" i="4"/>
  <c r="A201" i="4"/>
  <c r="A203" i="4"/>
  <c r="A195" i="4"/>
  <c r="A173" i="4"/>
  <c r="A209" i="4"/>
  <c r="A211" i="4"/>
  <c r="A213" i="4"/>
  <c r="A215" i="4"/>
  <c r="A217" i="4"/>
  <c r="A219" i="4"/>
  <c r="A221" i="4"/>
  <c r="A223" i="4"/>
  <c r="A225" i="4"/>
  <c r="A227" i="4"/>
  <c r="A229" i="4"/>
  <c r="A231" i="4"/>
  <c r="A233" i="4"/>
  <c r="A235" i="4"/>
  <c r="A237" i="4"/>
  <c r="A239" i="4"/>
  <c r="A241" i="4"/>
  <c r="A243" i="4"/>
  <c r="A245" i="4"/>
  <c r="A247" i="4"/>
  <c r="A249" i="4"/>
  <c r="A251" i="4"/>
  <c r="A253" i="4"/>
  <c r="A255" i="4"/>
  <c r="A257" i="4"/>
  <c r="A259" i="4"/>
  <c r="A261" i="4"/>
  <c r="A263" i="4"/>
  <c r="A265" i="4"/>
  <c r="A267" i="4"/>
  <c r="A269" i="4"/>
  <c r="A271" i="4"/>
  <c r="A273" i="4"/>
  <c r="A275" i="4"/>
  <c r="A277" i="4"/>
  <c r="A281" i="4"/>
  <c r="A283" i="4"/>
  <c r="A285" i="4"/>
  <c r="A287" i="4"/>
  <c r="A290" i="4"/>
  <c r="A292" i="4"/>
  <c r="A294" i="4"/>
  <c r="A296" i="4"/>
  <c r="A298" i="4"/>
  <c r="A300" i="4"/>
  <c r="A302" i="4"/>
  <c r="A304" i="4"/>
  <c r="A306" i="4"/>
  <c r="A308" i="4"/>
  <c r="A314" i="4"/>
  <c r="A316" i="4"/>
  <c r="A318" i="4"/>
  <c r="A320" i="4"/>
  <c r="A322" i="4"/>
  <c r="A324" i="4"/>
  <c r="A329" i="4"/>
  <c r="A333" i="4"/>
  <c r="A337" i="4"/>
  <c r="A339" i="4"/>
  <c r="A341" i="4"/>
  <c r="A343" i="4"/>
  <c r="A345" i="4"/>
  <c r="A347" i="4"/>
  <c r="A349" i="4"/>
  <c r="A351" i="4"/>
  <c r="A353" i="4"/>
  <c r="A355" i="4"/>
  <c r="A357" i="4"/>
  <c r="A359" i="4"/>
  <c r="A361" i="4"/>
  <c r="A363" i="4"/>
  <c r="A365" i="4"/>
  <c r="A367" i="4"/>
  <c r="A369" i="4"/>
  <c r="A371" i="4"/>
  <c r="A373" i="4"/>
  <c r="A375" i="4"/>
  <c r="A377" i="4"/>
  <c r="A379" i="4"/>
  <c r="A381" i="4"/>
  <c r="A383" i="4"/>
  <c r="A385" i="4"/>
  <c r="A387" i="4"/>
  <c r="A389" i="4"/>
  <c r="A391" i="4"/>
  <c r="A393" i="4"/>
  <c r="A395" i="4"/>
  <c r="A397" i="4"/>
  <c r="A399" i="4"/>
  <c r="A401" i="4"/>
  <c r="A403" i="4"/>
  <c r="A405" i="4"/>
  <c r="A407" i="4"/>
  <c r="A409" i="4"/>
  <c r="A411" i="4"/>
  <c r="A413" i="4"/>
  <c r="A415" i="4"/>
  <c r="A417" i="4"/>
  <c r="A419" i="4"/>
  <c r="A421" i="4"/>
  <c r="A423" i="4"/>
  <c r="A425" i="4"/>
  <c r="A427" i="4"/>
  <c r="A429" i="4"/>
  <c r="A431" i="4"/>
  <c r="A433" i="4"/>
  <c r="A435" i="4"/>
  <c r="A437" i="4"/>
  <c r="A439" i="4"/>
  <c r="A441" i="4"/>
  <c r="A443" i="4"/>
  <c r="A445" i="4"/>
  <c r="A447" i="4"/>
  <c r="A449" i="4"/>
  <c r="A451" i="4"/>
  <c r="A453" i="4"/>
  <c r="A455" i="4"/>
  <c r="A457" i="4"/>
  <c r="A459" i="4"/>
  <c r="A461" i="4"/>
  <c r="A463" i="4"/>
  <c r="A465" i="4"/>
  <c r="A467" i="4"/>
  <c r="A469" i="4"/>
  <c r="A471" i="4"/>
  <c r="A473" i="4"/>
  <c r="A475" i="4"/>
  <c r="A477" i="4"/>
  <c r="A479" i="4"/>
  <c r="A481" i="4"/>
  <c r="A483" i="4"/>
  <c r="A490" i="4"/>
  <c r="A492" i="4"/>
  <c r="A498" i="4"/>
  <c r="A500" i="4"/>
  <c r="A502" i="4"/>
  <c r="A504" i="4"/>
  <c r="A506" i="4"/>
  <c r="A508" i="4"/>
  <c r="A510" i="4"/>
  <c r="A512" i="4"/>
  <c r="A514" i="4"/>
  <c r="A516" i="4"/>
  <c r="A518" i="4"/>
  <c r="A520" i="4"/>
  <c r="A522" i="4"/>
  <c r="A524" i="4"/>
  <c r="A526" i="4"/>
  <c r="A528" i="4"/>
  <c r="A530" i="4"/>
  <c r="A532" i="4"/>
  <c r="A534" i="4"/>
  <c r="A536" i="4"/>
  <c r="A538" i="4"/>
  <c r="A540" i="4"/>
  <c r="A542" i="4"/>
  <c r="A544" i="4"/>
  <c r="A546" i="4"/>
  <c r="A548" i="4"/>
  <c r="A550" i="4"/>
  <c r="A552" i="4"/>
  <c r="H316" i="4"/>
  <c r="E316" i="4"/>
  <c r="D316" i="4"/>
  <c r="B316" i="4"/>
  <c r="J435" i="4"/>
  <c r="H435" i="4"/>
  <c r="E435" i="4"/>
  <c r="D435" i="4"/>
  <c r="B435" i="4"/>
  <c r="H369" i="4"/>
  <c r="D369" i="4"/>
  <c r="B369" i="4"/>
  <c r="H111" i="4"/>
  <c r="D479" i="4"/>
  <c r="D477" i="4"/>
  <c r="D475" i="4"/>
  <c r="D467" i="4"/>
  <c r="D433" i="4"/>
  <c r="D431" i="4"/>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9" i="4"/>
  <c r="A11" i="4"/>
  <c r="H167" i="4"/>
  <c r="E167" i="4"/>
  <c r="D167" i="4"/>
  <c r="B167" i="4"/>
  <c r="F1064" i="1"/>
  <c r="H1064" i="1"/>
  <c r="H1063" i="1"/>
  <c r="F2695" i="1"/>
  <c r="F2501" i="1"/>
  <c r="F2491" i="1"/>
  <c r="F2470" i="1"/>
  <c r="F2343" i="1"/>
  <c r="F2315" i="1"/>
  <c r="H2315" i="1"/>
  <c r="I385" i="4"/>
  <c r="F2296" i="1"/>
  <c r="F2230" i="1"/>
  <c r="F2229" i="1"/>
  <c r="F2200" i="1"/>
  <c r="F1689" i="1"/>
  <c r="F2149" i="1"/>
  <c r="F2095" i="1"/>
  <c r="H2095" i="1"/>
  <c r="I494" i="4"/>
  <c r="F2047" i="1"/>
  <c r="H2047" i="1"/>
  <c r="F2025" i="1"/>
  <c r="F1996" i="1"/>
  <c r="F1918" i="1"/>
  <c r="F1898" i="1"/>
  <c r="F1890" i="1"/>
  <c r="F1845" i="1"/>
  <c r="H1845" i="1"/>
  <c r="F1441" i="1"/>
  <c r="H1441" i="1"/>
  <c r="F1747" i="1"/>
  <c r="F1703" i="1"/>
  <c r="F1627" i="1"/>
  <c r="F1604" i="1"/>
  <c r="F1569" i="1"/>
  <c r="F1511" i="1"/>
  <c r="F1499" i="1"/>
  <c r="F1204" i="1"/>
  <c r="F1119" i="1"/>
  <c r="F1242" i="1"/>
  <c r="F1057" i="1"/>
  <c r="F1050" i="1"/>
  <c r="F692" i="1"/>
  <c r="F1008" i="1"/>
  <c r="J167" i="4"/>
  <c r="F416" i="1"/>
  <c r="F404" i="1"/>
  <c r="F261" i="1"/>
  <c r="F131" i="1"/>
  <c r="F132" i="1"/>
  <c r="F133" i="1"/>
  <c r="F90" i="1"/>
  <c r="H90" i="1"/>
  <c r="F89" i="1"/>
  <c r="H89" i="1"/>
  <c r="F2539" i="1"/>
  <c r="F2676" i="1"/>
  <c r="F2511" i="1"/>
  <c r="F2459" i="1"/>
  <c r="F2452" i="1"/>
  <c r="F2442" i="1"/>
  <c r="F2436" i="1"/>
  <c r="F2427" i="1"/>
  <c r="F2334" i="1"/>
  <c r="F2285" i="1"/>
  <c r="F2277" i="1"/>
  <c r="F2247" i="1"/>
  <c r="F2179" i="1"/>
  <c r="F2173" i="1"/>
  <c r="F2068" i="1"/>
  <c r="F1926" i="1"/>
  <c r="F1758" i="1"/>
  <c r="F1345" i="1"/>
  <c r="F1294" i="1"/>
  <c r="F1127" i="1"/>
  <c r="F1030" i="1"/>
  <c r="F1656" i="1"/>
  <c r="H600" i="4"/>
  <c r="E600" i="4"/>
  <c r="B600" i="4"/>
  <c r="H598" i="4"/>
  <c r="E598" i="4"/>
  <c r="B598" i="4"/>
  <c r="J596" i="4"/>
  <c r="H596" i="4"/>
  <c r="E596" i="4"/>
  <c r="B596" i="4"/>
  <c r="H594" i="4"/>
  <c r="E594" i="4"/>
  <c r="B594" i="4"/>
  <c r="J592" i="4"/>
  <c r="H592" i="4"/>
  <c r="E592" i="4"/>
  <c r="B592" i="4"/>
  <c r="J590" i="4"/>
  <c r="H590" i="4"/>
  <c r="E590" i="4"/>
  <c r="B590" i="4"/>
  <c r="J588" i="4"/>
  <c r="H588" i="4"/>
  <c r="E588" i="4"/>
  <c r="B588" i="4"/>
  <c r="J586" i="4"/>
  <c r="H586" i="4"/>
  <c r="E586" i="4"/>
  <c r="B586" i="4"/>
  <c r="J584" i="4"/>
  <c r="H584" i="4"/>
  <c r="E584" i="4"/>
  <c r="B584" i="4"/>
  <c r="J582" i="4"/>
  <c r="H582" i="4"/>
  <c r="E582" i="4"/>
  <c r="B582" i="4"/>
  <c r="H580" i="4"/>
  <c r="E580" i="4"/>
  <c r="B580" i="4"/>
  <c r="H578" i="4"/>
  <c r="E578" i="4"/>
  <c r="B578" i="4"/>
  <c r="H576" i="4"/>
  <c r="E576" i="4"/>
  <c r="B576" i="4"/>
  <c r="H574" i="4"/>
  <c r="E574" i="4"/>
  <c r="B574" i="4"/>
  <c r="H572" i="4"/>
  <c r="E572" i="4"/>
  <c r="B572" i="4"/>
  <c r="H570" i="4"/>
  <c r="E570" i="4"/>
  <c r="B570" i="4"/>
  <c r="H568" i="4"/>
  <c r="E568" i="4"/>
  <c r="B568" i="4"/>
  <c r="H566" i="4"/>
  <c r="E566" i="4"/>
  <c r="B566" i="4"/>
  <c r="H564" i="4"/>
  <c r="E564" i="4"/>
  <c r="B564" i="4"/>
  <c r="H562" i="4"/>
  <c r="E562" i="4"/>
  <c r="B562" i="4"/>
  <c r="J560" i="4"/>
  <c r="H560" i="4"/>
  <c r="E560" i="4"/>
  <c r="B560" i="4"/>
  <c r="J558" i="4"/>
  <c r="H558" i="4"/>
  <c r="E558" i="4"/>
  <c r="B558" i="4"/>
  <c r="J556" i="4"/>
  <c r="H556" i="4"/>
  <c r="E556" i="4"/>
  <c r="B556" i="4"/>
  <c r="H171" i="4"/>
  <c r="E171" i="4"/>
  <c r="D171" i="4"/>
  <c r="B171" i="4"/>
  <c r="D552" i="4"/>
  <c r="B552" i="4"/>
  <c r="H550" i="4"/>
  <c r="B550" i="4"/>
  <c r="E550" i="4"/>
  <c r="D550" i="4"/>
  <c r="H548" i="4"/>
  <c r="E548" i="4"/>
  <c r="D548" i="4"/>
  <c r="B548" i="4"/>
  <c r="H546" i="4"/>
  <c r="E546" i="4"/>
  <c r="D546" i="4"/>
  <c r="B546" i="4"/>
  <c r="H544" i="4"/>
  <c r="E544" i="4"/>
  <c r="D544" i="4"/>
  <c r="B544" i="4"/>
  <c r="H542" i="4"/>
  <c r="E542" i="4"/>
  <c r="D542" i="4"/>
  <c r="B542" i="4"/>
  <c r="H540" i="4"/>
  <c r="E540" i="4"/>
  <c r="D540" i="4"/>
  <c r="B540" i="4"/>
  <c r="H538" i="4"/>
  <c r="E538" i="4"/>
  <c r="D538" i="4"/>
  <c r="B538" i="4"/>
  <c r="H536" i="4"/>
  <c r="E536" i="4"/>
  <c r="D536" i="4"/>
  <c r="B536" i="4"/>
  <c r="H534" i="4"/>
  <c r="E534" i="4"/>
  <c r="D534" i="4"/>
  <c r="B534" i="4"/>
  <c r="H532" i="4"/>
  <c r="E532" i="4"/>
  <c r="D532" i="4"/>
  <c r="B532" i="4"/>
  <c r="H530" i="4"/>
  <c r="E530" i="4"/>
  <c r="D530" i="4"/>
  <c r="B530" i="4"/>
  <c r="H528" i="4"/>
  <c r="H526" i="4"/>
  <c r="E528" i="4"/>
  <c r="D528" i="4"/>
  <c r="B528" i="4"/>
  <c r="E526" i="4"/>
  <c r="D526" i="4"/>
  <c r="B526" i="4"/>
  <c r="J441" i="4"/>
  <c r="H441" i="4"/>
  <c r="E441" i="4"/>
  <c r="B441" i="4"/>
  <c r="J524" i="4"/>
  <c r="E524" i="4"/>
  <c r="B524" i="4"/>
  <c r="J522" i="4"/>
  <c r="H522" i="4"/>
  <c r="E522" i="4"/>
  <c r="B522" i="4"/>
  <c r="H520" i="4"/>
  <c r="E520" i="4"/>
  <c r="D520" i="4"/>
  <c r="B520" i="4"/>
  <c r="H518" i="4"/>
  <c r="E518" i="4"/>
  <c r="B518" i="4"/>
  <c r="H516" i="4"/>
  <c r="E516" i="4"/>
  <c r="D516" i="4"/>
  <c r="B516" i="4"/>
  <c r="J514" i="4"/>
  <c r="H514" i="4"/>
  <c r="D510" i="4"/>
  <c r="E514" i="4"/>
  <c r="D514" i="4"/>
  <c r="B514" i="4"/>
  <c r="H512" i="4"/>
  <c r="E512" i="4"/>
  <c r="D512" i="4"/>
  <c r="B512" i="4"/>
  <c r="J510" i="4"/>
  <c r="H510" i="4"/>
  <c r="E510" i="4"/>
  <c r="B510" i="4"/>
  <c r="J508" i="4"/>
  <c r="H508" i="4"/>
  <c r="E508" i="4"/>
  <c r="D508" i="4"/>
  <c r="B508" i="4"/>
  <c r="J506" i="4"/>
  <c r="H506" i="4"/>
  <c r="E506" i="4"/>
  <c r="D506" i="4"/>
  <c r="B506" i="4"/>
  <c r="H504" i="4"/>
  <c r="E504" i="4"/>
  <c r="D504" i="4"/>
  <c r="B504" i="4"/>
  <c r="J502" i="4"/>
  <c r="H502" i="4"/>
  <c r="E502" i="4"/>
  <c r="D502" i="4"/>
  <c r="B502" i="4"/>
  <c r="H500" i="4"/>
  <c r="J500" i="4"/>
  <c r="E500" i="4"/>
  <c r="B500" i="4"/>
  <c r="J498" i="4"/>
  <c r="H498" i="4"/>
  <c r="E498" i="4"/>
  <c r="B498" i="4"/>
  <c r="H496" i="4"/>
  <c r="E496" i="4"/>
  <c r="D496" i="4"/>
  <c r="B496" i="4"/>
  <c r="H492" i="4"/>
  <c r="E492" i="4"/>
  <c r="D492" i="4"/>
  <c r="B492" i="4"/>
  <c r="H490" i="4"/>
  <c r="E490" i="4"/>
  <c r="D490" i="4"/>
  <c r="B490" i="4"/>
  <c r="H488" i="4"/>
  <c r="E488" i="4"/>
  <c r="B488" i="4"/>
  <c r="E483" i="4"/>
  <c r="D483" i="4"/>
  <c r="B483" i="4"/>
  <c r="J469" i="4"/>
  <c r="H469" i="4"/>
  <c r="E469" i="4"/>
  <c r="D469" i="4"/>
  <c r="B469" i="4"/>
  <c r="H481" i="4"/>
  <c r="E481" i="4"/>
  <c r="D481" i="4"/>
  <c r="B481" i="4"/>
  <c r="H479" i="4"/>
  <c r="E479" i="4"/>
  <c r="B479" i="4"/>
  <c r="J477" i="4"/>
  <c r="H477" i="4"/>
  <c r="E477" i="4"/>
  <c r="B477" i="4"/>
  <c r="H475" i="4"/>
  <c r="E475" i="4"/>
  <c r="B475" i="4"/>
  <c r="H473" i="4"/>
  <c r="E473" i="4"/>
  <c r="D473" i="4"/>
  <c r="B473" i="4"/>
  <c r="H471" i="4"/>
  <c r="E471" i="4"/>
  <c r="D471" i="4"/>
  <c r="B471" i="4"/>
  <c r="J467" i="4"/>
  <c r="H467" i="4"/>
  <c r="E467" i="4"/>
  <c r="B467" i="4"/>
  <c r="H465" i="4"/>
  <c r="D465" i="4"/>
  <c r="B465" i="4"/>
  <c r="H463" i="4"/>
  <c r="D463" i="4"/>
  <c r="B463" i="4"/>
  <c r="H461" i="4"/>
  <c r="D461" i="4"/>
  <c r="B461" i="4"/>
  <c r="H459" i="4"/>
  <c r="D459" i="4"/>
  <c r="B459" i="4"/>
  <c r="H455" i="4"/>
  <c r="D455" i="4"/>
  <c r="B455" i="4"/>
  <c r="H453" i="4"/>
  <c r="E453" i="4"/>
  <c r="D453" i="4"/>
  <c r="B453" i="4"/>
  <c r="H451" i="4"/>
  <c r="E451" i="4"/>
  <c r="D451" i="4"/>
  <c r="B451" i="4"/>
  <c r="H449" i="4"/>
  <c r="E449" i="4"/>
  <c r="D449" i="4"/>
  <c r="B449" i="4"/>
  <c r="H447" i="4"/>
  <c r="E447" i="4"/>
  <c r="D447" i="4"/>
  <c r="B447" i="4"/>
  <c r="H445" i="4"/>
  <c r="E445" i="4"/>
  <c r="D445" i="4"/>
  <c r="B445" i="4"/>
  <c r="H443" i="4"/>
  <c r="E443" i="4"/>
  <c r="D443" i="4"/>
  <c r="B443" i="4"/>
  <c r="H439" i="4"/>
  <c r="E439" i="4"/>
  <c r="D439" i="4"/>
  <c r="B439" i="4"/>
  <c r="J437" i="4"/>
  <c r="H437" i="4"/>
  <c r="E437" i="4"/>
  <c r="D437" i="4"/>
  <c r="B437" i="4"/>
  <c r="H433" i="4"/>
  <c r="E433" i="4"/>
  <c r="B433" i="4"/>
  <c r="H431" i="4"/>
  <c r="E431" i="4"/>
  <c r="B431" i="4"/>
  <c r="H429" i="4"/>
  <c r="D429" i="4"/>
  <c r="B429" i="4"/>
  <c r="H427" i="4"/>
  <c r="E427" i="4"/>
  <c r="D427" i="4"/>
  <c r="B427" i="4"/>
  <c r="H425" i="4"/>
  <c r="E425" i="4"/>
  <c r="D425" i="4"/>
  <c r="B425" i="4"/>
  <c r="J423" i="4"/>
  <c r="H423" i="4"/>
  <c r="E423" i="4"/>
  <c r="B423" i="4"/>
  <c r="H421" i="4"/>
  <c r="E421" i="4"/>
  <c r="B421" i="4"/>
  <c r="H419" i="4"/>
  <c r="E419" i="4"/>
  <c r="B419" i="4"/>
  <c r="H415" i="4"/>
  <c r="H417" i="4"/>
  <c r="E415" i="4"/>
  <c r="D417" i="4"/>
  <c r="B417" i="4"/>
  <c r="B415" i="4"/>
  <c r="H413" i="4"/>
  <c r="E413" i="4"/>
  <c r="D413" i="4"/>
  <c r="B413" i="4"/>
  <c r="H411" i="4"/>
  <c r="E411" i="4"/>
  <c r="D411" i="4"/>
  <c r="B411" i="4"/>
  <c r="H409" i="4"/>
  <c r="E409" i="4"/>
  <c r="D409" i="4"/>
  <c r="B409" i="4"/>
  <c r="H407" i="4"/>
  <c r="E407" i="4"/>
  <c r="D407" i="4"/>
  <c r="B407" i="4"/>
  <c r="H405" i="4"/>
  <c r="E405" i="4"/>
  <c r="D405" i="4"/>
  <c r="H403" i="4"/>
  <c r="E403" i="4"/>
  <c r="D403" i="4"/>
  <c r="H401" i="4"/>
  <c r="E401" i="4"/>
  <c r="D401" i="4"/>
  <c r="B401" i="4"/>
  <c r="H399" i="4"/>
  <c r="E399" i="4"/>
  <c r="D399" i="4"/>
  <c r="B399" i="4"/>
  <c r="H397" i="4"/>
  <c r="E397" i="4"/>
  <c r="D397" i="4"/>
  <c r="B397" i="4"/>
  <c r="H395" i="4"/>
  <c r="E395" i="4"/>
  <c r="D395" i="4"/>
  <c r="B395" i="4"/>
  <c r="H393" i="4"/>
  <c r="E393" i="4"/>
  <c r="D393" i="4"/>
  <c r="B393" i="4"/>
  <c r="H389" i="4"/>
  <c r="E389" i="4"/>
  <c r="D389" i="4"/>
  <c r="B389" i="4"/>
  <c r="H391" i="4"/>
  <c r="E391" i="4"/>
  <c r="D391" i="4"/>
  <c r="B391" i="4"/>
  <c r="H387" i="4"/>
  <c r="E387" i="4"/>
  <c r="D387" i="4"/>
  <c r="B387" i="4"/>
  <c r="H385" i="4"/>
  <c r="D385" i="4"/>
  <c r="E385" i="4"/>
  <c r="B385" i="4"/>
  <c r="D383" i="4"/>
  <c r="B383" i="4"/>
  <c r="H381" i="4"/>
  <c r="D381" i="4"/>
  <c r="B381" i="4"/>
  <c r="H379" i="4"/>
  <c r="D379" i="4"/>
  <c r="B379" i="4"/>
  <c r="H377" i="4"/>
  <c r="E377" i="4"/>
  <c r="D377" i="4"/>
  <c r="B377" i="4"/>
  <c r="H375" i="4"/>
  <c r="D375" i="4"/>
  <c r="B375" i="4"/>
  <c r="H373" i="4"/>
  <c r="D373" i="4"/>
  <c r="B373" i="4"/>
  <c r="H371" i="4"/>
  <c r="D371" i="4"/>
  <c r="B371" i="4"/>
  <c r="H367" i="4"/>
  <c r="D367" i="4"/>
  <c r="B367" i="4"/>
  <c r="H365" i="4"/>
  <c r="D365" i="4"/>
  <c r="B365" i="4"/>
  <c r="J363" i="4"/>
  <c r="E363" i="4"/>
  <c r="D363" i="4"/>
  <c r="B363" i="4"/>
  <c r="H361" i="4"/>
  <c r="E361" i="4"/>
  <c r="D361" i="4"/>
  <c r="B361" i="4"/>
  <c r="H359" i="4"/>
  <c r="E359" i="4"/>
  <c r="D359" i="4"/>
  <c r="B359" i="4"/>
  <c r="H357" i="4"/>
  <c r="E357" i="4"/>
  <c r="D357" i="4"/>
  <c r="B357" i="4"/>
  <c r="H355" i="4"/>
  <c r="E355" i="4"/>
  <c r="D355" i="4"/>
  <c r="B355" i="4"/>
  <c r="H353" i="4"/>
  <c r="E353" i="4"/>
  <c r="D353" i="4"/>
  <c r="B353" i="4"/>
  <c r="H351" i="4"/>
  <c r="E351" i="4"/>
  <c r="D351" i="4"/>
  <c r="B351" i="4"/>
  <c r="H349" i="4"/>
  <c r="E349" i="4"/>
  <c r="D349" i="4"/>
  <c r="B349" i="4"/>
  <c r="H347" i="4"/>
  <c r="E347" i="4"/>
  <c r="D347" i="4"/>
  <c r="B347" i="4"/>
  <c r="H261" i="4"/>
  <c r="E261" i="4"/>
  <c r="D261" i="4"/>
  <c r="B261" i="4"/>
  <c r="H345" i="4"/>
  <c r="E345" i="4"/>
  <c r="D345" i="4"/>
  <c r="B345" i="4"/>
  <c r="H343" i="4"/>
  <c r="E343" i="4"/>
  <c r="B343" i="4"/>
  <c r="H341" i="4"/>
  <c r="E341" i="4"/>
  <c r="D341" i="4"/>
  <c r="B341" i="4"/>
  <c r="H339" i="4"/>
  <c r="E339" i="4"/>
  <c r="D339" i="4"/>
  <c r="B339" i="4"/>
  <c r="H337" i="4"/>
  <c r="E337" i="4"/>
  <c r="B337" i="4"/>
  <c r="H335" i="4"/>
  <c r="E335" i="4"/>
  <c r="D335" i="4"/>
  <c r="B335" i="4"/>
  <c r="E494" i="4"/>
  <c r="B494" i="4"/>
  <c r="E485" i="4"/>
  <c r="D485" i="4"/>
  <c r="B485" i="4"/>
  <c r="H333" i="4"/>
  <c r="E333" i="4"/>
  <c r="D333" i="4"/>
  <c r="B333" i="4"/>
  <c r="H331" i="4"/>
  <c r="E331" i="4"/>
  <c r="D331" i="4"/>
  <c r="B331" i="4"/>
  <c r="H329" i="4"/>
  <c r="E329" i="4"/>
  <c r="D329" i="4"/>
  <c r="B329" i="4"/>
  <c r="H327" i="4"/>
  <c r="E327" i="4"/>
  <c r="D327" i="4"/>
  <c r="B327" i="4"/>
  <c r="E310" i="4"/>
  <c r="D310" i="4"/>
  <c r="H324" i="4"/>
  <c r="E324" i="4"/>
  <c r="B324" i="4"/>
  <c r="H322" i="4"/>
  <c r="E322" i="4"/>
  <c r="B322" i="4"/>
  <c r="H320" i="4"/>
  <c r="E320" i="4"/>
  <c r="D320" i="4"/>
  <c r="B320" i="4"/>
  <c r="H318" i="4"/>
  <c r="E318" i="4"/>
  <c r="D318" i="4"/>
  <c r="B318" i="4"/>
  <c r="H314" i="4"/>
  <c r="E314" i="4"/>
  <c r="D314" i="4"/>
  <c r="B314" i="4"/>
  <c r="H312" i="4"/>
  <c r="E312" i="4"/>
  <c r="B312" i="4"/>
  <c r="F1567" i="1"/>
  <c r="H1567" i="1"/>
  <c r="F1566" i="1"/>
  <c r="H1566" i="1"/>
  <c r="F1564" i="1"/>
  <c r="H1564" i="1"/>
  <c r="F1563" i="1"/>
  <c r="H1563" i="1"/>
  <c r="F1562" i="1"/>
  <c r="H1562" i="1"/>
  <c r="F1561" i="1"/>
  <c r="H1561" i="1"/>
  <c r="F1565" i="1"/>
  <c r="H1565" i="1"/>
  <c r="F1560" i="1"/>
  <c r="H1560" i="1"/>
  <c r="F1559" i="1"/>
  <c r="H1559" i="1"/>
  <c r="F1558" i="1"/>
  <c r="H1558" i="1"/>
  <c r="F1556" i="1"/>
  <c r="H1556" i="1"/>
  <c r="F1097" i="1"/>
  <c r="H1097" i="1"/>
  <c r="F1087" i="1"/>
  <c r="H1087" i="1"/>
  <c r="F2969" i="1"/>
  <c r="H2969" i="1"/>
  <c r="F2968" i="1"/>
  <c r="H2968" i="1"/>
  <c r="F2967" i="1"/>
  <c r="H2967" i="1"/>
  <c r="D2965" i="1"/>
  <c r="F2965" i="1"/>
  <c r="H2965" i="1"/>
  <c r="F2964" i="1"/>
  <c r="H2964" i="1"/>
  <c r="F2962" i="1"/>
  <c r="H2962" i="1"/>
  <c r="F2963" i="1"/>
  <c r="H2963" i="1"/>
  <c r="F2961" i="1"/>
  <c r="H2961" i="1"/>
  <c r="F2960" i="1"/>
  <c r="H2960" i="1"/>
  <c r="F2959" i="1"/>
  <c r="H2959" i="1"/>
  <c r="H308" i="4"/>
  <c r="E308" i="4"/>
  <c r="D308" i="4"/>
  <c r="B308" i="4"/>
  <c r="H306" i="4"/>
  <c r="E306" i="4"/>
  <c r="D306" i="4"/>
  <c r="B306" i="4"/>
  <c r="H304" i="4"/>
  <c r="E304" i="4"/>
  <c r="D304" i="4"/>
  <c r="B304" i="4"/>
  <c r="H302" i="4"/>
  <c r="E302" i="4"/>
  <c r="B302" i="4"/>
  <c r="H300" i="4"/>
  <c r="E300" i="4"/>
  <c r="B300" i="4"/>
  <c r="J298" i="4"/>
  <c r="H298" i="4"/>
  <c r="B298" i="4"/>
  <c r="D296" i="4"/>
  <c r="B296" i="4"/>
  <c r="H294" i="4"/>
  <c r="E294" i="4"/>
  <c r="D294" i="4"/>
  <c r="B294" i="4"/>
  <c r="H292" i="4"/>
  <c r="E292" i="4"/>
  <c r="D292" i="4"/>
  <c r="B292" i="4"/>
  <c r="E290" i="4"/>
  <c r="D290" i="4"/>
  <c r="B290" i="4"/>
  <c r="E285" i="4"/>
  <c r="D285" i="4"/>
  <c r="B285" i="4"/>
  <c r="H283" i="4"/>
  <c r="E283" i="4"/>
  <c r="B283" i="4"/>
  <c r="E275" i="4"/>
  <c r="D275" i="4"/>
  <c r="B275" i="4"/>
  <c r="H273" i="4"/>
  <c r="E273" i="4"/>
  <c r="D273" i="4"/>
  <c r="H281" i="4"/>
  <c r="E281" i="4"/>
  <c r="D281" i="4"/>
  <c r="B281" i="4"/>
  <c r="H277" i="4"/>
  <c r="E277" i="4"/>
  <c r="D277" i="4"/>
  <c r="B277" i="4"/>
  <c r="H271" i="4"/>
  <c r="E271" i="4"/>
  <c r="D271" i="4"/>
  <c r="H269" i="4"/>
  <c r="E269" i="4"/>
  <c r="D269" i="4"/>
  <c r="B269" i="4"/>
  <c r="H267" i="4"/>
  <c r="E267" i="4"/>
  <c r="D267" i="4"/>
  <c r="B267" i="4"/>
  <c r="H265" i="4"/>
  <c r="E265" i="4"/>
  <c r="D265" i="4"/>
  <c r="B265" i="4"/>
  <c r="H263" i="4"/>
  <c r="E263" i="4"/>
  <c r="D263" i="4"/>
  <c r="B263" i="4"/>
  <c r="H259" i="4"/>
  <c r="E259" i="4"/>
  <c r="D259" i="4"/>
  <c r="B259" i="4"/>
  <c r="H255" i="4"/>
  <c r="E255" i="4"/>
  <c r="D255" i="4"/>
  <c r="B255" i="4"/>
  <c r="H253" i="4"/>
  <c r="E253" i="4"/>
  <c r="D253" i="4"/>
  <c r="B253" i="4"/>
  <c r="H251" i="4"/>
  <c r="E251" i="4"/>
  <c r="D251" i="4"/>
  <c r="B251" i="4"/>
  <c r="H249" i="4"/>
  <c r="E249" i="4"/>
  <c r="D249" i="4"/>
  <c r="B249" i="4"/>
  <c r="H247" i="4"/>
  <c r="E247" i="4"/>
  <c r="D247" i="4"/>
  <c r="B247" i="4"/>
  <c r="H245" i="4"/>
  <c r="E245" i="4"/>
  <c r="D245" i="4"/>
  <c r="B245" i="4"/>
  <c r="H243" i="4"/>
  <c r="E243" i="4"/>
  <c r="D243" i="4"/>
  <c r="B243" i="4"/>
  <c r="H241" i="4"/>
  <c r="E241" i="4"/>
  <c r="D241" i="4"/>
  <c r="B241" i="4"/>
  <c r="H239" i="4"/>
  <c r="E239" i="4"/>
  <c r="D239" i="4"/>
  <c r="H237" i="4"/>
  <c r="E237" i="4"/>
  <c r="D237" i="4"/>
  <c r="B237" i="4"/>
  <c r="H235" i="4"/>
  <c r="E235" i="4"/>
  <c r="D235" i="4"/>
  <c r="B235" i="4"/>
  <c r="H233" i="4"/>
  <c r="E233" i="4"/>
  <c r="D233" i="4"/>
  <c r="B233" i="4"/>
  <c r="H231" i="4"/>
  <c r="E231" i="4"/>
  <c r="D231" i="4"/>
  <c r="B231" i="4"/>
  <c r="H229" i="4"/>
  <c r="E229" i="4"/>
  <c r="D229" i="4"/>
  <c r="B229" i="4"/>
  <c r="H227" i="4"/>
  <c r="E227" i="4"/>
  <c r="D227" i="4"/>
  <c r="B227" i="4"/>
  <c r="H225" i="4"/>
  <c r="E225" i="4"/>
  <c r="D225" i="4"/>
  <c r="B225" i="4"/>
  <c r="H223" i="4"/>
  <c r="E223" i="4"/>
  <c r="D223" i="4"/>
  <c r="B223" i="4"/>
  <c r="H221" i="4"/>
  <c r="E221" i="4"/>
  <c r="D221" i="4"/>
  <c r="B221" i="4"/>
  <c r="F1379" i="1"/>
  <c r="H219" i="4"/>
  <c r="E219" i="4"/>
  <c r="D219" i="4"/>
  <c r="B219" i="4"/>
  <c r="H217" i="4"/>
  <c r="E217" i="4"/>
  <c r="D217" i="4"/>
  <c r="B217" i="4"/>
  <c r="H215" i="4"/>
  <c r="E215" i="4"/>
  <c r="D215" i="4"/>
  <c r="B215" i="4"/>
  <c r="H213" i="4"/>
  <c r="E213" i="4"/>
  <c r="D213" i="4"/>
  <c r="B213" i="4"/>
  <c r="H211" i="4"/>
  <c r="E211" i="4"/>
  <c r="D211" i="4"/>
  <c r="B211" i="4"/>
  <c r="J209" i="4"/>
  <c r="H209" i="4"/>
  <c r="E209" i="4"/>
  <c r="D209" i="4"/>
  <c r="B209" i="4"/>
  <c r="E207" i="4"/>
  <c r="D207" i="4"/>
  <c r="B207" i="4"/>
  <c r="E173" i="4"/>
  <c r="D173" i="4"/>
  <c r="H203" i="4"/>
  <c r="E203" i="4"/>
  <c r="D203" i="4"/>
  <c r="B203" i="4"/>
  <c r="H201" i="4"/>
  <c r="E201" i="4"/>
  <c r="D201" i="4"/>
  <c r="B201" i="4"/>
  <c r="H199" i="4"/>
  <c r="E199" i="4"/>
  <c r="D199" i="4"/>
  <c r="H193" i="4"/>
  <c r="E193" i="4"/>
  <c r="D193" i="4"/>
  <c r="B193" i="4"/>
  <c r="H189" i="4"/>
  <c r="E189" i="4"/>
  <c r="D189" i="4"/>
  <c r="B189" i="4"/>
  <c r="H185" i="4"/>
  <c r="E185" i="4"/>
  <c r="D185" i="4"/>
  <c r="B185" i="4"/>
  <c r="H195" i="4"/>
  <c r="E195" i="4"/>
  <c r="D195" i="4"/>
  <c r="H197" i="4"/>
  <c r="E197" i="4"/>
  <c r="D197" i="4"/>
  <c r="B197" i="4"/>
  <c r="H191" i="4"/>
  <c r="E191" i="4"/>
  <c r="D191" i="4"/>
  <c r="B191" i="4"/>
  <c r="H187" i="4"/>
  <c r="E187" i="4"/>
  <c r="D187" i="4"/>
  <c r="B187" i="4"/>
  <c r="H183" i="4"/>
  <c r="E183" i="4"/>
  <c r="D183" i="4"/>
  <c r="B183" i="4"/>
  <c r="K181" i="4"/>
  <c r="J181" i="4"/>
  <c r="I181" i="4"/>
  <c r="E181" i="4"/>
  <c r="B181" i="4"/>
  <c r="E179" i="4"/>
  <c r="D179" i="4"/>
  <c r="H177" i="4"/>
  <c r="E177" i="4"/>
  <c r="D177" i="4"/>
  <c r="B177" i="4"/>
  <c r="H175" i="4"/>
  <c r="E175" i="4"/>
  <c r="D175" i="4"/>
  <c r="B175" i="4"/>
  <c r="H169" i="4"/>
  <c r="E169" i="4"/>
  <c r="D169" i="4"/>
  <c r="B169" i="4"/>
  <c r="H165" i="4"/>
  <c r="E165" i="4"/>
  <c r="B165" i="4"/>
  <c r="H163" i="4"/>
  <c r="E163" i="4"/>
  <c r="D163" i="4"/>
  <c r="B163" i="4"/>
  <c r="F1015" i="1"/>
  <c r="H159" i="4"/>
  <c r="E159" i="4"/>
  <c r="B159" i="4"/>
  <c r="H135" i="4"/>
  <c r="E135" i="4"/>
  <c r="D135" i="4"/>
  <c r="B135" i="4"/>
  <c r="H161" i="4"/>
  <c r="E161" i="4"/>
  <c r="D161" i="4"/>
  <c r="B161" i="4"/>
  <c r="H133" i="4"/>
  <c r="E133" i="4"/>
  <c r="D133" i="4"/>
  <c r="B133" i="4"/>
  <c r="H109" i="4"/>
  <c r="E109" i="4"/>
  <c r="D109" i="4"/>
  <c r="B109" i="4"/>
  <c r="H107" i="4"/>
  <c r="E107" i="4"/>
  <c r="D107" i="4"/>
  <c r="B107" i="4"/>
  <c r="H457" i="4"/>
  <c r="E457" i="4"/>
  <c r="D457" i="4"/>
  <c r="B457" i="4"/>
  <c r="E157" i="4"/>
  <c r="D157" i="4"/>
  <c r="B157" i="4"/>
  <c r="H155" i="4"/>
  <c r="E155" i="4"/>
  <c r="D155" i="4"/>
  <c r="B155" i="4"/>
  <c r="H153" i="4"/>
  <c r="E153" i="4"/>
  <c r="D153" i="4"/>
  <c r="B153" i="4"/>
  <c r="E151" i="4"/>
  <c r="D151" i="4"/>
  <c r="B151" i="4"/>
  <c r="H287" i="4"/>
  <c r="E287" i="4"/>
  <c r="B287" i="4"/>
  <c r="D287" i="4"/>
  <c r="H139" i="4"/>
  <c r="E139" i="4"/>
  <c r="D139" i="4"/>
  <c r="B139" i="4"/>
  <c r="H145" i="4"/>
  <c r="E145" i="4"/>
  <c r="D145" i="4"/>
  <c r="H143" i="4"/>
  <c r="E143" i="4"/>
  <c r="D143" i="4"/>
  <c r="B143" i="4"/>
  <c r="H257" i="4"/>
  <c r="E257" i="4"/>
  <c r="D257" i="4"/>
  <c r="B257" i="4"/>
  <c r="H141" i="4"/>
  <c r="E141" i="4"/>
  <c r="D141" i="4"/>
  <c r="B141" i="4"/>
  <c r="H137" i="4"/>
  <c r="E137" i="4"/>
  <c r="D137" i="4"/>
  <c r="B137" i="4"/>
  <c r="H131" i="4"/>
  <c r="E131" i="4"/>
  <c r="D131" i="4"/>
  <c r="B131" i="4"/>
  <c r="H129" i="4"/>
  <c r="E129" i="4"/>
  <c r="D129" i="4"/>
  <c r="H127" i="4"/>
  <c r="E127" i="4"/>
  <c r="D127" i="4"/>
  <c r="B127" i="4"/>
  <c r="H125" i="4"/>
  <c r="E125" i="4"/>
  <c r="D125" i="4"/>
  <c r="B125" i="4"/>
  <c r="H123" i="4"/>
  <c r="E123" i="4"/>
  <c r="D123" i="4"/>
  <c r="B123" i="4"/>
  <c r="H121" i="4"/>
  <c r="E121" i="4"/>
  <c r="D121" i="4"/>
  <c r="B121" i="4"/>
  <c r="H119" i="4"/>
  <c r="E119" i="4"/>
  <c r="D119" i="4"/>
  <c r="B119" i="4"/>
  <c r="H117" i="4"/>
  <c r="E117" i="4"/>
  <c r="D117" i="4"/>
  <c r="B117" i="4"/>
  <c r="H115" i="4"/>
  <c r="E115" i="4"/>
  <c r="D115" i="4"/>
  <c r="B115" i="4"/>
  <c r="H113" i="4"/>
  <c r="E113" i="4"/>
  <c r="D113" i="4"/>
  <c r="B113" i="4"/>
  <c r="E111" i="4"/>
  <c r="D111" i="4"/>
  <c r="B111" i="4"/>
  <c r="E105" i="4"/>
  <c r="D105" i="4"/>
  <c r="B105" i="4"/>
  <c r="H103" i="4"/>
  <c r="E103" i="4"/>
  <c r="D103" i="4"/>
  <c r="B103" i="4"/>
  <c r="H101" i="4"/>
  <c r="E101" i="4"/>
  <c r="D101" i="4"/>
  <c r="H99" i="4"/>
  <c r="E99" i="4"/>
  <c r="D99" i="4"/>
  <c r="E95" i="4"/>
  <c r="D95" i="4"/>
  <c r="B95" i="4"/>
  <c r="H93" i="4"/>
  <c r="E93" i="4"/>
  <c r="D93" i="4"/>
  <c r="B93" i="4"/>
  <c r="H91" i="4"/>
  <c r="E91" i="4"/>
  <c r="D91" i="4"/>
  <c r="B91" i="4"/>
  <c r="H89" i="4"/>
  <c r="E89" i="4"/>
  <c r="D89" i="4"/>
  <c r="B89" i="4"/>
  <c r="H87" i="4"/>
  <c r="E87" i="4"/>
  <c r="D87" i="4"/>
  <c r="B87" i="4"/>
  <c r="H85" i="4"/>
  <c r="E85" i="4"/>
  <c r="D85" i="4"/>
  <c r="B85" i="4"/>
  <c r="H83" i="4"/>
  <c r="E83" i="4"/>
  <c r="D83" i="4"/>
  <c r="B83" i="4"/>
  <c r="H81" i="4"/>
  <c r="E81" i="4"/>
  <c r="D81" i="4"/>
  <c r="B81" i="4"/>
  <c r="H79" i="4"/>
  <c r="E79" i="4"/>
  <c r="D79" i="4"/>
  <c r="B79" i="4"/>
  <c r="H77" i="4"/>
  <c r="E77" i="4"/>
  <c r="D77" i="4"/>
  <c r="B77" i="4"/>
  <c r="H75" i="4"/>
  <c r="E75" i="4"/>
  <c r="D75" i="4"/>
  <c r="B75" i="4"/>
  <c r="H73" i="4"/>
  <c r="E73" i="4"/>
  <c r="D73" i="4"/>
  <c r="B73" i="4"/>
  <c r="H71" i="4"/>
  <c r="E71" i="4"/>
  <c r="D71" i="4"/>
  <c r="B71" i="4"/>
  <c r="H69" i="4"/>
  <c r="E69" i="4"/>
  <c r="D69" i="4"/>
  <c r="B69" i="4"/>
  <c r="H67" i="4"/>
  <c r="E67" i="4"/>
  <c r="D67" i="4"/>
  <c r="B67" i="4"/>
  <c r="H65" i="4"/>
  <c r="E65" i="4"/>
  <c r="D65" i="4"/>
  <c r="B65" i="4"/>
  <c r="H63" i="4"/>
  <c r="H61" i="4"/>
  <c r="E61" i="4"/>
  <c r="D61" i="4"/>
  <c r="B61" i="4"/>
  <c r="H59" i="4"/>
  <c r="E59" i="4"/>
  <c r="D59" i="4"/>
  <c r="B59" i="4"/>
  <c r="E57" i="4"/>
  <c r="D57" i="4"/>
  <c r="B57" i="4"/>
  <c r="H55" i="4"/>
  <c r="E55" i="4"/>
  <c r="D55" i="4"/>
  <c r="B55" i="4"/>
  <c r="H53" i="4"/>
  <c r="E53" i="4"/>
  <c r="D53" i="4"/>
  <c r="B53" i="4"/>
  <c r="H51" i="4"/>
  <c r="E51" i="4"/>
  <c r="D51" i="4"/>
  <c r="B51" i="4"/>
  <c r="H49" i="4"/>
  <c r="E49" i="4"/>
  <c r="D49" i="4"/>
  <c r="B49" i="4"/>
  <c r="H47" i="4"/>
  <c r="E47" i="4"/>
  <c r="D47" i="4"/>
  <c r="H45" i="4"/>
  <c r="E45" i="4"/>
  <c r="D45" i="4"/>
  <c r="B45" i="4"/>
  <c r="H43" i="4"/>
  <c r="E43" i="4"/>
  <c r="D43" i="4"/>
  <c r="B43" i="4"/>
  <c r="H41" i="4"/>
  <c r="E41" i="4"/>
  <c r="D41" i="4"/>
  <c r="B41" i="4"/>
  <c r="H39" i="4"/>
  <c r="E39" i="4"/>
  <c r="D39" i="4"/>
  <c r="B39" i="4"/>
  <c r="H37" i="4"/>
  <c r="E37" i="4"/>
  <c r="D37" i="4"/>
  <c r="H35" i="4"/>
  <c r="E35" i="4"/>
  <c r="D35" i="4"/>
  <c r="H33" i="4"/>
  <c r="E33" i="4"/>
  <c r="D33" i="4"/>
  <c r="B33" i="4"/>
  <c r="H31" i="4"/>
  <c r="E31" i="4"/>
  <c r="D31" i="4"/>
  <c r="B31" i="4"/>
  <c r="H29" i="4"/>
  <c r="E29" i="4"/>
  <c r="D29" i="4"/>
  <c r="B29" i="4"/>
  <c r="H27" i="4"/>
  <c r="E27" i="4"/>
  <c r="B27" i="4"/>
  <c r="H25" i="4"/>
  <c r="E25" i="4"/>
  <c r="D25" i="4"/>
  <c r="B25" i="4"/>
  <c r="H23" i="4"/>
  <c r="E23" i="4"/>
  <c r="D23" i="4"/>
  <c r="B23" i="4"/>
  <c r="H21" i="4"/>
  <c r="E21" i="4"/>
  <c r="D21" i="4"/>
  <c r="B21" i="4"/>
  <c r="H19" i="4"/>
  <c r="E19" i="4"/>
  <c r="D19" i="4"/>
  <c r="B19" i="4"/>
  <c r="H17" i="4"/>
  <c r="E17" i="4"/>
  <c r="D17" i="4"/>
  <c r="B17" i="4"/>
  <c r="H15" i="4"/>
  <c r="E15" i="4"/>
  <c r="D15" i="4"/>
  <c r="B15" i="4"/>
  <c r="H13" i="4"/>
  <c r="E13" i="4"/>
  <c r="D13" i="4"/>
  <c r="B13" i="4"/>
  <c r="H11" i="4"/>
  <c r="D11" i="4"/>
  <c r="E11" i="4"/>
  <c r="B11" i="4"/>
  <c r="H9" i="4"/>
  <c r="E9" i="4"/>
  <c r="D9" i="4"/>
  <c r="B9" i="4"/>
  <c r="E7" i="4"/>
  <c r="B7" i="4"/>
  <c r="F3108" i="1"/>
  <c r="H3108" i="1"/>
  <c r="F3107" i="1"/>
  <c r="H3107" i="1"/>
  <c r="F3101" i="1"/>
  <c r="H3101" i="1"/>
  <c r="F3100" i="1"/>
  <c r="H3100" i="1"/>
  <c r="F3094" i="1"/>
  <c r="H3094" i="1"/>
  <c r="F3093" i="1"/>
  <c r="H3093" i="1"/>
  <c r="H3095" i="1"/>
  <c r="J576" i="4"/>
  <c r="F3080" i="1"/>
  <c r="H3080" i="1"/>
  <c r="F3079" i="1"/>
  <c r="H3079" i="1"/>
  <c r="H3081" i="1"/>
  <c r="J572" i="4"/>
  <c r="F3073" i="1"/>
  <c r="H3073" i="1"/>
  <c r="F3072" i="1"/>
  <c r="H3072" i="1"/>
  <c r="H3074" i="1"/>
  <c r="F3066" i="1"/>
  <c r="H3066" i="1"/>
  <c r="F3065" i="1"/>
  <c r="H3065" i="1"/>
  <c r="H3067" i="1"/>
  <c r="J568" i="4"/>
  <c r="F3059" i="1"/>
  <c r="H3059" i="1"/>
  <c r="J566" i="4"/>
  <c r="F3058" i="1"/>
  <c r="H3058" i="1"/>
  <c r="F2999" i="1"/>
  <c r="H2999" i="1"/>
  <c r="F2998" i="1"/>
  <c r="H2998" i="1"/>
  <c r="F2997" i="1"/>
  <c r="H2997" i="1"/>
  <c r="F2996" i="1"/>
  <c r="H2996" i="1"/>
  <c r="F2995" i="1"/>
  <c r="H2995" i="1"/>
  <c r="F2994" i="1"/>
  <c r="H2994" i="1"/>
  <c r="F2993" i="1"/>
  <c r="H2993" i="1"/>
  <c r="F2992" i="1"/>
  <c r="H2992" i="1"/>
  <c r="F2991" i="1"/>
  <c r="H2991" i="1"/>
  <c r="F2990" i="1"/>
  <c r="H2990" i="1"/>
  <c r="F2989" i="1"/>
  <c r="H2989" i="1"/>
  <c r="D2988" i="1"/>
  <c r="F2988" i="1"/>
  <c r="H2988" i="1"/>
  <c r="F2987" i="1"/>
  <c r="H2987" i="1"/>
  <c r="F2986" i="1"/>
  <c r="H2986" i="1"/>
  <c r="F2985" i="1"/>
  <c r="H2985" i="1"/>
  <c r="F1096" i="1"/>
  <c r="H1096" i="1"/>
  <c r="F1091" i="1"/>
  <c r="H1091" i="1"/>
  <c r="F1554" i="1"/>
  <c r="H1554" i="1"/>
  <c r="F1553" i="1"/>
  <c r="H1553" i="1"/>
  <c r="F1552" i="1"/>
  <c r="H1552" i="1"/>
  <c r="F1551" i="1"/>
  <c r="H1551" i="1"/>
  <c r="F1950" i="1"/>
  <c r="H1950" i="1"/>
  <c r="F1948" i="1"/>
  <c r="H1948" i="1"/>
  <c r="F1947" i="1"/>
  <c r="H1947" i="1"/>
  <c r="F2814" i="1"/>
  <c r="H2814" i="1"/>
  <c r="I516" i="4"/>
  <c r="F2812" i="1"/>
  <c r="H2812" i="1"/>
  <c r="F2811" i="1"/>
  <c r="H2811" i="1"/>
  <c r="F2810" i="1"/>
  <c r="H2810" i="1"/>
  <c r="F2809" i="1"/>
  <c r="H2809" i="1"/>
  <c r="H2813" i="1"/>
  <c r="J516" i="4"/>
  <c r="F2828" i="1"/>
  <c r="H2828" i="1"/>
  <c r="I520" i="4"/>
  <c r="F2826" i="1"/>
  <c r="H2826" i="1"/>
  <c r="H2827" i="1"/>
  <c r="J520" i="4"/>
  <c r="F2805" i="1"/>
  <c r="H2805" i="1"/>
  <c r="I512" i="4"/>
  <c r="F2800" i="1"/>
  <c r="H2800" i="1"/>
  <c r="F2798" i="1"/>
  <c r="H2798" i="1"/>
  <c r="F2797" i="1"/>
  <c r="H2797" i="1"/>
  <c r="H2799" i="1"/>
  <c r="F2793" i="1"/>
  <c r="H2793" i="1"/>
  <c r="H2676" i="1"/>
  <c r="F2671" i="1"/>
  <c r="H2671" i="1"/>
  <c r="I475" i="4"/>
  <c r="D2669" i="1"/>
  <c r="F2669" i="1"/>
  <c r="H2669" i="1"/>
  <c r="F2668" i="1"/>
  <c r="H2668" i="1"/>
  <c r="F2667" i="1"/>
  <c r="H2667" i="1"/>
  <c r="F2666" i="1"/>
  <c r="H2666" i="1"/>
  <c r="H2670" i="1"/>
  <c r="H2672" i="1"/>
  <c r="K475" i="4"/>
  <c r="F2684" i="1"/>
  <c r="H2684" i="1"/>
  <c r="I479" i="4"/>
  <c r="D2682" i="1"/>
  <c r="F2682" i="1"/>
  <c r="H2682" i="1"/>
  <c r="F2681" i="1"/>
  <c r="H2681" i="1"/>
  <c r="F2680" i="1"/>
  <c r="H2680" i="1"/>
  <c r="H2683" i="1"/>
  <c r="J479" i="4"/>
  <c r="F2639" i="1"/>
  <c r="H2639" i="1"/>
  <c r="I467" i="4"/>
  <c r="F2533" i="1"/>
  <c r="H2533" i="1"/>
  <c r="I439" i="4"/>
  <c r="F2531" i="1"/>
  <c r="H2531" i="1"/>
  <c r="F2530" i="1"/>
  <c r="H2530" i="1"/>
  <c r="F2529" i="1"/>
  <c r="H2529" i="1"/>
  <c r="F2528" i="1"/>
  <c r="H2528" i="1"/>
  <c r="F2527" i="1"/>
  <c r="H2527" i="1"/>
  <c r="H2532" i="1"/>
  <c r="F2522" i="1"/>
  <c r="H2522" i="1"/>
  <c r="H2523" i="1"/>
  <c r="K437" i="4"/>
  <c r="F2516" i="1"/>
  <c r="H2516" i="1"/>
  <c r="H2511" i="1"/>
  <c r="I433" i="4"/>
  <c r="F2509" i="1"/>
  <c r="H2509" i="1"/>
  <c r="H2508" i="1"/>
  <c r="H2507" i="1"/>
  <c r="F2506" i="1"/>
  <c r="H2506" i="1"/>
  <c r="F2505" i="1"/>
  <c r="H2505" i="1"/>
  <c r="H2501" i="1"/>
  <c r="I431" i="4"/>
  <c r="F2499" i="1"/>
  <c r="H2499" i="1"/>
  <c r="F2498" i="1"/>
  <c r="H2498" i="1"/>
  <c r="F2497" i="1"/>
  <c r="H2497" i="1"/>
  <c r="F2496" i="1"/>
  <c r="H2496" i="1"/>
  <c r="F2484" i="1"/>
  <c r="H2484" i="1"/>
  <c r="I427" i="4"/>
  <c r="F2482" i="1"/>
  <c r="H2482" i="1"/>
  <c r="H2483" i="1"/>
  <c r="H2343" i="1"/>
  <c r="I391" i="4"/>
  <c r="F2341" i="1"/>
  <c r="H2341" i="1"/>
  <c r="D2340" i="1"/>
  <c r="F2340" i="1"/>
  <c r="H2340" i="1"/>
  <c r="F2339" i="1"/>
  <c r="H2339" i="1"/>
  <c r="F2338" i="1"/>
  <c r="H2338" i="1"/>
  <c r="H2326" i="1"/>
  <c r="I387" i="4"/>
  <c r="F2324" i="1"/>
  <c r="H2324" i="1"/>
  <c r="F2323" i="1"/>
  <c r="H2323" i="1"/>
  <c r="F2322" i="1"/>
  <c r="H2322" i="1"/>
  <c r="F2321" i="1"/>
  <c r="H2321" i="1"/>
  <c r="F2320" i="1"/>
  <c r="H2320" i="1"/>
  <c r="F2319" i="1"/>
  <c r="H2319" i="1"/>
  <c r="H2325" i="1"/>
  <c r="F2313" i="1"/>
  <c r="H2313" i="1"/>
  <c r="D2312" i="1"/>
  <c r="F2312" i="1"/>
  <c r="H2312" i="1"/>
  <c r="F2311" i="1"/>
  <c r="H2311" i="1"/>
  <c r="F2310" i="1"/>
  <c r="H2310" i="1"/>
  <c r="F2309" i="1"/>
  <c r="H2309" i="1"/>
  <c r="F2308" i="1"/>
  <c r="H2308" i="1"/>
  <c r="F2307" i="1"/>
  <c r="H2307" i="1"/>
  <c r="F2306" i="1"/>
  <c r="H2306" i="1"/>
  <c r="F2114" i="1"/>
  <c r="H2114" i="1"/>
  <c r="H2115" i="1"/>
  <c r="F2110" i="1"/>
  <c r="H2110" i="1"/>
  <c r="H2111" i="1"/>
  <c r="F2105" i="1"/>
  <c r="H2105" i="1"/>
  <c r="H2106" i="1"/>
  <c r="F2100" i="1"/>
  <c r="H2100" i="1"/>
  <c r="H2101" i="1"/>
  <c r="H2220" i="1"/>
  <c r="H2221" i="1"/>
  <c r="K363" i="4"/>
  <c r="H2215" i="1"/>
  <c r="I361" i="4"/>
  <c r="F2213" i="1"/>
  <c r="H2213" i="1"/>
  <c r="F2212" i="1"/>
  <c r="H2212" i="1"/>
  <c r="H2214" i="1"/>
  <c r="F2208" i="1"/>
  <c r="H2208" i="1"/>
  <c r="I359" i="4"/>
  <c r="F2206" i="1"/>
  <c r="H2206" i="1"/>
  <c r="F2205" i="1"/>
  <c r="H2205" i="1"/>
  <c r="F2204" i="1"/>
  <c r="H2204" i="1"/>
  <c r="H2200" i="1"/>
  <c r="H2201" i="1"/>
  <c r="K357" i="4"/>
  <c r="F2198" i="1"/>
  <c r="H2198" i="1"/>
  <c r="F1798" i="1"/>
  <c r="H1798" i="1"/>
  <c r="I281" i="4"/>
  <c r="D1796" i="1"/>
  <c r="F1796" i="1"/>
  <c r="H1796" i="1"/>
  <c r="D1795" i="1"/>
  <c r="F1795" i="1"/>
  <c r="H1795" i="1"/>
  <c r="F1794" i="1"/>
  <c r="H1794" i="1"/>
  <c r="F1793" i="1"/>
  <c r="H1793" i="1"/>
  <c r="F1792" i="1"/>
  <c r="H1792" i="1"/>
  <c r="F1791" i="1"/>
  <c r="H1791" i="1"/>
  <c r="H1797" i="1"/>
  <c r="F1786" i="1"/>
  <c r="H1786" i="1"/>
  <c r="I277" i="4"/>
  <c r="F1784" i="1"/>
  <c r="H1784" i="1"/>
  <c r="F1783" i="1"/>
  <c r="H1783" i="1"/>
  <c r="F1782" i="1"/>
  <c r="H1782" i="1"/>
  <c r="F1781" i="1"/>
  <c r="H1781" i="1"/>
  <c r="F1780" i="1"/>
  <c r="H1780" i="1"/>
  <c r="F1779" i="1"/>
  <c r="H1779" i="1"/>
  <c r="F1778" i="1"/>
  <c r="H1778" i="1"/>
  <c r="F1777" i="1"/>
  <c r="H1777" i="1"/>
  <c r="F1776" i="1"/>
  <c r="H1776" i="1"/>
  <c r="F1775" i="1"/>
  <c r="H1775" i="1"/>
  <c r="F1774" i="1"/>
  <c r="H1774" i="1"/>
  <c r="F1773" i="1"/>
  <c r="H1773" i="1"/>
  <c r="H1785" i="1"/>
  <c r="J277" i="4"/>
  <c r="H1627" i="1"/>
  <c r="I255" i="4"/>
  <c r="F1625" i="1"/>
  <c r="H1625" i="1"/>
  <c r="F1624" i="1"/>
  <c r="H1624" i="1"/>
  <c r="F1623" i="1"/>
  <c r="H1623" i="1"/>
  <c r="F1622" i="1"/>
  <c r="H1622" i="1"/>
  <c r="F1621" i="1"/>
  <c r="H1621" i="1"/>
  <c r="F1620" i="1"/>
  <c r="H1620" i="1"/>
  <c r="F1619" i="1"/>
  <c r="H1619" i="1"/>
  <c r="F1618" i="1"/>
  <c r="H1618" i="1"/>
  <c r="F1617" i="1"/>
  <c r="H1617" i="1"/>
  <c r="F1616" i="1"/>
  <c r="H1616" i="1"/>
  <c r="F1615" i="1"/>
  <c r="H1615" i="1"/>
  <c r="F1614" i="1"/>
  <c r="H1614" i="1"/>
  <c r="F1613" i="1"/>
  <c r="H1613" i="1"/>
  <c r="F1612" i="1"/>
  <c r="H1612" i="1"/>
  <c r="F1611" i="1"/>
  <c r="H1611" i="1"/>
  <c r="F1610" i="1"/>
  <c r="H1610" i="1"/>
  <c r="F1609" i="1"/>
  <c r="H1609" i="1"/>
  <c r="F1608" i="1"/>
  <c r="H1608" i="1"/>
  <c r="H1626" i="1"/>
  <c r="H1628" i="1"/>
  <c r="K255" i="4"/>
  <c r="H1604" i="1"/>
  <c r="I253" i="4"/>
  <c r="F1602" i="1"/>
  <c r="H1602" i="1"/>
  <c r="D1601" i="1"/>
  <c r="F1601" i="1"/>
  <c r="H1601" i="1"/>
  <c r="F1600" i="1"/>
  <c r="H1600" i="1"/>
  <c r="F1599" i="1"/>
  <c r="H1599" i="1"/>
  <c r="F1598" i="1"/>
  <c r="H1598" i="1"/>
  <c r="F1597" i="1"/>
  <c r="H1597" i="1"/>
  <c r="F1596" i="1"/>
  <c r="H1596" i="1"/>
  <c r="F1595" i="1"/>
  <c r="H1595" i="1"/>
  <c r="F1594" i="1"/>
  <c r="H1594" i="1"/>
  <c r="F1593" i="1"/>
  <c r="H1593" i="1"/>
  <c r="F1592" i="1"/>
  <c r="H1592" i="1"/>
  <c r="F1591" i="1"/>
  <c r="H1591" i="1"/>
  <c r="F1590" i="1"/>
  <c r="H1590" i="1"/>
  <c r="F1589" i="1"/>
  <c r="H1589" i="1"/>
  <c r="F1588" i="1"/>
  <c r="H1588" i="1"/>
  <c r="F1587" i="1"/>
  <c r="H1587" i="1"/>
  <c r="F1586" i="1"/>
  <c r="H1586" i="1"/>
  <c r="F1585" i="1"/>
  <c r="H1585" i="1"/>
  <c r="F1584" i="1"/>
  <c r="H1584" i="1"/>
  <c r="F1583" i="1"/>
  <c r="H1583" i="1"/>
  <c r="F1582" i="1"/>
  <c r="H1582" i="1"/>
  <c r="F1581" i="1"/>
  <c r="H1581" i="1"/>
  <c r="F1580" i="1"/>
  <c r="H1580" i="1"/>
  <c r="F1579" i="1"/>
  <c r="H1579" i="1"/>
  <c r="F1578" i="1"/>
  <c r="H1578" i="1"/>
  <c r="F1577" i="1"/>
  <c r="H1577" i="1"/>
  <c r="F1576" i="1"/>
  <c r="H1576" i="1"/>
  <c r="F1575" i="1"/>
  <c r="H1575" i="1"/>
  <c r="F1574" i="1"/>
  <c r="H1574" i="1"/>
  <c r="D1573" i="1"/>
  <c r="F1573" i="1"/>
  <c r="H1573" i="1"/>
  <c r="H1603" i="1"/>
  <c r="H1521" i="1"/>
  <c r="I249" i="4"/>
  <c r="F1519" i="1"/>
  <c r="H1519" i="1"/>
  <c r="D1518" i="1"/>
  <c r="F1518" i="1"/>
  <c r="H1518" i="1"/>
  <c r="F1517" i="1"/>
  <c r="H1517" i="1"/>
  <c r="F1516" i="1"/>
  <c r="H1516" i="1"/>
  <c r="F1515" i="1"/>
  <c r="H1515" i="1"/>
  <c r="H1511" i="1"/>
  <c r="I247" i="4"/>
  <c r="F1509" i="1"/>
  <c r="H1509" i="1"/>
  <c r="F1508" i="1"/>
  <c r="H1508" i="1"/>
  <c r="F1507" i="1"/>
  <c r="H1507" i="1"/>
  <c r="F1506" i="1"/>
  <c r="H1506" i="1"/>
  <c r="F1505" i="1"/>
  <c r="H1505" i="1"/>
  <c r="F1504" i="1"/>
  <c r="H1504" i="1"/>
  <c r="H1510" i="1"/>
  <c r="H1499" i="1"/>
  <c r="I245" i="4"/>
  <c r="F1497" i="1"/>
  <c r="H1497" i="1"/>
  <c r="F1496" i="1"/>
  <c r="H1496" i="1"/>
  <c r="F1495" i="1"/>
  <c r="H1495" i="1"/>
  <c r="F1494" i="1"/>
  <c r="F1493" i="1"/>
  <c r="H1492" i="1"/>
  <c r="F1492" i="1"/>
  <c r="H1491" i="1"/>
  <c r="F1491" i="1"/>
  <c r="F593" i="1"/>
  <c r="H593" i="1"/>
  <c r="I93" i="4"/>
  <c r="F591" i="1"/>
  <c r="H591" i="1"/>
  <c r="D590" i="1"/>
  <c r="F590" i="1"/>
  <c r="H590" i="1"/>
  <c r="F589" i="1"/>
  <c r="H589" i="1"/>
  <c r="F588" i="1"/>
  <c r="H588" i="1"/>
  <c r="F587" i="1"/>
  <c r="H587" i="1"/>
  <c r="F586" i="1"/>
  <c r="H586" i="1"/>
  <c r="F585" i="1"/>
  <c r="H585" i="1"/>
  <c r="F584" i="1"/>
  <c r="H584" i="1"/>
  <c r="F583" i="1"/>
  <c r="H583" i="1"/>
  <c r="F582" i="1"/>
  <c r="H582" i="1"/>
  <c r="F581" i="1"/>
  <c r="H581" i="1"/>
  <c r="F580" i="1"/>
  <c r="H580" i="1"/>
  <c r="F579" i="1"/>
  <c r="H579" i="1"/>
  <c r="F578" i="1"/>
  <c r="H578" i="1"/>
  <c r="F577" i="1"/>
  <c r="H577" i="1"/>
  <c r="F576" i="1"/>
  <c r="H576" i="1"/>
  <c r="F575" i="1"/>
  <c r="H575" i="1"/>
  <c r="H1689" i="1"/>
  <c r="I261" i="4"/>
  <c r="F1687" i="1"/>
  <c r="H1687" i="1"/>
  <c r="F1686" i="1"/>
  <c r="H1686" i="1"/>
  <c r="F1685" i="1"/>
  <c r="H1685" i="1"/>
  <c r="F1684" i="1"/>
  <c r="H1684" i="1"/>
  <c r="F1683" i="1"/>
  <c r="H1683" i="1"/>
  <c r="F1682" i="1"/>
  <c r="H1682" i="1"/>
  <c r="F1681" i="1"/>
  <c r="H1681" i="1"/>
  <c r="F1680" i="1"/>
  <c r="H1680" i="1"/>
  <c r="F1679" i="1"/>
  <c r="H1679" i="1"/>
  <c r="F1678" i="1"/>
  <c r="H1678" i="1"/>
  <c r="F1677" i="1"/>
  <c r="H1677" i="1"/>
  <c r="F1676" i="1"/>
  <c r="H1676" i="1"/>
  <c r="H1688" i="1"/>
  <c r="H404" i="1"/>
  <c r="I55" i="4"/>
  <c r="F402" i="1"/>
  <c r="H402" i="1"/>
  <c r="F401" i="1"/>
  <c r="H401" i="1"/>
  <c r="F400" i="1"/>
  <c r="H400" i="1"/>
  <c r="F399" i="1"/>
  <c r="H399" i="1"/>
  <c r="F398" i="1"/>
  <c r="H398" i="1"/>
  <c r="F397" i="1"/>
  <c r="H397" i="1"/>
  <c r="F396" i="1"/>
  <c r="H396" i="1"/>
  <c r="F395" i="1"/>
  <c r="H395" i="1"/>
  <c r="F394" i="1"/>
  <c r="H394" i="1"/>
  <c r="F393" i="1"/>
  <c r="H393" i="1"/>
  <c r="F392" i="1"/>
  <c r="H392" i="1"/>
  <c r="H403" i="1"/>
  <c r="H388" i="1"/>
  <c r="I53" i="4"/>
  <c r="D386" i="1"/>
  <c r="F386" i="1"/>
  <c r="H386" i="1"/>
  <c r="F385" i="1"/>
  <c r="H385" i="1"/>
  <c r="F384" i="1"/>
  <c r="H384" i="1"/>
  <c r="F383" i="1"/>
  <c r="H383" i="1"/>
  <c r="F382" i="1"/>
  <c r="H382" i="1"/>
  <c r="F381" i="1"/>
  <c r="H381" i="1"/>
  <c r="H231" i="1"/>
  <c r="I33" i="4"/>
  <c r="F229" i="1"/>
  <c r="H229" i="1"/>
  <c r="D228" i="1"/>
  <c r="F228" i="1"/>
  <c r="H228" i="1"/>
  <c r="F227" i="1"/>
  <c r="H227" i="1"/>
  <c r="F226" i="1"/>
  <c r="H226" i="1"/>
  <c r="F225" i="1"/>
  <c r="H225" i="1"/>
  <c r="F224" i="1"/>
  <c r="H224" i="1"/>
  <c r="F223" i="1"/>
  <c r="H223" i="1"/>
  <c r="H219" i="1"/>
  <c r="I31" i="4"/>
  <c r="F217" i="1"/>
  <c r="H217" i="1"/>
  <c r="F216" i="1"/>
  <c r="H216" i="1"/>
  <c r="F215" i="1"/>
  <c r="H215" i="1"/>
  <c r="F214" i="1"/>
  <c r="H214" i="1"/>
  <c r="F213" i="1"/>
  <c r="H213" i="1"/>
  <c r="F212" i="1"/>
  <c r="H212" i="1"/>
  <c r="F211" i="1"/>
  <c r="H211" i="1"/>
  <c r="F210" i="1"/>
  <c r="H210" i="1"/>
  <c r="H206" i="1"/>
  <c r="I29" i="4"/>
  <c r="F204" i="1"/>
  <c r="H204" i="1"/>
  <c r="F203" i="1"/>
  <c r="H203" i="1"/>
  <c r="H202" i="1"/>
  <c r="F201" i="1"/>
  <c r="H201" i="1"/>
  <c r="F200" i="1"/>
  <c r="H200" i="1"/>
  <c r="F199" i="1"/>
  <c r="H199" i="1"/>
  <c r="F198" i="1"/>
  <c r="H198" i="1"/>
  <c r="H205" i="1"/>
  <c r="J29" i="4"/>
  <c r="I13" i="4"/>
  <c r="F69" i="1"/>
  <c r="H69" i="1"/>
  <c r="F68" i="1"/>
  <c r="H68" i="1"/>
  <c r="F67" i="1"/>
  <c r="H67" i="1"/>
  <c r="F66" i="1"/>
  <c r="H66" i="1"/>
  <c r="F65" i="1"/>
  <c r="H65" i="1"/>
  <c r="F64" i="1"/>
  <c r="H64" i="1"/>
  <c r="F63" i="1"/>
  <c r="H63" i="1"/>
  <c r="F62" i="1"/>
  <c r="H62" i="1"/>
  <c r="F61" i="1"/>
  <c r="H61" i="1"/>
  <c r="F60" i="1"/>
  <c r="H60" i="1"/>
  <c r="F59" i="1"/>
  <c r="H59" i="1"/>
  <c r="H70" i="1"/>
  <c r="H93" i="1"/>
  <c r="F91" i="1"/>
  <c r="H91" i="1"/>
  <c r="F88" i="1"/>
  <c r="H88" i="1"/>
  <c r="F87" i="1"/>
  <c r="H87" i="1"/>
  <c r="F86" i="1"/>
  <c r="H86" i="1"/>
  <c r="F85" i="1"/>
  <c r="H85" i="1"/>
  <c r="F84" i="1"/>
  <c r="H84" i="1"/>
  <c r="F83" i="1"/>
  <c r="H83" i="1"/>
  <c r="F82" i="1"/>
  <c r="H82" i="1"/>
  <c r="F81" i="1"/>
  <c r="H81" i="1"/>
  <c r="F80" i="1"/>
  <c r="H80" i="1"/>
  <c r="F79" i="1"/>
  <c r="H79" i="1"/>
  <c r="F78" i="1"/>
  <c r="H78" i="1"/>
  <c r="F77" i="1"/>
  <c r="H77" i="1"/>
  <c r="F76" i="1"/>
  <c r="H76" i="1"/>
  <c r="H92" i="1"/>
  <c r="H112" i="1"/>
  <c r="I17" i="4"/>
  <c r="D110" i="1"/>
  <c r="F110" i="1"/>
  <c r="H110" i="1"/>
  <c r="D109" i="1"/>
  <c r="F109" i="1"/>
  <c r="H109" i="1"/>
  <c r="F108" i="1"/>
  <c r="H108" i="1"/>
  <c r="F107" i="1"/>
  <c r="H107" i="1"/>
  <c r="F106" i="1"/>
  <c r="H106" i="1"/>
  <c r="F105" i="1"/>
  <c r="H105" i="1"/>
  <c r="F104" i="1"/>
  <c r="H104" i="1"/>
  <c r="F103" i="1"/>
  <c r="H103" i="1"/>
  <c r="F102" i="1"/>
  <c r="H102" i="1"/>
  <c r="F101" i="1"/>
  <c r="H101" i="1"/>
  <c r="F100" i="1"/>
  <c r="H100" i="1"/>
  <c r="F99" i="1"/>
  <c r="H99" i="1"/>
  <c r="F98" i="1"/>
  <c r="H98" i="1"/>
  <c r="H2517" i="1"/>
  <c r="K435" i="4"/>
  <c r="I435" i="4"/>
  <c r="H3109" i="1"/>
  <c r="J580" i="4"/>
  <c r="H2806" i="1"/>
  <c r="K514" i="4"/>
  <c r="I514" i="4"/>
  <c r="H2640" i="1"/>
  <c r="K467" i="4"/>
  <c r="H363" i="4"/>
  <c r="I15" i="4"/>
  <c r="I357" i="4"/>
  <c r="I363" i="4"/>
  <c r="H387" i="1"/>
  <c r="H2342" i="1"/>
  <c r="H1949" i="1"/>
  <c r="H1951" i="1"/>
  <c r="H2685" i="1"/>
  <c r="K479" i="4"/>
  <c r="H1569" i="1"/>
  <c r="I251" i="4"/>
  <c r="F2879" i="1"/>
  <c r="H2879" i="1"/>
  <c r="I532" i="4"/>
  <c r="F2877" i="1"/>
  <c r="H2877" i="1"/>
  <c r="F2876" i="1"/>
  <c r="H2876" i="1"/>
  <c r="F2875" i="1"/>
  <c r="H2875" i="1"/>
  <c r="F2871" i="1"/>
  <c r="H2871" i="1"/>
  <c r="I530" i="4"/>
  <c r="F2869" i="1"/>
  <c r="H2869" i="1"/>
  <c r="F2868" i="1"/>
  <c r="H2868" i="1"/>
  <c r="F2867" i="1"/>
  <c r="H2867" i="1"/>
  <c r="F2866" i="1"/>
  <c r="H2866" i="1"/>
  <c r="F2848" i="1"/>
  <c r="H2848" i="1"/>
  <c r="I526" i="4"/>
  <c r="F2846" i="1"/>
  <c r="H2846" i="1"/>
  <c r="F2845" i="1"/>
  <c r="H2845" i="1"/>
  <c r="F2844" i="1"/>
  <c r="H2844" i="1"/>
  <c r="H2847" i="1"/>
  <c r="F2839" i="1"/>
  <c r="H2839" i="1"/>
  <c r="F2834" i="1"/>
  <c r="H2834" i="1"/>
  <c r="F2749" i="1"/>
  <c r="H2749" i="1"/>
  <c r="I492" i="4"/>
  <c r="F2747" i="1"/>
  <c r="H2747" i="1"/>
  <c r="F2746" i="1"/>
  <c r="H2746" i="1"/>
  <c r="F2745" i="1"/>
  <c r="H2745" i="1"/>
  <c r="F2744" i="1"/>
  <c r="H2744" i="1"/>
  <c r="F2743" i="1"/>
  <c r="H2743" i="1"/>
  <c r="F2742" i="1"/>
  <c r="H2742" i="1"/>
  <c r="H2748" i="1"/>
  <c r="F2738" i="1"/>
  <c r="H2738" i="1"/>
  <c r="I490" i="4"/>
  <c r="F2736" i="1"/>
  <c r="H2736" i="1"/>
  <c r="F2735" i="1"/>
  <c r="H2735" i="1"/>
  <c r="F2734" i="1"/>
  <c r="H2734" i="1"/>
  <c r="F2730" i="1"/>
  <c r="H2730" i="1"/>
  <c r="I488" i="4"/>
  <c r="F2728" i="1"/>
  <c r="H2728" i="1"/>
  <c r="H2729" i="1"/>
  <c r="J488" i="4"/>
  <c r="H2539" i="1"/>
  <c r="H2470" i="1"/>
  <c r="F2465" i="1"/>
  <c r="H2465" i="1"/>
  <c r="I421" i="4"/>
  <c r="F2463" i="1"/>
  <c r="H2463" i="1"/>
  <c r="H2464" i="1"/>
  <c r="J421" i="4"/>
  <c r="H2459" i="1"/>
  <c r="I419" i="4"/>
  <c r="F2457" i="1"/>
  <c r="H2457" i="1"/>
  <c r="F2456" i="1"/>
  <c r="H2456" i="1"/>
  <c r="H2452" i="1"/>
  <c r="I417" i="4"/>
  <c r="F2450" i="1"/>
  <c r="H2450" i="1"/>
  <c r="F2449" i="1"/>
  <c r="H2449" i="1"/>
  <c r="F2448" i="1"/>
  <c r="H2448" i="1"/>
  <c r="F2447" i="1"/>
  <c r="H2447" i="1"/>
  <c r="H2451" i="1"/>
  <c r="H2442" i="1"/>
  <c r="I415" i="4"/>
  <c r="F2440" i="1"/>
  <c r="H2440" i="1"/>
  <c r="H2441" i="1"/>
  <c r="H2436" i="1"/>
  <c r="I413" i="4"/>
  <c r="F2434" i="1"/>
  <c r="H2434" i="1"/>
  <c r="F2433" i="1"/>
  <c r="H2433" i="1"/>
  <c r="F2432" i="1"/>
  <c r="H2432" i="1"/>
  <c r="F2431" i="1"/>
  <c r="H2431" i="1"/>
  <c r="H2435" i="1"/>
  <c r="H2427" i="1"/>
  <c r="I411" i="4"/>
  <c r="F2425" i="1"/>
  <c r="H2425" i="1"/>
  <c r="F2424" i="1"/>
  <c r="H2424" i="1"/>
  <c r="F2423" i="1"/>
  <c r="H2423" i="1"/>
  <c r="H2426" i="1"/>
  <c r="F1908" i="1"/>
  <c r="H1908" i="1"/>
  <c r="I302" i="4"/>
  <c r="F1906" i="1"/>
  <c r="H1906" i="1"/>
  <c r="F1905" i="1"/>
  <c r="H1905" i="1"/>
  <c r="F1904" i="1"/>
  <c r="H1904" i="1"/>
  <c r="F1903" i="1"/>
  <c r="H1903" i="1"/>
  <c r="F1902" i="1"/>
  <c r="H1902" i="1"/>
  <c r="H1898" i="1"/>
  <c r="I300" i="4"/>
  <c r="F1896" i="1"/>
  <c r="H1896" i="1"/>
  <c r="F1895" i="1"/>
  <c r="H1895" i="1"/>
  <c r="F1894" i="1"/>
  <c r="H1894" i="1"/>
  <c r="H1890" i="1"/>
  <c r="H1891" i="1"/>
  <c r="D1885" i="1"/>
  <c r="F1883" i="1"/>
  <c r="H1883" i="1"/>
  <c r="F1882" i="1"/>
  <c r="H1882" i="1"/>
  <c r="F1881" i="1"/>
  <c r="H1881" i="1"/>
  <c r="F1880" i="1"/>
  <c r="H1880" i="1"/>
  <c r="H1884" i="1"/>
  <c r="F2662" i="1"/>
  <c r="H2662" i="1"/>
  <c r="I473" i="4"/>
  <c r="F2660" i="1"/>
  <c r="H2660" i="1"/>
  <c r="F2659" i="1"/>
  <c r="H2659" i="1"/>
  <c r="F2658" i="1"/>
  <c r="H2658" i="1"/>
  <c r="F2654" i="1"/>
  <c r="H2654" i="1"/>
  <c r="I471" i="4"/>
  <c r="F2652" i="1"/>
  <c r="H2652" i="1"/>
  <c r="F2651" i="1"/>
  <c r="H2651" i="1"/>
  <c r="F2650" i="1"/>
  <c r="H2650" i="1"/>
  <c r="F2645" i="1"/>
  <c r="H2645" i="1"/>
  <c r="H1747" i="1"/>
  <c r="I271" i="4"/>
  <c r="F1745" i="1"/>
  <c r="H1745" i="1"/>
  <c r="F1744" i="1"/>
  <c r="H1744" i="1"/>
  <c r="F1743" i="1"/>
  <c r="H1743" i="1"/>
  <c r="F1738" i="1"/>
  <c r="H1738" i="1"/>
  <c r="I269" i="4"/>
  <c r="F1736" i="1"/>
  <c r="H1736" i="1"/>
  <c r="F1735" i="1"/>
  <c r="H1735" i="1"/>
  <c r="H1119" i="1"/>
  <c r="I195" i="4"/>
  <c r="F1117" i="1"/>
  <c r="H1117" i="1"/>
  <c r="F1116" i="1"/>
  <c r="H1116" i="1"/>
  <c r="F1115" i="1"/>
  <c r="H1115" i="1"/>
  <c r="F1114" i="1"/>
  <c r="H1114" i="1"/>
  <c r="F1113" i="1"/>
  <c r="H1113" i="1"/>
  <c r="F1112" i="1"/>
  <c r="H1112" i="1"/>
  <c r="F1111" i="1"/>
  <c r="H1111" i="1"/>
  <c r="F1110" i="1"/>
  <c r="H1110" i="1"/>
  <c r="F1109" i="1"/>
  <c r="H1109" i="1"/>
  <c r="F1108" i="1"/>
  <c r="H1108" i="1"/>
  <c r="F1107" i="1"/>
  <c r="H1107" i="1"/>
  <c r="F1106" i="1"/>
  <c r="H1106" i="1"/>
  <c r="F1105" i="1"/>
  <c r="H1105" i="1"/>
  <c r="F1104" i="1"/>
  <c r="H1104" i="1"/>
  <c r="F1103" i="1"/>
  <c r="H1103" i="1"/>
  <c r="F1273" i="1"/>
  <c r="H1273" i="1"/>
  <c r="I197" i="4"/>
  <c r="F1271" i="1"/>
  <c r="H1271" i="1"/>
  <c r="F1270" i="1"/>
  <c r="H1270" i="1"/>
  <c r="F1269" i="1"/>
  <c r="H1269" i="1"/>
  <c r="F1268" i="1"/>
  <c r="H1268" i="1"/>
  <c r="F1267" i="1"/>
  <c r="H1267" i="1"/>
  <c r="H1272" i="1"/>
  <c r="J197" i="4"/>
  <c r="H1242" i="1"/>
  <c r="I191" i="4"/>
  <c r="F1216" i="1"/>
  <c r="H1216" i="1"/>
  <c r="F1215" i="1"/>
  <c r="H1215" i="1"/>
  <c r="F1214" i="1"/>
  <c r="H1214" i="1"/>
  <c r="F1213" i="1"/>
  <c r="H1213" i="1"/>
  <c r="F1212" i="1"/>
  <c r="H1212" i="1"/>
  <c r="F1211" i="1"/>
  <c r="H1211" i="1"/>
  <c r="F1210" i="1"/>
  <c r="H1210" i="1"/>
  <c r="D1209" i="1"/>
  <c r="F1209" i="1"/>
  <c r="H1209" i="1"/>
  <c r="F1177" i="1"/>
  <c r="H1177" i="1"/>
  <c r="I187" i="4"/>
  <c r="F1175" i="1"/>
  <c r="H1175" i="1"/>
  <c r="D1174" i="1"/>
  <c r="F1174" i="1"/>
  <c r="H1174" i="1"/>
  <c r="D1173" i="1"/>
  <c r="F1173" i="1"/>
  <c r="H1173" i="1"/>
  <c r="F1161" i="1"/>
  <c r="H1161" i="1"/>
  <c r="I183" i="4"/>
  <c r="F1159" i="1"/>
  <c r="H1159" i="1"/>
  <c r="F1158" i="1"/>
  <c r="H1158" i="1"/>
  <c r="F1148" i="1"/>
  <c r="H1148" i="1"/>
  <c r="I179" i="4"/>
  <c r="F1146" i="1"/>
  <c r="H1146" i="1"/>
  <c r="F1145" i="1"/>
  <c r="H1145" i="1"/>
  <c r="F1144" i="1"/>
  <c r="H1144" i="1"/>
  <c r="F1140" i="1"/>
  <c r="H1140" i="1"/>
  <c r="I177" i="4"/>
  <c r="F1138" i="1"/>
  <c r="H1138" i="1"/>
  <c r="D1137" i="1"/>
  <c r="F1137" i="1"/>
  <c r="H1137" i="1"/>
  <c r="D1136" i="1"/>
  <c r="F1136" i="1"/>
  <c r="H1136" i="1"/>
  <c r="F1135" i="1"/>
  <c r="H1135" i="1"/>
  <c r="D1134" i="1"/>
  <c r="F1134" i="1"/>
  <c r="H1134" i="1"/>
  <c r="D1133" i="1"/>
  <c r="F1133" i="1"/>
  <c r="H1133" i="1"/>
  <c r="D1132" i="1"/>
  <c r="F1132" i="1"/>
  <c r="H1132" i="1"/>
  <c r="D1131" i="1"/>
  <c r="F1131" i="1"/>
  <c r="H1131" i="1"/>
  <c r="H1127" i="1"/>
  <c r="I175" i="4"/>
  <c r="F1125" i="1"/>
  <c r="H1125" i="1"/>
  <c r="F1124" i="1"/>
  <c r="H1124" i="1"/>
  <c r="F909" i="1"/>
  <c r="H909" i="1"/>
  <c r="I143" i="4"/>
  <c r="F907" i="1"/>
  <c r="H907" i="1"/>
  <c r="F906" i="1"/>
  <c r="H906" i="1"/>
  <c r="H908" i="1"/>
  <c r="H1656" i="1"/>
  <c r="I257" i="4"/>
  <c r="F1654" i="1"/>
  <c r="H1654" i="1"/>
  <c r="F1653" i="1"/>
  <c r="H1653" i="1"/>
  <c r="F1652" i="1"/>
  <c r="H1652" i="1"/>
  <c r="F1651" i="1"/>
  <c r="H1651" i="1"/>
  <c r="F1650" i="1"/>
  <c r="H1650" i="1"/>
  <c r="F1649" i="1"/>
  <c r="H1649" i="1"/>
  <c r="F1648" i="1"/>
  <c r="H1648" i="1"/>
  <c r="F1647" i="1"/>
  <c r="H1647" i="1"/>
  <c r="F1646" i="1"/>
  <c r="H1646" i="1"/>
  <c r="F1645" i="1"/>
  <c r="H1645" i="1"/>
  <c r="F1644" i="1"/>
  <c r="H1644" i="1"/>
  <c r="F1643" i="1"/>
  <c r="H1643" i="1"/>
  <c r="F1642" i="1"/>
  <c r="H1642" i="1"/>
  <c r="F1641" i="1"/>
  <c r="H1641" i="1"/>
  <c r="F1640" i="1"/>
  <c r="H1640" i="1"/>
  <c r="F1639" i="1"/>
  <c r="H1639" i="1"/>
  <c r="F1638" i="1"/>
  <c r="H1638" i="1"/>
  <c r="F1637" i="1"/>
  <c r="H1637" i="1"/>
  <c r="F1636" i="1"/>
  <c r="H1636" i="1"/>
  <c r="F1635" i="1"/>
  <c r="H1635" i="1"/>
  <c r="F1634" i="1"/>
  <c r="H1634" i="1"/>
  <c r="F1633" i="1"/>
  <c r="H1633" i="1"/>
  <c r="F1632" i="1"/>
  <c r="H1632" i="1"/>
  <c r="F1631" i="1"/>
  <c r="H1631" i="1"/>
  <c r="H692" i="1"/>
  <c r="I109" i="4"/>
  <c r="F690" i="1"/>
  <c r="H690" i="1"/>
  <c r="F689" i="1"/>
  <c r="H689" i="1"/>
  <c r="D688" i="1"/>
  <c r="F688" i="1"/>
  <c r="H688" i="1"/>
  <c r="F687" i="1"/>
  <c r="H687" i="1"/>
  <c r="D686" i="1"/>
  <c r="F686" i="1"/>
  <c r="H686" i="1"/>
  <c r="D685" i="1"/>
  <c r="F685" i="1"/>
  <c r="H685" i="1"/>
  <c r="D684" i="1"/>
  <c r="F684" i="1"/>
  <c r="H684" i="1"/>
  <c r="F683" i="1"/>
  <c r="H683" i="1"/>
  <c r="D682" i="1"/>
  <c r="F682" i="1"/>
  <c r="H682" i="1"/>
  <c r="D681" i="1"/>
  <c r="F681" i="1"/>
  <c r="H681" i="1"/>
  <c r="D680" i="1"/>
  <c r="F680" i="1"/>
  <c r="H680" i="1"/>
  <c r="H1030" i="1"/>
  <c r="I161" i="4"/>
  <c r="F1028" i="1"/>
  <c r="H1028" i="1"/>
  <c r="F1027" i="1"/>
  <c r="H1027" i="1"/>
  <c r="F1026" i="1"/>
  <c r="H1026" i="1"/>
  <c r="F1025" i="1"/>
  <c r="H1025" i="1"/>
  <c r="F1024" i="1"/>
  <c r="H1024" i="1"/>
  <c r="F1023" i="1"/>
  <c r="H1023" i="1"/>
  <c r="F1022" i="1"/>
  <c r="H1022" i="1"/>
  <c r="F1021" i="1"/>
  <c r="H1021" i="1"/>
  <c r="F1020" i="1"/>
  <c r="H1020" i="1"/>
  <c r="F861" i="1"/>
  <c r="H861" i="1"/>
  <c r="I135" i="4"/>
  <c r="F859" i="1"/>
  <c r="H859" i="1"/>
  <c r="F858" i="1"/>
  <c r="H858" i="1"/>
  <c r="F857" i="1"/>
  <c r="H857" i="1"/>
  <c r="F852" i="1"/>
  <c r="H852" i="1"/>
  <c r="I133" i="4"/>
  <c r="F850" i="1"/>
  <c r="H850" i="1"/>
  <c r="D849" i="1"/>
  <c r="F849" i="1"/>
  <c r="H849" i="1"/>
  <c r="F848" i="1"/>
  <c r="H848" i="1"/>
  <c r="F847" i="1"/>
  <c r="H847" i="1"/>
  <c r="F846" i="1"/>
  <c r="H846" i="1"/>
  <c r="F845" i="1"/>
  <c r="H845" i="1"/>
  <c r="F844" i="1"/>
  <c r="H844" i="1"/>
  <c r="H851" i="1"/>
  <c r="F803" i="1"/>
  <c r="H803" i="1"/>
  <c r="I125" i="4"/>
  <c r="F801" i="1"/>
  <c r="H801" i="1"/>
  <c r="F800" i="1"/>
  <c r="H800" i="1"/>
  <c r="F796" i="1"/>
  <c r="H796" i="1"/>
  <c r="I123" i="4"/>
  <c r="F794" i="1"/>
  <c r="H794" i="1"/>
  <c r="F793" i="1"/>
  <c r="H793" i="1"/>
  <c r="F792" i="1"/>
  <c r="F791" i="1"/>
  <c r="H791" i="1"/>
  <c r="F787" i="1"/>
  <c r="H787" i="1"/>
  <c r="I121" i="4"/>
  <c r="F785" i="1"/>
  <c r="H785" i="1"/>
  <c r="F784" i="1"/>
  <c r="H784" i="1"/>
  <c r="F783" i="1"/>
  <c r="H783" i="1"/>
  <c r="F675" i="1"/>
  <c r="H675" i="1"/>
  <c r="I107" i="4"/>
  <c r="F673" i="1"/>
  <c r="H673" i="1"/>
  <c r="F672" i="1"/>
  <c r="H672" i="1"/>
  <c r="F671" i="1"/>
  <c r="H671" i="1"/>
  <c r="F670" i="1"/>
  <c r="H670" i="1"/>
  <c r="F669" i="1"/>
  <c r="H669" i="1"/>
  <c r="F668" i="1"/>
  <c r="H668" i="1"/>
  <c r="F667" i="1"/>
  <c r="H667" i="1"/>
  <c r="F666" i="1"/>
  <c r="H666" i="1"/>
  <c r="F665" i="1"/>
  <c r="H665" i="1"/>
  <c r="F664" i="1"/>
  <c r="H664" i="1"/>
  <c r="F500" i="1"/>
  <c r="H500" i="1"/>
  <c r="I75" i="4"/>
  <c r="F498" i="1"/>
  <c r="H498" i="1"/>
  <c r="F497" i="1"/>
  <c r="H497" i="1"/>
  <c r="F496" i="1"/>
  <c r="H496" i="1"/>
  <c r="F495" i="1"/>
  <c r="H495" i="1"/>
  <c r="F491" i="1"/>
  <c r="H491" i="1"/>
  <c r="I73" i="4"/>
  <c r="F489" i="1"/>
  <c r="H489" i="1"/>
  <c r="F488" i="1"/>
  <c r="H488" i="1"/>
  <c r="F484" i="1"/>
  <c r="H484" i="1"/>
  <c r="I71" i="4"/>
  <c r="F482" i="1"/>
  <c r="H482" i="1"/>
  <c r="F481" i="1"/>
  <c r="H481" i="1"/>
  <c r="F480" i="1"/>
  <c r="H480" i="1"/>
  <c r="F479" i="1"/>
  <c r="H479" i="1"/>
  <c r="H483" i="1"/>
  <c r="F475" i="1"/>
  <c r="H475" i="1"/>
  <c r="I69" i="4"/>
  <c r="F473" i="1"/>
  <c r="H473" i="1"/>
  <c r="F472" i="1"/>
  <c r="H472" i="1"/>
  <c r="F468" i="1"/>
  <c r="H468" i="1"/>
  <c r="I67" i="4"/>
  <c r="F466" i="1"/>
  <c r="H466" i="1"/>
  <c r="F465" i="1"/>
  <c r="H465" i="1"/>
  <c r="F464" i="1"/>
  <c r="H464" i="1"/>
  <c r="F463" i="1"/>
  <c r="H463" i="1"/>
  <c r="H467" i="1"/>
  <c r="F459" i="1"/>
  <c r="H459" i="1"/>
  <c r="I65" i="4"/>
  <c r="F457" i="1"/>
  <c r="H457" i="1"/>
  <c r="F456" i="1"/>
  <c r="H456" i="1"/>
  <c r="F455" i="1"/>
  <c r="H455" i="1"/>
  <c r="F454" i="1"/>
  <c r="H454" i="1"/>
  <c r="F453" i="1"/>
  <c r="H453" i="1"/>
  <c r="F449" i="1"/>
  <c r="H449" i="1"/>
  <c r="I63" i="4"/>
  <c r="F447" i="1"/>
  <c r="H447" i="1"/>
  <c r="F446" i="1"/>
  <c r="H446" i="1"/>
  <c r="F445" i="1"/>
  <c r="H445" i="1"/>
  <c r="F444" i="1"/>
  <c r="H444" i="1"/>
  <c r="F443" i="1"/>
  <c r="H443" i="1"/>
  <c r="H448" i="1"/>
  <c r="F2983" i="1"/>
  <c r="H2983" i="1"/>
  <c r="F2982" i="1"/>
  <c r="H2982" i="1"/>
  <c r="F2981" i="1"/>
  <c r="H2981" i="1"/>
  <c r="F2980" i="1"/>
  <c r="H2980" i="1"/>
  <c r="F2979" i="1"/>
  <c r="H2979" i="1"/>
  <c r="F2978" i="1"/>
  <c r="H2978" i="1"/>
  <c r="F1095" i="1"/>
  <c r="H1095" i="1"/>
  <c r="F1094" i="1"/>
  <c r="H1094" i="1"/>
  <c r="F2952" i="1"/>
  <c r="H2952" i="1"/>
  <c r="I550" i="4"/>
  <c r="F2950" i="1"/>
  <c r="H2950" i="1"/>
  <c r="F2949" i="1"/>
  <c r="H2949" i="1"/>
  <c r="H2951" i="1"/>
  <c r="F2888" i="1"/>
  <c r="H2888" i="1"/>
  <c r="I534" i="4"/>
  <c r="F2886" i="1"/>
  <c r="H2886" i="1"/>
  <c r="F2885" i="1"/>
  <c r="H2885" i="1"/>
  <c r="F2884" i="1"/>
  <c r="H2884" i="1"/>
  <c r="F2822" i="1"/>
  <c r="H2822" i="1"/>
  <c r="K518" i="4"/>
  <c r="F2820" i="1"/>
  <c r="H2820" i="1"/>
  <c r="F2819" i="1"/>
  <c r="H2819" i="1"/>
  <c r="H2821" i="1"/>
  <c r="F2788" i="1"/>
  <c r="H2788" i="1"/>
  <c r="F2782" i="1"/>
  <c r="H2782" i="1"/>
  <c r="F2776" i="1"/>
  <c r="H2776" i="1"/>
  <c r="I504" i="4"/>
  <c r="F2774" i="1"/>
  <c r="H2774" i="1"/>
  <c r="F2773" i="1"/>
  <c r="H2773" i="1"/>
  <c r="F2769" i="1"/>
  <c r="H2769" i="1"/>
  <c r="I502" i="4"/>
  <c r="F2763" i="1"/>
  <c r="H2763" i="1"/>
  <c r="H2764" i="1"/>
  <c r="K500" i="4"/>
  <c r="F2757" i="1"/>
  <c r="H2757" i="1"/>
  <c r="H2695" i="1"/>
  <c r="I481" i="4"/>
  <c r="F2693" i="1"/>
  <c r="H2693" i="1"/>
  <c r="F2692" i="1"/>
  <c r="H2692" i="1"/>
  <c r="F2691" i="1"/>
  <c r="H2691" i="1"/>
  <c r="F2690" i="1"/>
  <c r="H2690" i="1"/>
  <c r="F2689" i="1"/>
  <c r="H2689" i="1"/>
  <c r="F3179" i="1"/>
  <c r="H3179" i="1"/>
  <c r="I600" i="4"/>
  <c r="F3177" i="1"/>
  <c r="H3177" i="1"/>
  <c r="F3176" i="1"/>
  <c r="H3176" i="1"/>
  <c r="H3178" i="1"/>
  <c r="F3172" i="1"/>
  <c r="H3172" i="1"/>
  <c r="I598" i="4"/>
  <c r="F3170" i="1"/>
  <c r="H3170" i="1"/>
  <c r="F3169" i="1"/>
  <c r="H3169" i="1"/>
  <c r="H2491" i="1"/>
  <c r="I429" i="4"/>
  <c r="F2489" i="1"/>
  <c r="H2489" i="1"/>
  <c r="F2488" i="1"/>
  <c r="H2488" i="1"/>
  <c r="H2353" i="1"/>
  <c r="I393" i="4"/>
  <c r="F2351" i="1"/>
  <c r="H2351" i="1"/>
  <c r="F2350" i="1"/>
  <c r="H2350" i="1"/>
  <c r="F2349" i="1"/>
  <c r="H2349" i="1"/>
  <c r="F2348" i="1"/>
  <c r="H2348" i="1"/>
  <c r="F2347" i="1"/>
  <c r="H2347" i="1"/>
  <c r="H2334" i="1"/>
  <c r="I389" i="4"/>
  <c r="F2332" i="1"/>
  <c r="H2332" i="1"/>
  <c r="F2331" i="1"/>
  <c r="H2331" i="1"/>
  <c r="H2333" i="1"/>
  <c r="F2302" i="1"/>
  <c r="H2302" i="1"/>
  <c r="I383" i="4"/>
  <c r="H2301" i="1"/>
  <c r="J383" i="4"/>
  <c r="H2296" i="1"/>
  <c r="I381" i="4"/>
  <c r="F2294" i="1"/>
  <c r="H2294" i="1"/>
  <c r="F2293" i="1"/>
  <c r="H2293" i="1"/>
  <c r="F2292" i="1"/>
  <c r="H2292" i="1"/>
  <c r="F2291" i="1"/>
  <c r="H2291" i="1"/>
  <c r="F2290" i="1"/>
  <c r="H2290" i="1"/>
  <c r="F2289" i="1"/>
  <c r="H2289" i="1"/>
  <c r="H2295" i="1"/>
  <c r="H2285" i="1"/>
  <c r="I379" i="4"/>
  <c r="F2283" i="1"/>
  <c r="H2283" i="1"/>
  <c r="F2282" i="1"/>
  <c r="H2282" i="1"/>
  <c r="F2281" i="1"/>
  <c r="H2281" i="1"/>
  <c r="H2277" i="1"/>
  <c r="I377" i="4"/>
  <c r="F2275" i="1"/>
  <c r="H2275" i="1"/>
  <c r="F2274" i="1"/>
  <c r="H2274" i="1"/>
  <c r="F2273" i="1"/>
  <c r="H2273" i="1"/>
  <c r="F2272" i="1"/>
  <c r="H2272" i="1"/>
  <c r="F2268" i="1"/>
  <c r="H2268" i="1"/>
  <c r="I375" i="4"/>
  <c r="F2266" i="1"/>
  <c r="H2266" i="1"/>
  <c r="F2265" i="1"/>
  <c r="H2265" i="1"/>
  <c r="F2261" i="1"/>
  <c r="H2261" i="1"/>
  <c r="I373" i="4"/>
  <c r="F2259" i="1"/>
  <c r="H2259" i="1"/>
  <c r="F2258" i="1"/>
  <c r="H2258" i="1"/>
  <c r="H2260" i="1"/>
  <c r="F2254" i="1"/>
  <c r="H2254" i="1"/>
  <c r="I371" i="4"/>
  <c r="D2252" i="1"/>
  <c r="F2252" i="1"/>
  <c r="H2252" i="1"/>
  <c r="F2251" i="1"/>
  <c r="H2251" i="1"/>
  <c r="H2247" i="1"/>
  <c r="F2245" i="1"/>
  <c r="H2245" i="1"/>
  <c r="H2246" i="1"/>
  <c r="F2240" i="1"/>
  <c r="H2240" i="1"/>
  <c r="F2238" i="1"/>
  <c r="H2238" i="1"/>
  <c r="H2239" i="1"/>
  <c r="H2241" i="1"/>
  <c r="F2233" i="1"/>
  <c r="H2233" i="1"/>
  <c r="I365" i="4"/>
  <c r="F2231" i="1"/>
  <c r="H2231" i="1"/>
  <c r="H2230" i="1"/>
  <c r="H2229" i="1"/>
  <c r="F2228" i="1"/>
  <c r="H2228" i="1"/>
  <c r="F2227" i="1"/>
  <c r="H2227" i="1"/>
  <c r="F2226" i="1"/>
  <c r="H2226" i="1"/>
  <c r="F2225" i="1"/>
  <c r="H2225" i="1"/>
  <c r="F2224" i="1"/>
  <c r="H2224" i="1"/>
  <c r="F2194" i="1"/>
  <c r="H2194" i="1"/>
  <c r="I355" i="4"/>
  <c r="F2192" i="1"/>
  <c r="H2192" i="1"/>
  <c r="F2191" i="1"/>
  <c r="H2191" i="1"/>
  <c r="F2187" i="1"/>
  <c r="H2187" i="1"/>
  <c r="I353" i="4"/>
  <c r="F2185" i="1"/>
  <c r="H2185" i="1"/>
  <c r="F2184" i="1"/>
  <c r="H2184" i="1"/>
  <c r="F2183" i="1"/>
  <c r="H2183" i="1"/>
  <c r="H2179" i="1"/>
  <c r="I351" i="4"/>
  <c r="F2177" i="1"/>
  <c r="H2177" i="1"/>
  <c r="H2178" i="1"/>
  <c r="J351" i="4"/>
  <c r="H2173" i="1"/>
  <c r="I349" i="4"/>
  <c r="F2171" i="1"/>
  <c r="H2171" i="1"/>
  <c r="H2172" i="1"/>
  <c r="F2167" i="1"/>
  <c r="H2167" i="1"/>
  <c r="I347" i="4"/>
  <c r="F2165" i="1"/>
  <c r="H2165" i="1"/>
  <c r="H2166" i="1"/>
  <c r="J347" i="4"/>
  <c r="F2161" i="1"/>
  <c r="H2161" i="1"/>
  <c r="I345" i="4"/>
  <c r="F2159" i="1"/>
  <c r="H2159" i="1"/>
  <c r="H2160" i="1"/>
  <c r="J345" i="4"/>
  <c r="F2155" i="1"/>
  <c r="H2155" i="1"/>
  <c r="I343" i="4"/>
  <c r="F2153" i="1"/>
  <c r="H2153" i="1"/>
  <c r="H2154" i="1"/>
  <c r="J343" i="4"/>
  <c r="H2149" i="1"/>
  <c r="I341" i="4"/>
  <c r="F2147" i="1"/>
  <c r="H2147" i="1"/>
  <c r="H2148" i="1"/>
  <c r="J341" i="4"/>
  <c r="F1960" i="1"/>
  <c r="H1960" i="1"/>
  <c r="I310" i="4"/>
  <c r="F1958" i="1"/>
  <c r="H1958" i="1"/>
  <c r="F1957" i="1"/>
  <c r="H1957" i="1"/>
  <c r="F1956" i="1"/>
  <c r="H1956" i="1"/>
  <c r="F1955" i="1"/>
  <c r="H1955" i="1"/>
  <c r="F1954" i="1"/>
  <c r="H1954" i="1"/>
  <c r="F2134" i="1"/>
  <c r="H2134" i="1"/>
  <c r="I337" i="4"/>
  <c r="F2132" i="1"/>
  <c r="H2132" i="1"/>
  <c r="F2131" i="1"/>
  <c r="H2131" i="1"/>
  <c r="F3164" i="1"/>
  <c r="H3164" i="1"/>
  <c r="F3158" i="1"/>
  <c r="H3158" i="1"/>
  <c r="F3152" i="1"/>
  <c r="H3152" i="1"/>
  <c r="F3146" i="1"/>
  <c r="H3146" i="1"/>
  <c r="F3140" i="1"/>
  <c r="H3140" i="1"/>
  <c r="F3134" i="1"/>
  <c r="H3134" i="1"/>
  <c r="F3128" i="1"/>
  <c r="H3128" i="1"/>
  <c r="H3129" i="1"/>
  <c r="F3122" i="1"/>
  <c r="H3122" i="1"/>
  <c r="F3116" i="1"/>
  <c r="H3116" i="1"/>
  <c r="F3110" i="1"/>
  <c r="H3110" i="1"/>
  <c r="I580" i="4"/>
  <c r="F3103" i="1"/>
  <c r="H3103" i="1"/>
  <c r="F3096" i="1"/>
  <c r="H3096" i="1"/>
  <c r="I576" i="4"/>
  <c r="F3089" i="1"/>
  <c r="H3089" i="1"/>
  <c r="I574" i="4"/>
  <c r="F3087" i="1"/>
  <c r="H3087" i="1"/>
  <c r="F3086" i="1"/>
  <c r="H3086" i="1"/>
  <c r="F3082" i="1"/>
  <c r="H3082" i="1"/>
  <c r="I572" i="4"/>
  <c r="F3075" i="1"/>
  <c r="H3075" i="1"/>
  <c r="F3068" i="1"/>
  <c r="H3068" i="1"/>
  <c r="I568" i="4"/>
  <c r="F3061" i="1"/>
  <c r="H3061" i="1"/>
  <c r="H3054" i="1"/>
  <c r="I564" i="4"/>
  <c r="F3048" i="1"/>
  <c r="H3048" i="1"/>
  <c r="I562" i="4"/>
  <c r="F3046" i="1"/>
  <c r="H3046" i="1"/>
  <c r="F3045" i="1"/>
  <c r="H3045" i="1"/>
  <c r="H3047" i="1"/>
  <c r="F3041" i="1"/>
  <c r="H3041" i="1"/>
  <c r="I560" i="4"/>
  <c r="H3035" i="1"/>
  <c r="F3029" i="1"/>
  <c r="H3029" i="1"/>
  <c r="I556" i="4"/>
  <c r="F1766" i="1"/>
  <c r="H1766" i="1"/>
  <c r="F1765" i="1"/>
  <c r="H1765" i="1"/>
  <c r="F1764" i="1"/>
  <c r="H1764" i="1"/>
  <c r="F1763" i="1"/>
  <c r="H1763" i="1"/>
  <c r="F1762" i="1"/>
  <c r="H1762" i="1"/>
  <c r="H1758" i="1"/>
  <c r="I273" i="4"/>
  <c r="F1755" i="1"/>
  <c r="H1755" i="1"/>
  <c r="F1754" i="1"/>
  <c r="H1754" i="1"/>
  <c r="F1753" i="1"/>
  <c r="H1753" i="1"/>
  <c r="F1752" i="1"/>
  <c r="H1752" i="1"/>
  <c r="F1751" i="1"/>
  <c r="H1751" i="1"/>
  <c r="F1731" i="1"/>
  <c r="H1731" i="1"/>
  <c r="I267" i="4"/>
  <c r="F1729" i="1"/>
  <c r="H1729" i="1"/>
  <c r="F1728" i="1"/>
  <c r="H1728" i="1"/>
  <c r="F1727" i="1"/>
  <c r="H1727" i="1"/>
  <c r="F1726" i="1"/>
  <c r="H1726" i="1"/>
  <c r="F1725" i="1"/>
  <c r="H1725" i="1"/>
  <c r="F1724" i="1"/>
  <c r="H1724" i="1"/>
  <c r="F1723" i="1"/>
  <c r="H1723" i="1"/>
  <c r="F1722" i="1"/>
  <c r="H1722" i="1"/>
  <c r="F1721" i="1"/>
  <c r="H1721" i="1"/>
  <c r="F1549" i="1"/>
  <c r="H1549" i="1"/>
  <c r="F1548" i="1"/>
  <c r="H1548" i="1"/>
  <c r="F1547" i="1"/>
  <c r="H1547" i="1"/>
  <c r="F1546" i="1"/>
  <c r="H1546" i="1"/>
  <c r="F1545" i="1"/>
  <c r="H1545" i="1"/>
  <c r="F1544" i="1"/>
  <c r="H1544" i="1"/>
  <c r="F1543" i="1"/>
  <c r="H1543" i="1"/>
  <c r="F1487" i="1"/>
  <c r="H1487" i="1"/>
  <c r="I243" i="4"/>
  <c r="F1485" i="1"/>
  <c r="H1485" i="1"/>
  <c r="F1484" i="1"/>
  <c r="H1484" i="1"/>
  <c r="F1483" i="1"/>
  <c r="H1483" i="1"/>
  <c r="F1479" i="1"/>
  <c r="H1479" i="1"/>
  <c r="I241" i="4"/>
  <c r="F1477" i="1"/>
  <c r="H1477" i="1"/>
  <c r="H1478" i="1"/>
  <c r="F1473" i="1"/>
  <c r="H1473" i="1"/>
  <c r="I239" i="4"/>
  <c r="H1472" i="1"/>
  <c r="J239" i="4"/>
  <c r="F1467" i="1"/>
  <c r="H1467" i="1"/>
  <c r="I237" i="4"/>
  <c r="F1465" i="1"/>
  <c r="H1465" i="1"/>
  <c r="F1464" i="1"/>
  <c r="H1464" i="1"/>
  <c r="F1460" i="1"/>
  <c r="H1460" i="1"/>
  <c r="I235" i="4"/>
  <c r="F1458" i="1"/>
  <c r="H1458" i="1"/>
  <c r="F1457" i="1"/>
  <c r="H1457" i="1"/>
  <c r="H1345" i="1"/>
  <c r="I213" i="4"/>
  <c r="F1343" i="1"/>
  <c r="H1343" i="1"/>
  <c r="F1342" i="1"/>
  <c r="H1342" i="1"/>
  <c r="F1341" i="1"/>
  <c r="H1341" i="1"/>
  <c r="F1340" i="1"/>
  <c r="H1340" i="1"/>
  <c r="F1339" i="1"/>
  <c r="H1339" i="1"/>
  <c r="F1338" i="1"/>
  <c r="H1338" i="1"/>
  <c r="F1337" i="1"/>
  <c r="H1337" i="1"/>
  <c r="F1336" i="1"/>
  <c r="H1336" i="1"/>
  <c r="F1335" i="1"/>
  <c r="H1335" i="1"/>
  <c r="F1334" i="1"/>
  <c r="H1334" i="1"/>
  <c r="F1333" i="1"/>
  <c r="H1333" i="1"/>
  <c r="F1283" i="1"/>
  <c r="H1283" i="1"/>
  <c r="I201" i="4"/>
  <c r="D1281" i="1"/>
  <c r="F1281" i="1"/>
  <c r="H1281" i="1"/>
  <c r="F1280" i="1"/>
  <c r="H1280" i="1"/>
  <c r="F1279" i="1"/>
  <c r="H1279" i="1"/>
  <c r="F1278" i="1"/>
  <c r="H1278" i="1"/>
  <c r="F1277" i="1"/>
  <c r="H1277" i="1"/>
  <c r="H1282" i="1"/>
  <c r="F1261" i="1"/>
  <c r="H1261" i="1"/>
  <c r="I199" i="4"/>
  <c r="F1259" i="1"/>
  <c r="H1259" i="1"/>
  <c r="F1258" i="1"/>
  <c r="H1258" i="1"/>
  <c r="F1257" i="1"/>
  <c r="H1257" i="1"/>
  <c r="F1256" i="1"/>
  <c r="H1256" i="1"/>
  <c r="F1252" i="1"/>
  <c r="H1252" i="1"/>
  <c r="I193" i="4"/>
  <c r="F1250" i="1"/>
  <c r="H1250" i="1"/>
  <c r="F1249" i="1"/>
  <c r="H1249" i="1"/>
  <c r="F1248" i="1"/>
  <c r="H1248" i="1"/>
  <c r="F1247" i="1"/>
  <c r="H1247" i="1"/>
  <c r="F1246" i="1"/>
  <c r="H1246" i="1"/>
  <c r="F1240" i="1"/>
  <c r="H1240" i="1"/>
  <c r="F1239" i="1"/>
  <c r="H1239" i="1"/>
  <c r="F1238" i="1"/>
  <c r="H1238" i="1"/>
  <c r="H1204" i="1"/>
  <c r="I189" i="4"/>
  <c r="F1202" i="1"/>
  <c r="H1202" i="1"/>
  <c r="F1201" i="1"/>
  <c r="H1201" i="1"/>
  <c r="F1200" i="1"/>
  <c r="H1200" i="1"/>
  <c r="F1199" i="1"/>
  <c r="H1199" i="1"/>
  <c r="F1198" i="1"/>
  <c r="H1198" i="1"/>
  <c r="F1197" i="1"/>
  <c r="H1197" i="1"/>
  <c r="F1196" i="1"/>
  <c r="H1196" i="1"/>
  <c r="F1195" i="1"/>
  <c r="H1195" i="1"/>
  <c r="F1194" i="1"/>
  <c r="H1194" i="1"/>
  <c r="F1193" i="1"/>
  <c r="H1193" i="1"/>
  <c r="F1192" i="1"/>
  <c r="H1192" i="1"/>
  <c r="F1191" i="1"/>
  <c r="H1191" i="1"/>
  <c r="F1190" i="1"/>
  <c r="H1190" i="1"/>
  <c r="F1189" i="1"/>
  <c r="H1189" i="1"/>
  <c r="F1188" i="1"/>
  <c r="H1188" i="1"/>
  <c r="F1187" i="1"/>
  <c r="H1187" i="1"/>
  <c r="F1186" i="1"/>
  <c r="H1186" i="1"/>
  <c r="F1185" i="1"/>
  <c r="H1185" i="1"/>
  <c r="F1184" i="1"/>
  <c r="H1184" i="1"/>
  <c r="F1183" i="1"/>
  <c r="H1183" i="1"/>
  <c r="F1182" i="1"/>
  <c r="H1182" i="1"/>
  <c r="F1181" i="1"/>
  <c r="H1181" i="1"/>
  <c r="F1169" i="1"/>
  <c r="H1169" i="1"/>
  <c r="I185" i="4"/>
  <c r="F1167" i="1"/>
  <c r="H1167" i="1"/>
  <c r="F1166" i="1"/>
  <c r="H1166" i="1"/>
  <c r="F1165" i="1"/>
  <c r="H1165" i="1"/>
  <c r="F814" i="1"/>
  <c r="H814" i="1"/>
  <c r="I127" i="4"/>
  <c r="F812" i="1"/>
  <c r="H812" i="1"/>
  <c r="F811" i="1"/>
  <c r="H811" i="1"/>
  <c r="F810" i="1"/>
  <c r="H810" i="1"/>
  <c r="F809" i="1"/>
  <c r="H809" i="1"/>
  <c r="F808" i="1"/>
  <c r="H808" i="1"/>
  <c r="H813" i="1"/>
  <c r="F778" i="1"/>
  <c r="H778" i="1"/>
  <c r="I119" i="4"/>
  <c r="F776" i="1"/>
  <c r="H776" i="1"/>
  <c r="F775" i="1"/>
  <c r="H775" i="1"/>
  <c r="F774" i="1"/>
  <c r="H774" i="1"/>
  <c r="F773" i="1"/>
  <c r="H773" i="1"/>
  <c r="H768" i="1"/>
  <c r="I117" i="4"/>
  <c r="F766" i="1"/>
  <c r="H766" i="1"/>
  <c r="F765" i="1"/>
  <c r="H765" i="1"/>
  <c r="F764" i="1"/>
  <c r="H764" i="1"/>
  <c r="F763" i="1"/>
  <c r="H763" i="1"/>
  <c r="H762" i="1"/>
  <c r="F761" i="1"/>
  <c r="H761" i="1"/>
  <c r="F760" i="1"/>
  <c r="H760" i="1"/>
  <c r="F759" i="1"/>
  <c r="H759" i="1"/>
  <c r="F758" i="1"/>
  <c r="H758" i="1"/>
  <c r="F757" i="1"/>
  <c r="H757" i="1"/>
  <c r="F756" i="1"/>
  <c r="H756" i="1"/>
  <c r="F755" i="1"/>
  <c r="H755" i="1"/>
  <c r="F754" i="1"/>
  <c r="H754" i="1"/>
  <c r="F753" i="1"/>
  <c r="H753" i="1"/>
  <c r="F752" i="1"/>
  <c r="H752" i="1"/>
  <c r="F751" i="1"/>
  <c r="H751" i="1"/>
  <c r="F750" i="1"/>
  <c r="H750" i="1"/>
  <c r="F749" i="1"/>
  <c r="H749" i="1"/>
  <c r="H193" i="1"/>
  <c r="I27" i="4"/>
  <c r="F191" i="1"/>
  <c r="H191" i="1"/>
  <c r="F190" i="1"/>
  <c r="H190" i="1"/>
  <c r="F189" i="1"/>
  <c r="H189" i="1"/>
  <c r="F188" i="1"/>
  <c r="H188" i="1"/>
  <c r="F187" i="1"/>
  <c r="H187" i="1"/>
  <c r="F186" i="1"/>
  <c r="H186" i="1"/>
  <c r="H182" i="1"/>
  <c r="I25" i="4"/>
  <c r="F180" i="1"/>
  <c r="H180" i="1"/>
  <c r="F179" i="1"/>
  <c r="H179" i="1"/>
  <c r="F178" i="1"/>
  <c r="H178" i="1"/>
  <c r="F177" i="1"/>
  <c r="H177" i="1"/>
  <c r="F176" i="1"/>
  <c r="H176" i="1"/>
  <c r="F175" i="1"/>
  <c r="H175" i="1"/>
  <c r="H181" i="1"/>
  <c r="H170" i="1"/>
  <c r="I23" i="4"/>
  <c r="F168" i="1"/>
  <c r="H168" i="1"/>
  <c r="F167" i="1"/>
  <c r="H167" i="1"/>
  <c r="F166" i="1"/>
  <c r="H166" i="1"/>
  <c r="F165" i="1"/>
  <c r="H165" i="1"/>
  <c r="F164" i="1"/>
  <c r="H164" i="1"/>
  <c r="F163" i="1"/>
  <c r="H163" i="1"/>
  <c r="F162" i="1"/>
  <c r="H162" i="1"/>
  <c r="F161" i="1"/>
  <c r="H161" i="1"/>
  <c r="F160" i="1"/>
  <c r="H160" i="1"/>
  <c r="F159" i="1"/>
  <c r="H159" i="1"/>
  <c r="F158" i="1"/>
  <c r="H158" i="1"/>
  <c r="F157" i="1"/>
  <c r="H157" i="1"/>
  <c r="F156" i="1"/>
  <c r="H156" i="1"/>
  <c r="F155" i="1"/>
  <c r="H155" i="1"/>
  <c r="F154" i="1"/>
  <c r="H154" i="1"/>
  <c r="F153" i="1"/>
  <c r="H153" i="1"/>
  <c r="F152" i="1"/>
  <c r="H152" i="1"/>
  <c r="F151" i="1"/>
  <c r="H151" i="1"/>
  <c r="F150" i="1"/>
  <c r="H150" i="1"/>
  <c r="F149" i="1"/>
  <c r="H149" i="1"/>
  <c r="F148" i="1"/>
  <c r="H148" i="1"/>
  <c r="F147" i="1"/>
  <c r="H147" i="1"/>
  <c r="F146" i="1"/>
  <c r="H146" i="1"/>
  <c r="F145" i="1"/>
  <c r="H145" i="1"/>
  <c r="F144" i="1"/>
  <c r="H144" i="1"/>
  <c r="F143" i="1"/>
  <c r="H143" i="1"/>
  <c r="F142" i="1"/>
  <c r="H142" i="1"/>
  <c r="F141" i="1"/>
  <c r="H141" i="1"/>
  <c r="H137" i="1"/>
  <c r="I21" i="4"/>
  <c r="F135" i="1"/>
  <c r="H135" i="1"/>
  <c r="F134" i="1"/>
  <c r="H134" i="1"/>
  <c r="H133" i="1"/>
  <c r="H132" i="1"/>
  <c r="H131" i="1"/>
  <c r="F130" i="1"/>
  <c r="H130" i="1"/>
  <c r="H136" i="1"/>
  <c r="H125" i="1"/>
  <c r="I19" i="4"/>
  <c r="F123" i="1"/>
  <c r="H123" i="1"/>
  <c r="F122" i="1"/>
  <c r="H122" i="1"/>
  <c r="F121" i="1"/>
  <c r="H121" i="1"/>
  <c r="F120" i="1"/>
  <c r="H120" i="1"/>
  <c r="F119" i="1"/>
  <c r="H119" i="1"/>
  <c r="F118" i="1"/>
  <c r="H118" i="1"/>
  <c r="F117" i="1"/>
  <c r="H117" i="1"/>
  <c r="H39" i="1"/>
  <c r="I9" i="4"/>
  <c r="F37" i="1"/>
  <c r="H37" i="1"/>
  <c r="F36" i="1"/>
  <c r="H36" i="1"/>
  <c r="F35" i="1"/>
  <c r="H35" i="1"/>
  <c r="F34" i="1"/>
  <c r="H34" i="1"/>
  <c r="F33" i="1"/>
  <c r="H33" i="1"/>
  <c r="F32" i="1"/>
  <c r="H32" i="1"/>
  <c r="F31" i="1"/>
  <c r="H31" i="1"/>
  <c r="F30" i="1"/>
  <c r="H30" i="1"/>
  <c r="F29" i="1"/>
  <c r="H29" i="1"/>
  <c r="F28" i="1"/>
  <c r="H28" i="1"/>
  <c r="F27" i="1"/>
  <c r="H27" i="1"/>
  <c r="F26" i="1"/>
  <c r="H26" i="1"/>
  <c r="F25" i="1"/>
  <c r="H25" i="1"/>
  <c r="F24" i="1"/>
  <c r="H24" i="1"/>
  <c r="F23" i="1"/>
  <c r="H23" i="1"/>
  <c r="F22" i="1"/>
  <c r="H22" i="1"/>
  <c r="F21" i="1"/>
  <c r="H21" i="1"/>
  <c r="F20" i="1"/>
  <c r="H20" i="1"/>
  <c r="H15" i="1"/>
  <c r="I7" i="4"/>
  <c r="F13" i="1"/>
  <c r="H13" i="1"/>
  <c r="F12" i="1"/>
  <c r="H12" i="1"/>
  <c r="F11" i="1"/>
  <c r="H11" i="1"/>
  <c r="F10" i="1"/>
  <c r="H10" i="1"/>
  <c r="F2977" i="1"/>
  <c r="H2977" i="1"/>
  <c r="F2976" i="1"/>
  <c r="H2976" i="1"/>
  <c r="F2975" i="1"/>
  <c r="H2975" i="1"/>
  <c r="F2974" i="1"/>
  <c r="H2974" i="1"/>
  <c r="F2973" i="1"/>
  <c r="H2973" i="1"/>
  <c r="F2972" i="1"/>
  <c r="H2972" i="1"/>
  <c r="F2971" i="1"/>
  <c r="H2971" i="1"/>
  <c r="F1542" i="1"/>
  <c r="H1542" i="1"/>
  <c r="F1541" i="1"/>
  <c r="H1541" i="1"/>
  <c r="F1540" i="1"/>
  <c r="H1540" i="1"/>
  <c r="F1539" i="1"/>
  <c r="H1539" i="1"/>
  <c r="F1538" i="1"/>
  <c r="H1538" i="1"/>
  <c r="F1537" i="1"/>
  <c r="H1537" i="1"/>
  <c r="F1536" i="1"/>
  <c r="H1536" i="1"/>
  <c r="F1535" i="1"/>
  <c r="H1535" i="1"/>
  <c r="F1534" i="1"/>
  <c r="H1534" i="1"/>
  <c r="F1533" i="1"/>
  <c r="H1533" i="1"/>
  <c r="F1532" i="1"/>
  <c r="H1532" i="1"/>
  <c r="F1531" i="1"/>
  <c r="H1531" i="1"/>
  <c r="F2924" i="1"/>
  <c r="H2924" i="1"/>
  <c r="I544" i="4"/>
  <c r="H2923" i="1"/>
  <c r="J544" i="4"/>
  <c r="F2918" i="1"/>
  <c r="H2918" i="1"/>
  <c r="I542" i="4"/>
  <c r="H2917" i="1"/>
  <c r="J542" i="4"/>
  <c r="H2912" i="1"/>
  <c r="I540" i="4"/>
  <c r="D2910" i="1"/>
  <c r="F2910" i="1"/>
  <c r="H2910" i="1"/>
  <c r="F2909" i="1"/>
  <c r="H2909" i="1"/>
  <c r="H2911" i="1"/>
  <c r="F2905" i="1"/>
  <c r="H2905" i="1"/>
  <c r="I538" i="4"/>
  <c r="D2903" i="1"/>
  <c r="F2903" i="1"/>
  <c r="H2903" i="1"/>
  <c r="F2901" i="1"/>
  <c r="H2901" i="1"/>
  <c r="F2902" i="1"/>
  <c r="H2902" i="1"/>
  <c r="H2904" i="1"/>
  <c r="H2897" i="1"/>
  <c r="I536" i="4"/>
  <c r="F2895" i="1"/>
  <c r="H2895" i="1"/>
  <c r="F2894" i="1"/>
  <c r="H2894" i="1"/>
  <c r="F2893" i="1"/>
  <c r="H2893" i="1"/>
  <c r="H2896" i="1"/>
  <c r="J536" i="4"/>
  <c r="F2861" i="1"/>
  <c r="H2861" i="1"/>
  <c r="I528" i="4"/>
  <c r="D2859" i="1"/>
  <c r="F2859" i="1"/>
  <c r="H2859" i="1"/>
  <c r="F2858" i="1"/>
  <c r="H2858" i="1"/>
  <c r="F2857" i="1"/>
  <c r="H2857" i="1"/>
  <c r="F2856" i="1"/>
  <c r="H2856" i="1"/>
  <c r="F2855" i="1"/>
  <c r="H2855" i="1"/>
  <c r="F2854" i="1"/>
  <c r="H2854" i="1"/>
  <c r="F2853" i="1"/>
  <c r="H2853" i="1"/>
  <c r="H2860" i="1"/>
  <c r="H2723" i="1"/>
  <c r="I496" i="4"/>
  <c r="F2721" i="1"/>
  <c r="H2721" i="1"/>
  <c r="F2720" i="1"/>
  <c r="H2720" i="1"/>
  <c r="F2719" i="1"/>
  <c r="H2719" i="1"/>
  <c r="F2718" i="1"/>
  <c r="H2718" i="1"/>
  <c r="F2717" i="1"/>
  <c r="H2717" i="1"/>
  <c r="F2716" i="1"/>
  <c r="H2716" i="1"/>
  <c r="F2634" i="1"/>
  <c r="H2634" i="1"/>
  <c r="I465" i="4"/>
  <c r="H2633" i="1"/>
  <c r="J465" i="4"/>
  <c r="F2628" i="1"/>
  <c r="H2628" i="1"/>
  <c r="I463" i="4"/>
  <c r="H2627" i="1"/>
  <c r="J463" i="4"/>
  <c r="F2622" i="1"/>
  <c r="H2622" i="1"/>
  <c r="I461" i="4"/>
  <c r="H2621" i="1"/>
  <c r="J461" i="4"/>
  <c r="F2616" i="1"/>
  <c r="H2616" i="1"/>
  <c r="I459" i="4"/>
  <c r="H2615" i="1"/>
  <c r="J459" i="4"/>
  <c r="F2599" i="1"/>
  <c r="H2599" i="1"/>
  <c r="I455" i="4"/>
  <c r="D2597" i="1"/>
  <c r="F2597" i="1"/>
  <c r="H2597" i="1"/>
  <c r="F2596" i="1"/>
  <c r="H2596" i="1"/>
  <c r="H2598" i="1"/>
  <c r="F2592" i="1"/>
  <c r="H2592" i="1"/>
  <c r="I453" i="4"/>
  <c r="H2591" i="1"/>
  <c r="J453" i="4"/>
  <c r="F2586" i="1"/>
  <c r="H2586" i="1"/>
  <c r="I451" i="4"/>
  <c r="H2585" i="1"/>
  <c r="J451" i="4"/>
  <c r="F2580" i="1"/>
  <c r="H2580" i="1"/>
  <c r="I449" i="4"/>
  <c r="F2578" i="1"/>
  <c r="H2578" i="1"/>
  <c r="F2577" i="1"/>
  <c r="H2577" i="1"/>
  <c r="F2576" i="1"/>
  <c r="H2576" i="1"/>
  <c r="F2575" i="1"/>
  <c r="H2575" i="1"/>
  <c r="H2579" i="1"/>
  <c r="F2571" i="1"/>
  <c r="H2571" i="1"/>
  <c r="I447" i="4"/>
  <c r="D2569" i="1"/>
  <c r="F2569" i="1"/>
  <c r="H2569" i="1"/>
  <c r="F2568" i="1"/>
  <c r="H2568" i="1"/>
  <c r="F2567" i="1"/>
  <c r="H2567" i="1"/>
  <c r="F2566" i="1"/>
  <c r="H2566" i="1"/>
  <c r="F2565" i="1"/>
  <c r="H2565" i="1"/>
  <c r="F2564" i="1"/>
  <c r="H2564" i="1"/>
  <c r="F2563" i="1"/>
  <c r="H2563" i="1"/>
  <c r="F2559" i="1"/>
  <c r="H2559" i="1"/>
  <c r="I445" i="4"/>
  <c r="D2557" i="1"/>
  <c r="F2557" i="1"/>
  <c r="H2557" i="1"/>
  <c r="F2556" i="1"/>
  <c r="H2556" i="1"/>
  <c r="F2555" i="1"/>
  <c r="H2555" i="1"/>
  <c r="F2554" i="1"/>
  <c r="H2554" i="1"/>
  <c r="F2553" i="1"/>
  <c r="H2553" i="1"/>
  <c r="F2552" i="1"/>
  <c r="H2552" i="1"/>
  <c r="F2547" i="1"/>
  <c r="H2547" i="1"/>
  <c r="I443" i="4"/>
  <c r="F2545" i="1"/>
  <c r="H2545" i="1"/>
  <c r="F2544" i="1"/>
  <c r="H2544" i="1"/>
  <c r="H2546" i="1"/>
  <c r="H2548" i="1"/>
  <c r="K443" i="4"/>
  <c r="F2478" i="1"/>
  <c r="H2478" i="1"/>
  <c r="I425" i="4"/>
  <c r="D2476" i="1"/>
  <c r="F2476" i="1"/>
  <c r="H2476" i="1"/>
  <c r="F2475" i="1"/>
  <c r="H2475" i="1"/>
  <c r="H2477" i="1"/>
  <c r="F2418" i="1"/>
  <c r="H2418" i="1"/>
  <c r="I409" i="4"/>
  <c r="D2416" i="1"/>
  <c r="F2416" i="1"/>
  <c r="H2416" i="1"/>
  <c r="F2415" i="1"/>
  <c r="H2415" i="1"/>
  <c r="F2414" i="1"/>
  <c r="H2414" i="1"/>
  <c r="F2413" i="1"/>
  <c r="H2413" i="1"/>
  <c r="F2412" i="1"/>
  <c r="H2412" i="1"/>
  <c r="F2407" i="1"/>
  <c r="H2407" i="1"/>
  <c r="I407" i="4"/>
  <c r="D2405" i="1"/>
  <c r="F2405" i="1"/>
  <c r="H2405" i="1"/>
  <c r="F2404" i="1"/>
  <c r="H2404" i="1"/>
  <c r="F2403" i="1"/>
  <c r="H2403" i="1"/>
  <c r="H2406" i="1"/>
  <c r="F2399" i="1"/>
  <c r="H2399" i="1"/>
  <c r="I405" i="4"/>
  <c r="J405" i="4"/>
  <c r="F2393" i="1"/>
  <c r="H2393" i="1"/>
  <c r="I403" i="4"/>
  <c r="F2391" i="1"/>
  <c r="H2391" i="1"/>
  <c r="H2392" i="1"/>
  <c r="J403" i="4"/>
  <c r="F2387" i="1"/>
  <c r="H2387" i="1"/>
  <c r="I401" i="4"/>
  <c r="D2385" i="1"/>
  <c r="F2385" i="1"/>
  <c r="H2385" i="1"/>
  <c r="F2384" i="1"/>
  <c r="H2384" i="1"/>
  <c r="F2380" i="1"/>
  <c r="H2380" i="1"/>
  <c r="I399" i="4"/>
  <c r="F2377" i="1"/>
  <c r="H2377" i="1"/>
  <c r="F2376" i="1"/>
  <c r="H2376" i="1"/>
  <c r="F2375" i="1"/>
  <c r="H2375" i="1"/>
  <c r="F2374" i="1"/>
  <c r="H2374" i="1"/>
  <c r="F2373" i="1"/>
  <c r="H2373" i="1"/>
  <c r="F2371" i="1"/>
  <c r="H2371" i="1"/>
  <c r="F2372" i="1"/>
  <c r="H2372" i="1"/>
  <c r="H2379" i="1"/>
  <c r="J399" i="4"/>
  <c r="H2367" i="1"/>
  <c r="I397" i="4"/>
  <c r="F2365" i="1"/>
  <c r="H2365" i="1"/>
  <c r="F2364" i="1"/>
  <c r="H2364" i="1"/>
  <c r="F2360" i="1"/>
  <c r="H2360" i="1"/>
  <c r="I395" i="4"/>
  <c r="F2358" i="1"/>
  <c r="H2358" i="1"/>
  <c r="H2359" i="1"/>
  <c r="F2142" i="1"/>
  <c r="H2142" i="1"/>
  <c r="I339" i="4"/>
  <c r="D2140" i="1"/>
  <c r="F2140" i="1"/>
  <c r="H2140" i="1"/>
  <c r="F2139" i="1"/>
  <c r="H2139" i="1"/>
  <c r="H2141" i="1"/>
  <c r="F2126" i="1"/>
  <c r="H2126" i="1"/>
  <c r="I335" i="4"/>
  <c r="F2124" i="1"/>
  <c r="H2124" i="1"/>
  <c r="F2123" i="1"/>
  <c r="H2123" i="1"/>
  <c r="F2122" i="1"/>
  <c r="H2122" i="1"/>
  <c r="F2121" i="1"/>
  <c r="H2121" i="1"/>
  <c r="F2120" i="1"/>
  <c r="H2120" i="1"/>
  <c r="F2119" i="1"/>
  <c r="H2119" i="1"/>
  <c r="F2059" i="1"/>
  <c r="H2059" i="1"/>
  <c r="D2057" i="1"/>
  <c r="F2057" i="1"/>
  <c r="H2057" i="1"/>
  <c r="F2056" i="1"/>
  <c r="H2056" i="1"/>
  <c r="F2055" i="1"/>
  <c r="H2055" i="1"/>
  <c r="F2054" i="1"/>
  <c r="H2054" i="1"/>
  <c r="H2058" i="1"/>
  <c r="H2060" i="1"/>
  <c r="F2050" i="1"/>
  <c r="H2050" i="1"/>
  <c r="I329" i="4"/>
  <c r="F2048" i="1"/>
  <c r="H2048" i="1"/>
  <c r="F2046" i="1"/>
  <c r="H2046" i="1"/>
  <c r="F2045" i="1"/>
  <c r="H2045" i="1"/>
  <c r="F2044" i="1"/>
  <c r="H2044" i="1"/>
  <c r="F2042" i="1"/>
  <c r="H2042" i="1"/>
  <c r="F2043" i="1"/>
  <c r="H2043" i="1"/>
  <c r="H2049" i="1"/>
  <c r="F2037" i="1"/>
  <c r="H2037" i="1"/>
  <c r="I327" i="4"/>
  <c r="D2035" i="1"/>
  <c r="F2035" i="1"/>
  <c r="H2035" i="1"/>
  <c r="F2034" i="1"/>
  <c r="H2034" i="1"/>
  <c r="F2033" i="1"/>
  <c r="H2033" i="1"/>
  <c r="F2032" i="1"/>
  <c r="H2032" i="1"/>
  <c r="F2031" i="1"/>
  <c r="H2031" i="1"/>
  <c r="H2036" i="1"/>
  <c r="F1875" i="1"/>
  <c r="H1875" i="1"/>
  <c r="I294" i="4"/>
  <c r="D1873" i="1"/>
  <c r="F1873" i="1"/>
  <c r="H1873" i="1"/>
  <c r="F1872" i="1"/>
  <c r="H1872" i="1"/>
  <c r="F1871" i="1"/>
  <c r="H1871" i="1"/>
  <c r="F1870" i="1"/>
  <c r="H1870" i="1"/>
  <c r="F1869" i="1"/>
  <c r="H1869" i="1"/>
  <c r="F1865" i="1"/>
  <c r="H1865" i="1"/>
  <c r="I292" i="4"/>
  <c r="D1863" i="1"/>
  <c r="F1863" i="1"/>
  <c r="H1863" i="1"/>
  <c r="F1862" i="1"/>
  <c r="H1862" i="1"/>
  <c r="F1861" i="1"/>
  <c r="H1861" i="1"/>
  <c r="F1860" i="1"/>
  <c r="H1860" i="1"/>
  <c r="F1859" i="1"/>
  <c r="H1859" i="1"/>
  <c r="F1858" i="1"/>
  <c r="H1858" i="1"/>
  <c r="F1857" i="1"/>
  <c r="H1857" i="1"/>
  <c r="F1856" i="1"/>
  <c r="H1856" i="1"/>
  <c r="F1855" i="1"/>
  <c r="H1855" i="1"/>
  <c r="F1854" i="1"/>
  <c r="H1854" i="1"/>
  <c r="F1853" i="1"/>
  <c r="H1853" i="1"/>
  <c r="F1852" i="1"/>
  <c r="H1852" i="1"/>
  <c r="F1846" i="1"/>
  <c r="H1846" i="1"/>
  <c r="F1844" i="1"/>
  <c r="H1844" i="1"/>
  <c r="D1824" i="1"/>
  <c r="F1824" i="1"/>
  <c r="H1824" i="1"/>
  <c r="F1823" i="1"/>
  <c r="H1823" i="1"/>
  <c r="F1822" i="1"/>
  <c r="H1822" i="1"/>
  <c r="F1821" i="1"/>
  <c r="H1821" i="1"/>
  <c r="F1820" i="1"/>
  <c r="H1820" i="1"/>
  <c r="F1819" i="1"/>
  <c r="H1819" i="1"/>
  <c r="F1818" i="1"/>
  <c r="H1818" i="1"/>
  <c r="F1817" i="1"/>
  <c r="H1817" i="1"/>
  <c r="F1816" i="1"/>
  <c r="H1816" i="1"/>
  <c r="F1815" i="1"/>
  <c r="H1815" i="1"/>
  <c r="F1814" i="1"/>
  <c r="H1814" i="1"/>
  <c r="F1813" i="1"/>
  <c r="H1813" i="1"/>
  <c r="F1812" i="1"/>
  <c r="H1812" i="1"/>
  <c r="F1808" i="1"/>
  <c r="H1808" i="1"/>
  <c r="I283" i="4"/>
  <c r="D1806" i="1"/>
  <c r="F1806" i="1"/>
  <c r="H1806" i="1"/>
  <c r="F1805" i="1"/>
  <c r="H1805" i="1"/>
  <c r="F1804" i="1"/>
  <c r="H1804" i="1"/>
  <c r="A1804" i="1"/>
  <c r="A1805" i="1"/>
  <c r="F1803" i="1"/>
  <c r="H1803" i="1"/>
  <c r="H1703" i="1"/>
  <c r="I263" i="4"/>
  <c r="F1701" i="1"/>
  <c r="H1701" i="1"/>
  <c r="F1700" i="1"/>
  <c r="H1700" i="1"/>
  <c r="F1699" i="1"/>
  <c r="H1699" i="1"/>
  <c r="F1698" i="1"/>
  <c r="H1698" i="1"/>
  <c r="F1697" i="1"/>
  <c r="H1697" i="1"/>
  <c r="F1696" i="1"/>
  <c r="H1696" i="1"/>
  <c r="F1695" i="1"/>
  <c r="H1695" i="1"/>
  <c r="F1694" i="1"/>
  <c r="H1694" i="1"/>
  <c r="F1693" i="1"/>
  <c r="H1693" i="1"/>
  <c r="F1716" i="1"/>
  <c r="H1716" i="1"/>
  <c r="I265" i="4"/>
  <c r="D1714" i="1"/>
  <c r="F1714" i="1"/>
  <c r="H1714" i="1"/>
  <c r="F1713" i="1"/>
  <c r="H1713" i="1"/>
  <c r="F1712" i="1"/>
  <c r="H1712" i="1"/>
  <c r="F1711" i="1"/>
  <c r="H1711" i="1"/>
  <c r="F1710" i="1"/>
  <c r="H1710" i="1"/>
  <c r="F1709" i="1"/>
  <c r="H1709" i="1"/>
  <c r="F1708" i="1"/>
  <c r="F1707" i="1"/>
  <c r="H1707" i="1"/>
  <c r="F1452" i="1"/>
  <c r="H1452" i="1"/>
  <c r="I233" i="4"/>
  <c r="D1450" i="1"/>
  <c r="F1450" i="1"/>
  <c r="H1450" i="1"/>
  <c r="F1449" i="1"/>
  <c r="H1449" i="1"/>
  <c r="F1448" i="1"/>
  <c r="H1448" i="1"/>
  <c r="H1451" i="1"/>
  <c r="F1444" i="1"/>
  <c r="H1444" i="1"/>
  <c r="I231" i="4"/>
  <c r="F1442" i="1"/>
  <c r="H1442" i="1"/>
  <c r="F1440" i="1"/>
  <c r="H1440" i="1"/>
  <c r="F1439" i="1"/>
  <c r="H1439" i="1"/>
  <c r="F1438" i="1"/>
  <c r="H1438" i="1"/>
  <c r="F1434" i="1"/>
  <c r="H1434" i="1"/>
  <c r="I229" i="4"/>
  <c r="D1432" i="1"/>
  <c r="F1432" i="1"/>
  <c r="H1432" i="1"/>
  <c r="F1431" i="1"/>
  <c r="H1431" i="1"/>
  <c r="F1430" i="1"/>
  <c r="H1430" i="1"/>
  <c r="F1429" i="1"/>
  <c r="H1429" i="1"/>
  <c r="F1428" i="1"/>
  <c r="H1428" i="1"/>
  <c r="H1433" i="1"/>
  <c r="H1435" i="1"/>
  <c r="K229" i="4"/>
  <c r="F1424" i="1"/>
  <c r="H1424" i="1"/>
  <c r="I227" i="4"/>
  <c r="F1422" i="1"/>
  <c r="H1422" i="1"/>
  <c r="F1421" i="1"/>
  <c r="H1421" i="1"/>
  <c r="F1420" i="1"/>
  <c r="H1420" i="1"/>
  <c r="F1419" i="1"/>
  <c r="H1419" i="1"/>
  <c r="F1418" i="1"/>
  <c r="H1418" i="1"/>
  <c r="F1417" i="1"/>
  <c r="H1417" i="1"/>
  <c r="F1237" i="1"/>
  <c r="H1237" i="1"/>
  <c r="F1236" i="1"/>
  <c r="H1236" i="1"/>
  <c r="F1235" i="1"/>
  <c r="H1235" i="1"/>
  <c r="F1234" i="1"/>
  <c r="H1234" i="1"/>
  <c r="F1233" i="1"/>
  <c r="H1233" i="1"/>
  <c r="F1232" i="1"/>
  <c r="H1232" i="1"/>
  <c r="F1231" i="1"/>
  <c r="H1231" i="1"/>
  <c r="F1230" i="1"/>
  <c r="H1230" i="1"/>
  <c r="F1229" i="1"/>
  <c r="H1229" i="1"/>
  <c r="F1228" i="1"/>
  <c r="H1228" i="1"/>
  <c r="F1227" i="1"/>
  <c r="H1227" i="1"/>
  <c r="H1099" i="1"/>
  <c r="I171" i="4"/>
  <c r="F1090" i="1"/>
  <c r="H1090" i="1"/>
  <c r="F1089" i="1"/>
  <c r="H1089" i="1"/>
  <c r="F1088" i="1"/>
  <c r="H1088" i="1"/>
  <c r="F1082" i="1"/>
  <c r="H1082" i="1"/>
  <c r="I169" i="4"/>
  <c r="D1080" i="1"/>
  <c r="F1080" i="1"/>
  <c r="H1080" i="1"/>
  <c r="F1079" i="1"/>
  <c r="H1079" i="1"/>
  <c r="F1078" i="1"/>
  <c r="H1078" i="1"/>
  <c r="F1077" i="1"/>
  <c r="H1077" i="1"/>
  <c r="F1076" i="1"/>
  <c r="H1076" i="1"/>
  <c r="F1075" i="1"/>
  <c r="H1075" i="1"/>
  <c r="F1074" i="1"/>
  <c r="H1074" i="1"/>
  <c r="F1073" i="1"/>
  <c r="H1073" i="1"/>
  <c r="F1072" i="1"/>
  <c r="H1072" i="1"/>
  <c r="F1071" i="1"/>
  <c r="H1071" i="1"/>
  <c r="F1070" i="1"/>
  <c r="H1070" i="1"/>
  <c r="F1069" i="1"/>
  <c r="H1069" i="1"/>
  <c r="F1068" i="1"/>
  <c r="H1068" i="1"/>
  <c r="F2609" i="1"/>
  <c r="H2609" i="1"/>
  <c r="I457" i="4"/>
  <c r="D2607" i="1"/>
  <c r="F2607" i="1"/>
  <c r="H2607" i="1"/>
  <c r="F2606" i="1"/>
  <c r="H2606" i="1"/>
  <c r="F2605" i="1"/>
  <c r="H2605" i="1"/>
  <c r="F2604" i="1"/>
  <c r="H2604" i="1"/>
  <c r="F2603" i="1"/>
  <c r="H2603" i="1"/>
  <c r="H2608" i="1"/>
  <c r="F957" i="1"/>
  <c r="H957" i="1"/>
  <c r="I155" i="4"/>
  <c r="F955" i="1"/>
  <c r="H955" i="1"/>
  <c r="F954" i="1"/>
  <c r="H954" i="1"/>
  <c r="F949" i="1"/>
  <c r="H949" i="1"/>
  <c r="I153" i="4"/>
  <c r="D947" i="1"/>
  <c r="F947" i="1"/>
  <c r="H947" i="1"/>
  <c r="F946" i="1"/>
  <c r="H946" i="1"/>
  <c r="F945" i="1"/>
  <c r="H945" i="1"/>
  <c r="F944" i="1"/>
  <c r="H944" i="1"/>
  <c r="F943" i="1"/>
  <c r="H943" i="1"/>
  <c r="F942" i="1"/>
  <c r="H942" i="1"/>
  <c r="F941" i="1"/>
  <c r="H941" i="1"/>
  <c r="H948" i="1"/>
  <c r="F1839" i="1"/>
  <c r="H1839" i="1"/>
  <c r="I287" i="4"/>
  <c r="D1837" i="1"/>
  <c r="F1837" i="1"/>
  <c r="H1837" i="1"/>
  <c r="F1836" i="1"/>
  <c r="H1836" i="1"/>
  <c r="F1835" i="1"/>
  <c r="H1835" i="1"/>
  <c r="F1834" i="1"/>
  <c r="H1834" i="1"/>
  <c r="F1833" i="1"/>
  <c r="H1833" i="1"/>
  <c r="F1832" i="1"/>
  <c r="H1832" i="1"/>
  <c r="F1831" i="1"/>
  <c r="H1831" i="1"/>
  <c r="F893" i="1"/>
  <c r="H893" i="1"/>
  <c r="I139" i="4"/>
  <c r="D891" i="1"/>
  <c r="F891" i="1"/>
  <c r="H891" i="1"/>
  <c r="F890" i="1"/>
  <c r="H890" i="1"/>
  <c r="F889" i="1"/>
  <c r="H889" i="1"/>
  <c r="F888" i="1"/>
  <c r="H888" i="1"/>
  <c r="F887" i="1"/>
  <c r="H887" i="1"/>
  <c r="F886" i="1"/>
  <c r="H886" i="1"/>
  <c r="F885" i="1"/>
  <c r="H885" i="1"/>
  <c r="F884" i="1"/>
  <c r="H884" i="1"/>
  <c r="F883" i="1"/>
  <c r="H883" i="1"/>
  <c r="F882" i="1"/>
  <c r="H882" i="1"/>
  <c r="F881" i="1"/>
  <c r="H881" i="1"/>
  <c r="F880" i="1"/>
  <c r="H880" i="1"/>
  <c r="F879" i="1"/>
  <c r="H879" i="1"/>
  <c r="F878" i="1"/>
  <c r="H878" i="1"/>
  <c r="F877" i="1"/>
  <c r="H877" i="1"/>
  <c r="F876" i="1"/>
  <c r="H876" i="1"/>
  <c r="F919" i="1"/>
  <c r="H919" i="1"/>
  <c r="I145" i="4"/>
  <c r="F917" i="1"/>
  <c r="H917" i="1"/>
  <c r="F916" i="1"/>
  <c r="H916" i="1"/>
  <c r="F915" i="1"/>
  <c r="H915" i="1"/>
  <c r="F914" i="1"/>
  <c r="H914" i="1"/>
  <c r="H918" i="1"/>
  <c r="F872" i="1"/>
  <c r="H872" i="1"/>
  <c r="I137" i="4"/>
  <c r="F870" i="1"/>
  <c r="H870" i="1"/>
  <c r="F869" i="1"/>
  <c r="H869" i="1"/>
  <c r="F868" i="1"/>
  <c r="H868" i="1"/>
  <c r="F867" i="1"/>
  <c r="H867" i="1"/>
  <c r="F866" i="1"/>
  <c r="H866" i="1"/>
  <c r="F839" i="1"/>
  <c r="H839" i="1"/>
  <c r="I131" i="4"/>
  <c r="D837" i="1"/>
  <c r="F837" i="1"/>
  <c r="H837" i="1"/>
  <c r="F836" i="1"/>
  <c r="H836" i="1"/>
  <c r="F835" i="1"/>
  <c r="H835" i="1"/>
  <c r="F834" i="1"/>
  <c r="H834" i="1"/>
  <c r="F833" i="1"/>
  <c r="H833" i="1"/>
  <c r="H838" i="1"/>
  <c r="H704" i="1"/>
  <c r="I111" i="4"/>
  <c r="D702" i="1"/>
  <c r="F702" i="1"/>
  <c r="H702" i="1"/>
  <c r="F701" i="1"/>
  <c r="H701" i="1"/>
  <c r="F700" i="1"/>
  <c r="H700" i="1"/>
  <c r="F699" i="1"/>
  <c r="H699" i="1"/>
  <c r="F698" i="1"/>
  <c r="H698" i="1"/>
  <c r="F697" i="1"/>
  <c r="H697" i="1"/>
  <c r="F571" i="1"/>
  <c r="H571" i="1"/>
  <c r="I91" i="4"/>
  <c r="D569" i="1"/>
  <c r="F569" i="1"/>
  <c r="H569" i="1"/>
  <c r="F568" i="1"/>
  <c r="H568" i="1"/>
  <c r="F567" i="1"/>
  <c r="H567" i="1"/>
  <c r="F566" i="1"/>
  <c r="H566" i="1"/>
  <c r="H570" i="1"/>
  <c r="F562" i="1"/>
  <c r="H562" i="1"/>
  <c r="I89" i="4"/>
  <c r="F560" i="1"/>
  <c r="H560" i="1"/>
  <c r="F559" i="1"/>
  <c r="H559" i="1"/>
  <c r="F558" i="1"/>
  <c r="H558" i="1"/>
  <c r="H561" i="1"/>
  <c r="F554" i="1"/>
  <c r="H554" i="1"/>
  <c r="I87" i="4"/>
  <c r="D552" i="1"/>
  <c r="F552" i="1"/>
  <c r="H552" i="1"/>
  <c r="F551" i="1"/>
  <c r="H551" i="1"/>
  <c r="F550" i="1"/>
  <c r="H550" i="1"/>
  <c r="F549" i="1"/>
  <c r="H549" i="1"/>
  <c r="H553" i="1"/>
  <c r="F545" i="1"/>
  <c r="H545" i="1"/>
  <c r="F543" i="1"/>
  <c r="H543" i="1"/>
  <c r="F542" i="1"/>
  <c r="H542" i="1"/>
  <c r="F541" i="1"/>
  <c r="H541" i="1"/>
  <c r="H544" i="1"/>
  <c r="J85" i="4"/>
  <c r="F537" i="1"/>
  <c r="H537" i="1"/>
  <c r="I83" i="4"/>
  <c r="D535" i="1"/>
  <c r="F535" i="1"/>
  <c r="H535" i="1"/>
  <c r="F534" i="1"/>
  <c r="H534" i="1"/>
  <c r="H536" i="1"/>
  <c r="F530" i="1"/>
  <c r="H530" i="1"/>
  <c r="I81" i="4"/>
  <c r="D528" i="1"/>
  <c r="F528" i="1"/>
  <c r="H528" i="1"/>
  <c r="F527" i="1"/>
  <c r="H527" i="1"/>
  <c r="F526" i="1"/>
  <c r="H526" i="1"/>
  <c r="F525" i="1"/>
  <c r="H525" i="1"/>
  <c r="F524" i="1"/>
  <c r="H524" i="1"/>
  <c r="H529" i="1"/>
  <c r="F520" i="1"/>
  <c r="H520" i="1"/>
  <c r="I79" i="4"/>
  <c r="D518" i="1"/>
  <c r="F518" i="1"/>
  <c r="H518" i="1"/>
  <c r="F517" i="1"/>
  <c r="H517" i="1"/>
  <c r="F516" i="1"/>
  <c r="H516" i="1"/>
  <c r="F515" i="1"/>
  <c r="H515" i="1"/>
  <c r="F514" i="1"/>
  <c r="H514" i="1"/>
  <c r="F513" i="1"/>
  <c r="H513" i="1"/>
  <c r="H519" i="1"/>
  <c r="F508" i="1"/>
  <c r="H508" i="1"/>
  <c r="I77" i="4"/>
  <c r="D506" i="1"/>
  <c r="F506" i="1"/>
  <c r="H506" i="1"/>
  <c r="F505" i="1"/>
  <c r="H505" i="1"/>
  <c r="H507" i="1"/>
  <c r="F438" i="1"/>
  <c r="H438" i="1"/>
  <c r="I61" i="4"/>
  <c r="D436" i="1"/>
  <c r="F436" i="1"/>
  <c r="H436" i="1"/>
  <c r="F435" i="1"/>
  <c r="H435" i="1"/>
  <c r="F434" i="1"/>
  <c r="H434" i="1"/>
  <c r="F433" i="1"/>
  <c r="H433" i="1"/>
  <c r="F432" i="1"/>
  <c r="H432" i="1"/>
  <c r="H437" i="1"/>
  <c r="F376" i="1"/>
  <c r="H376" i="1"/>
  <c r="I51" i="4"/>
  <c r="D374" i="1"/>
  <c r="F374" i="1"/>
  <c r="H374" i="1"/>
  <c r="F373" i="1"/>
  <c r="H373" i="1"/>
  <c r="F372" i="1"/>
  <c r="H372" i="1"/>
  <c r="F371" i="1"/>
  <c r="H371" i="1"/>
  <c r="F370" i="1"/>
  <c r="H370" i="1"/>
  <c r="F369" i="1"/>
  <c r="H369" i="1"/>
  <c r="F368" i="1"/>
  <c r="H368" i="1"/>
  <c r="F367" i="1"/>
  <c r="H367" i="1"/>
  <c r="F366" i="1"/>
  <c r="H366" i="1"/>
  <c r="F365" i="1"/>
  <c r="H365" i="1"/>
  <c r="H375" i="1"/>
  <c r="F361" i="1"/>
  <c r="H361" i="1"/>
  <c r="D359" i="1"/>
  <c r="F359" i="1"/>
  <c r="H359" i="1"/>
  <c r="F358" i="1"/>
  <c r="H358" i="1"/>
  <c r="F357" i="1"/>
  <c r="H357" i="1"/>
  <c r="F356" i="1"/>
  <c r="H356" i="1"/>
  <c r="F355" i="1"/>
  <c r="H355" i="1"/>
  <c r="F354" i="1"/>
  <c r="H354" i="1"/>
  <c r="F353" i="1"/>
  <c r="H353" i="1"/>
  <c r="F352" i="1"/>
  <c r="H352" i="1"/>
  <c r="F351" i="1"/>
  <c r="H351" i="1"/>
  <c r="F350" i="1"/>
  <c r="H350" i="1"/>
  <c r="F349" i="1"/>
  <c r="H349" i="1"/>
  <c r="F344" i="1"/>
  <c r="H344" i="1"/>
  <c r="D342" i="1"/>
  <c r="F342" i="1"/>
  <c r="H342" i="1"/>
  <c r="F341" i="1"/>
  <c r="H341" i="1"/>
  <c r="F340" i="1"/>
  <c r="H340" i="1"/>
  <c r="F339" i="1"/>
  <c r="H339" i="1"/>
  <c r="F338" i="1"/>
  <c r="H338" i="1"/>
  <c r="F337" i="1"/>
  <c r="H337" i="1"/>
  <c r="F336" i="1"/>
  <c r="H336" i="1"/>
  <c r="F335" i="1"/>
  <c r="H335" i="1"/>
  <c r="F334" i="1"/>
  <c r="H334" i="1"/>
  <c r="F333" i="1"/>
  <c r="H333" i="1"/>
  <c r="F332" i="1"/>
  <c r="H332" i="1"/>
  <c r="F331" i="1"/>
  <c r="H331" i="1"/>
  <c r="F330" i="1"/>
  <c r="H330" i="1"/>
  <c r="F329" i="1"/>
  <c r="H329" i="1"/>
  <c r="F325" i="1"/>
  <c r="H325" i="1"/>
  <c r="I45" i="4"/>
  <c r="D323" i="1"/>
  <c r="F323" i="1"/>
  <c r="H323" i="1"/>
  <c r="F322" i="1"/>
  <c r="H322" i="1"/>
  <c r="F321" i="1"/>
  <c r="H321" i="1"/>
  <c r="F320" i="1"/>
  <c r="H320" i="1"/>
  <c r="F319" i="1"/>
  <c r="H319" i="1"/>
  <c r="F318" i="1"/>
  <c r="H318" i="1"/>
  <c r="F317" i="1"/>
  <c r="H317" i="1"/>
  <c r="F316" i="1"/>
  <c r="H316" i="1"/>
  <c r="F315" i="1"/>
  <c r="H315" i="1"/>
  <c r="F314" i="1"/>
  <c r="H314" i="1"/>
  <c r="F313" i="1"/>
  <c r="H313" i="1"/>
  <c r="F312" i="1"/>
  <c r="H312" i="1"/>
  <c r="F311" i="1"/>
  <c r="H311" i="1"/>
  <c r="F310" i="1"/>
  <c r="H310" i="1"/>
  <c r="F309" i="1"/>
  <c r="H309" i="1"/>
  <c r="F305" i="1"/>
  <c r="D303" i="1"/>
  <c r="F303" i="1"/>
  <c r="H303" i="1"/>
  <c r="F302" i="1"/>
  <c r="H302" i="1"/>
  <c r="F301" i="1"/>
  <c r="H301" i="1"/>
  <c r="F300" i="1"/>
  <c r="H300" i="1"/>
  <c r="F299" i="1"/>
  <c r="H299" i="1"/>
  <c r="F298" i="1"/>
  <c r="H298" i="1"/>
  <c r="F297" i="1"/>
  <c r="H297" i="1"/>
  <c r="F296" i="1"/>
  <c r="H296" i="1"/>
  <c r="F295" i="1"/>
  <c r="H295" i="1"/>
  <c r="F294" i="1"/>
  <c r="H294" i="1"/>
  <c r="F293" i="1"/>
  <c r="H293" i="1"/>
  <c r="F292" i="1"/>
  <c r="H292" i="1"/>
  <c r="F291" i="1"/>
  <c r="H291" i="1"/>
  <c r="F290" i="1"/>
  <c r="H290" i="1"/>
  <c r="F289" i="1"/>
  <c r="H289" i="1"/>
  <c r="F288" i="1"/>
  <c r="H288" i="1"/>
  <c r="F284" i="1"/>
  <c r="H284" i="1"/>
  <c r="I41" i="4"/>
  <c r="D282" i="1"/>
  <c r="F282" i="1"/>
  <c r="H282" i="1"/>
  <c r="F281" i="1"/>
  <c r="H281" i="1"/>
  <c r="F280" i="1"/>
  <c r="H280" i="1"/>
  <c r="F279" i="1"/>
  <c r="H279" i="1"/>
  <c r="F278" i="1"/>
  <c r="H278" i="1"/>
  <c r="F274" i="1"/>
  <c r="D272" i="1"/>
  <c r="F272" i="1"/>
  <c r="H272" i="1"/>
  <c r="F271" i="1"/>
  <c r="H271" i="1"/>
  <c r="F270" i="1"/>
  <c r="H270" i="1"/>
  <c r="F269" i="1"/>
  <c r="H269" i="1"/>
  <c r="F268" i="1"/>
  <c r="H268" i="1"/>
  <c r="F267" i="1"/>
  <c r="H267" i="1"/>
  <c r="F266" i="1"/>
  <c r="H266" i="1"/>
  <c r="F244" i="1"/>
  <c r="H244" i="1"/>
  <c r="D242" i="1"/>
  <c r="F242" i="1"/>
  <c r="H242" i="1"/>
  <c r="F241" i="1"/>
  <c r="H241" i="1"/>
  <c r="F240" i="1"/>
  <c r="H240" i="1"/>
  <c r="F239" i="1"/>
  <c r="H239" i="1"/>
  <c r="F238" i="1"/>
  <c r="H238" i="1"/>
  <c r="F237" i="1"/>
  <c r="H237" i="1"/>
  <c r="F236" i="1"/>
  <c r="H236" i="1"/>
  <c r="H243" i="1"/>
  <c r="H54" i="1"/>
  <c r="I11" i="4"/>
  <c r="F52" i="1"/>
  <c r="H52" i="1"/>
  <c r="F51" i="1"/>
  <c r="H51" i="1"/>
  <c r="F49" i="1"/>
  <c r="H49" i="1"/>
  <c r="F48" i="1"/>
  <c r="H48" i="1"/>
  <c r="F47" i="1"/>
  <c r="H47" i="1"/>
  <c r="F46" i="1"/>
  <c r="H46" i="1"/>
  <c r="F45" i="1"/>
  <c r="H45" i="1"/>
  <c r="F44" i="1"/>
  <c r="H44" i="1"/>
  <c r="H2276" i="1"/>
  <c r="J377" i="4"/>
  <c r="H2694" i="1"/>
  <c r="H2696" i="1"/>
  <c r="K481" i="4"/>
  <c r="H2186" i="1"/>
  <c r="H2352" i="1"/>
  <c r="H2354" i="1"/>
  <c r="K393" i="4"/>
  <c r="H2232" i="1"/>
  <c r="H2234" i="1"/>
  <c r="K365" i="4"/>
  <c r="H1730" i="1"/>
  <c r="H1732" i="1"/>
  <c r="K267" i="4"/>
  <c r="H124" i="1"/>
  <c r="J19" i="4"/>
  <c r="H38" i="1"/>
  <c r="H40" i="1"/>
  <c r="K9" i="4"/>
  <c r="H1757" i="1"/>
  <c r="H1767" i="1"/>
  <c r="J275" i="4"/>
  <c r="H674" i="1"/>
  <c r="J107" i="4"/>
  <c r="H792" i="1"/>
  <c r="H860" i="1"/>
  <c r="J135" i="4"/>
  <c r="I49" i="4"/>
  <c r="I367" i="4"/>
  <c r="I369" i="4"/>
  <c r="I35" i="4"/>
  <c r="H274" i="1"/>
  <c r="I39" i="4"/>
  <c r="H305" i="1"/>
  <c r="I43" i="4"/>
  <c r="J367" i="4"/>
  <c r="J369" i="4"/>
  <c r="H3123" i="1"/>
  <c r="K584" i="4"/>
  <c r="I584" i="4"/>
  <c r="H3135" i="1"/>
  <c r="K586" i="4"/>
  <c r="I586" i="4"/>
  <c r="H3147" i="1"/>
  <c r="K590" i="4"/>
  <c r="I590" i="4"/>
  <c r="H3159" i="1"/>
  <c r="K594" i="4"/>
  <c r="I594" i="4"/>
  <c r="H2758" i="1"/>
  <c r="K498" i="4"/>
  <c r="I498" i="4"/>
  <c r="H2770" i="1"/>
  <c r="K502" i="4"/>
  <c r="H2783" i="1"/>
  <c r="K506" i="4"/>
  <c r="I506" i="4"/>
  <c r="I518" i="4"/>
  <c r="H2646" i="1"/>
  <c r="K469" i="4"/>
  <c r="I469" i="4"/>
  <c r="H2471" i="1"/>
  <c r="K423" i="4"/>
  <c r="I423" i="4"/>
  <c r="H2840" i="1"/>
  <c r="K524" i="4"/>
  <c r="I524" i="4"/>
  <c r="H3036" i="1"/>
  <c r="K558" i="4"/>
  <c r="I558" i="4"/>
  <c r="I566" i="4"/>
  <c r="I570" i="4"/>
  <c r="I578" i="4"/>
  <c r="H3117" i="1"/>
  <c r="K582" i="4"/>
  <c r="I582" i="4"/>
  <c r="H3141" i="1"/>
  <c r="K588" i="4"/>
  <c r="I588" i="4"/>
  <c r="H3153" i="1"/>
  <c r="K592" i="4"/>
  <c r="I592" i="4"/>
  <c r="H3165" i="1"/>
  <c r="K596" i="4"/>
  <c r="I596" i="4"/>
  <c r="H2789" i="1"/>
  <c r="K508" i="4"/>
  <c r="I508" i="4"/>
  <c r="H1885" i="1"/>
  <c r="I298" i="4"/>
  <c r="H296" i="4"/>
  <c r="H2540" i="1"/>
  <c r="K441" i="4"/>
  <c r="I441" i="4"/>
  <c r="H2835" i="1"/>
  <c r="K522" i="4"/>
  <c r="I522" i="4"/>
  <c r="H1897" i="1"/>
  <c r="H2870" i="1"/>
  <c r="H2872" i="1"/>
  <c r="H474" i="1"/>
  <c r="H490" i="1"/>
  <c r="H492" i="1"/>
  <c r="K73" i="4"/>
  <c r="H1746" i="1"/>
  <c r="H1160" i="1"/>
  <c r="H1162" i="1"/>
  <c r="H1737" i="1"/>
  <c r="H2466" i="1"/>
  <c r="K421" i="4"/>
  <c r="H1118" i="1"/>
  <c r="H1120" i="1"/>
  <c r="H458" i="1"/>
  <c r="H460" i="1"/>
  <c r="K65" i="4"/>
  <c r="H786" i="1"/>
  <c r="H788" i="1"/>
  <c r="H1029" i="1"/>
  <c r="J161" i="4"/>
  <c r="H1655" i="1"/>
  <c r="J257" i="4"/>
  <c r="H1126" i="1"/>
  <c r="H2653" i="1"/>
  <c r="H2458" i="1"/>
  <c r="J419" i="4"/>
  <c r="H2731" i="1"/>
  <c r="K488" i="4"/>
  <c r="H2878" i="1"/>
  <c r="H2880" i="1"/>
  <c r="K532" i="4"/>
  <c r="H1139" i="1"/>
  <c r="H1141" i="1"/>
  <c r="K177" i="4"/>
  <c r="H2661" i="1"/>
  <c r="H499" i="1"/>
  <c r="H501" i="1"/>
  <c r="K75" i="4"/>
  <c r="H802" i="1"/>
  <c r="H804" i="1"/>
  <c r="K125" i="4"/>
  <c r="H1907" i="1"/>
  <c r="H1909" i="1"/>
  <c r="K302" i="4"/>
  <c r="H2737" i="1"/>
  <c r="H2739" i="1"/>
  <c r="K490" i="4"/>
  <c r="H192" i="1"/>
  <c r="H194" i="1"/>
  <c r="H1203" i="1"/>
  <c r="H1205" i="1"/>
  <c r="K189" i="4"/>
  <c r="H2887" i="1"/>
  <c r="H1260" i="1"/>
  <c r="H1262" i="1"/>
  <c r="H3030" i="1"/>
  <c r="K556" i="4"/>
  <c r="H3171" i="1"/>
  <c r="J598" i="4"/>
  <c r="H2193" i="1"/>
  <c r="J355" i="4"/>
  <c r="H1466" i="1"/>
  <c r="H1468" i="1"/>
  <c r="K237" i="4"/>
  <c r="H3088" i="1"/>
  <c r="H3090" i="1"/>
  <c r="K574" i="4"/>
  <c r="H2180" i="1"/>
  <c r="K351" i="4"/>
  <c r="H1168" i="1"/>
  <c r="H1170" i="1"/>
  <c r="H1251" i="1"/>
  <c r="H1253" i="1"/>
  <c r="K193" i="4"/>
  <c r="H1344" i="1"/>
  <c r="H1459" i="1"/>
  <c r="H1486" i="1"/>
  <c r="J243" i="4"/>
  <c r="H3042" i="1"/>
  <c r="K560" i="4"/>
  <c r="H2133" i="1"/>
  <c r="H2150" i="1"/>
  <c r="K341" i="4"/>
  <c r="H2248" i="1"/>
  <c r="K367" i="4"/>
  <c r="H2267" i="1"/>
  <c r="J375" i="4"/>
  <c r="H2278" i="1"/>
  <c r="K377" i="4"/>
  <c r="H2284" i="1"/>
  <c r="H2775" i="1"/>
  <c r="H2777" i="1"/>
  <c r="K504" i="4"/>
  <c r="H1423" i="1"/>
  <c r="H1874" i="1"/>
  <c r="J294" i="4"/>
  <c r="H2125" i="1"/>
  <c r="H2127" i="1"/>
  <c r="K335" i="4"/>
  <c r="H2366" i="1"/>
  <c r="H2368" i="1"/>
  <c r="H2587" i="1"/>
  <c r="K451" i="4"/>
  <c r="H2386" i="1"/>
  <c r="H2388" i="1"/>
  <c r="K401" i="4"/>
  <c r="H2400" i="1"/>
  <c r="K405" i="4"/>
  <c r="H2722" i="1"/>
  <c r="H2724" i="1"/>
  <c r="K496" i="4"/>
  <c r="H2925" i="1"/>
  <c r="K544" i="4"/>
  <c r="H2558" i="1"/>
  <c r="H2560" i="1"/>
  <c r="K445" i="4"/>
  <c r="H2617" i="1"/>
  <c r="K459" i="4"/>
  <c r="H2623" i="1"/>
  <c r="K461" i="4"/>
  <c r="H2629" i="1"/>
  <c r="K463" i="4"/>
  <c r="H2635" i="1"/>
  <c r="K465" i="4"/>
  <c r="H862" i="1"/>
  <c r="K135" i="4"/>
  <c r="J9" i="4"/>
  <c r="H1657" i="1"/>
  <c r="K257" i="4"/>
  <c r="H2460" i="1"/>
  <c r="K419" i="4"/>
  <c r="H2898" i="1"/>
  <c r="K536" i="4"/>
  <c r="K397" i="4"/>
  <c r="J397" i="4"/>
  <c r="H2135" i="1"/>
  <c r="K337" i="4"/>
  <c r="J337" i="4"/>
  <c r="H1759" i="1"/>
  <c r="K273" i="4"/>
  <c r="J273" i="4"/>
  <c r="K530" i="4"/>
  <c r="J530" i="4"/>
  <c r="J443" i="4"/>
  <c r="H1876" i="1"/>
  <c r="K294" i="4"/>
  <c r="H2381" i="1"/>
  <c r="K399" i="4"/>
  <c r="H2286" i="1"/>
  <c r="K379" i="4"/>
  <c r="J379" i="4"/>
  <c r="H2188" i="1"/>
  <c r="K353" i="4"/>
  <c r="J353" i="4"/>
  <c r="H3055" i="1"/>
  <c r="K564" i="4"/>
  <c r="J564" i="4"/>
  <c r="H2195" i="1"/>
  <c r="K355" i="4"/>
  <c r="H3173" i="1"/>
  <c r="K598" i="4"/>
  <c r="J490" i="4"/>
  <c r="H2655" i="1"/>
  <c r="K471" i="4"/>
  <c r="J471" i="4"/>
  <c r="J269" i="4"/>
  <c r="H1748" i="1"/>
  <c r="K271" i="4"/>
  <c r="J271" i="4"/>
  <c r="I296" i="4"/>
  <c r="J229" i="4"/>
  <c r="H1346" i="1"/>
  <c r="K213" i="4"/>
  <c r="J213" i="4"/>
  <c r="H1274" i="1"/>
  <c r="K197" i="4"/>
  <c r="K121" i="4"/>
  <c r="J121" i="4"/>
  <c r="K183" i="4"/>
  <c r="J183" i="4"/>
  <c r="J73" i="4"/>
  <c r="H2610" i="1"/>
  <c r="K457" i="4"/>
  <c r="J457" i="4"/>
  <c r="H1461" i="1"/>
  <c r="K235" i="4"/>
  <c r="J235" i="4"/>
  <c r="K185" i="4"/>
  <c r="J185" i="4"/>
  <c r="K199" i="4"/>
  <c r="J199" i="4"/>
  <c r="K27" i="4"/>
  <c r="J27" i="4"/>
  <c r="J125" i="4"/>
  <c r="H1128" i="1"/>
  <c r="K175" i="4"/>
  <c r="J175" i="4"/>
  <c r="H1031" i="1"/>
  <c r="K161" i="4"/>
  <c r="H485" i="1"/>
  <c r="K71" i="4"/>
  <c r="J71" i="4"/>
  <c r="K195" i="4"/>
  <c r="J195" i="4"/>
  <c r="J69" i="4"/>
  <c r="D1526" i="1"/>
  <c r="F1526" i="1"/>
  <c r="H1526" i="1"/>
  <c r="D615" i="1"/>
  <c r="D614" i="1"/>
  <c r="F614" i="1"/>
  <c r="H614" i="1"/>
  <c r="H604" i="1"/>
  <c r="I95" i="4"/>
  <c r="D604" i="1"/>
  <c r="H95" i="4"/>
  <c r="D927" i="1"/>
  <c r="F927" i="1"/>
  <c r="H927" i="1"/>
  <c r="D897" i="1"/>
  <c r="F1412" i="1"/>
  <c r="H1412" i="1"/>
  <c r="I225" i="4"/>
  <c r="F1403" i="1"/>
  <c r="H1403" i="1"/>
  <c r="I223" i="4"/>
  <c r="F1391" i="1"/>
  <c r="D1384" i="1"/>
  <c r="D1375" i="1"/>
  <c r="F1370" i="1"/>
  <c r="H1370" i="1"/>
  <c r="I217" i="4"/>
  <c r="F1360" i="1"/>
  <c r="F2078" i="1"/>
  <c r="H2078" i="1"/>
  <c r="F1320" i="1"/>
  <c r="F1306" i="1"/>
  <c r="D1311" i="1"/>
  <c r="F1328" i="1"/>
  <c r="H1328" i="1"/>
  <c r="I211" i="4"/>
  <c r="F1943" i="1"/>
  <c r="H1943" i="1"/>
  <c r="I308" i="4"/>
  <c r="D1093" i="1"/>
  <c r="F1093" i="1"/>
  <c r="H1093" i="1"/>
  <c r="F2014" i="1"/>
  <c r="F2004" i="1"/>
  <c r="H2004" i="1"/>
  <c r="I318" i="4"/>
  <c r="F2944" i="1"/>
  <c r="F2936" i="1"/>
  <c r="H2936" i="1"/>
  <c r="I546" i="4"/>
  <c r="F1984" i="1"/>
  <c r="F1976" i="1"/>
  <c r="F1967" i="1"/>
  <c r="D1035" i="1"/>
  <c r="F1035" i="1"/>
  <c r="H1035" i="1"/>
  <c r="D1002" i="1"/>
  <c r="D1001" i="1"/>
  <c r="F1001" i="1"/>
  <c r="D1008" i="1"/>
  <c r="H157" i="4"/>
  <c r="D1000" i="1"/>
  <c r="D986" i="1"/>
  <c r="F986" i="1"/>
  <c r="H986" i="1"/>
  <c r="D985" i="1"/>
  <c r="D983" i="1"/>
  <c r="F983" i="1"/>
  <c r="D979" i="1"/>
  <c r="D977" i="1"/>
  <c r="F977" i="1"/>
  <c r="H977" i="1"/>
  <c r="D976" i="1"/>
  <c r="D975" i="1"/>
  <c r="F975" i="1"/>
  <c r="D962" i="1"/>
  <c r="F1671" i="1"/>
  <c r="D1667" i="1"/>
  <c r="D1665" i="1"/>
  <c r="F1665" i="1"/>
  <c r="H1665" i="1"/>
  <c r="D1663" i="1"/>
  <c r="D1662" i="1"/>
  <c r="D1661" i="1"/>
  <c r="D721" i="1"/>
  <c r="D719" i="1"/>
  <c r="D716" i="1"/>
  <c r="D715" i="1"/>
  <c r="D710" i="1"/>
  <c r="D714" i="1"/>
  <c r="D713" i="1"/>
  <c r="F713" i="1"/>
  <c r="H713" i="1"/>
  <c r="F709" i="1"/>
  <c r="H709" i="1"/>
  <c r="F710" i="1"/>
  <c r="H710" i="1"/>
  <c r="D711" i="1"/>
  <c r="F711" i="1"/>
  <c r="H711" i="1"/>
  <c r="D712" i="1"/>
  <c r="F712" i="1"/>
  <c r="H712" i="1"/>
  <c r="F714" i="1"/>
  <c r="H714" i="1"/>
  <c r="F715" i="1"/>
  <c r="H715" i="1"/>
  <c r="F716" i="1"/>
  <c r="H716" i="1"/>
  <c r="F717" i="1"/>
  <c r="H717" i="1"/>
  <c r="F718" i="1"/>
  <c r="H718" i="1"/>
  <c r="F719" i="1"/>
  <c r="H719" i="1"/>
  <c r="F720" i="1"/>
  <c r="H720" i="1"/>
  <c r="F721" i="1"/>
  <c r="H721" i="1"/>
  <c r="F722" i="1"/>
  <c r="H722" i="1"/>
  <c r="F723" i="1"/>
  <c r="H723" i="1"/>
  <c r="H724" i="1"/>
  <c r="D735" i="1"/>
  <c r="D737" i="1"/>
  <c r="D731" i="1"/>
  <c r="D416" i="1"/>
  <c r="H57" i="4"/>
  <c r="D413" i="1"/>
  <c r="D412" i="1"/>
  <c r="D408" i="1"/>
  <c r="D410" i="1"/>
  <c r="D660" i="1"/>
  <c r="H105" i="4"/>
  <c r="D656" i="1"/>
  <c r="F656" i="1"/>
  <c r="H656" i="1"/>
  <c r="D653" i="1"/>
  <c r="F653" i="1"/>
  <c r="H653" i="1"/>
  <c r="D655" i="1"/>
  <c r="D654" i="1"/>
  <c r="F654" i="1"/>
  <c r="H648" i="1"/>
  <c r="I103" i="4"/>
  <c r="D639" i="1"/>
  <c r="D638" i="1"/>
  <c r="D637" i="1"/>
  <c r="D258" i="1"/>
  <c r="F258" i="1"/>
  <c r="H258" i="1"/>
  <c r="D254" i="1"/>
  <c r="D610" i="1"/>
  <c r="F610" i="1"/>
  <c r="D602" i="1"/>
  <c r="D599" i="1"/>
  <c r="F599" i="1"/>
  <c r="H599" i="1"/>
  <c r="D819" i="1"/>
  <c r="F1530" i="1"/>
  <c r="H1530" i="1"/>
  <c r="F1529" i="1"/>
  <c r="H1529" i="1"/>
  <c r="F1528" i="1"/>
  <c r="H1528" i="1"/>
  <c r="F1527" i="1"/>
  <c r="H1527" i="1"/>
  <c r="F1226" i="1"/>
  <c r="H1226" i="1"/>
  <c r="F1225" i="1"/>
  <c r="H1225" i="1"/>
  <c r="F1224" i="1"/>
  <c r="H1224" i="1"/>
  <c r="F1223" i="1"/>
  <c r="H1223" i="1"/>
  <c r="F1222" i="1"/>
  <c r="H1222" i="1"/>
  <c r="F1221" i="1"/>
  <c r="H1221" i="1"/>
  <c r="F1220" i="1"/>
  <c r="H1220" i="1"/>
  <c r="F1219" i="1"/>
  <c r="H1219" i="1"/>
  <c r="F1218" i="1"/>
  <c r="H1218" i="1"/>
  <c r="F1217" i="1"/>
  <c r="H1217" i="1"/>
  <c r="H1241" i="1"/>
  <c r="H935" i="1"/>
  <c r="I151" i="4"/>
  <c r="F933" i="1"/>
  <c r="H933" i="1"/>
  <c r="F932" i="1"/>
  <c r="H932" i="1"/>
  <c r="F931" i="1"/>
  <c r="H931" i="1"/>
  <c r="F930" i="1"/>
  <c r="H930" i="1"/>
  <c r="F929" i="1"/>
  <c r="H929" i="1"/>
  <c r="F928" i="1"/>
  <c r="H928" i="1"/>
  <c r="F1410" i="1"/>
  <c r="H1410" i="1"/>
  <c r="F1409" i="1"/>
  <c r="H1409" i="1"/>
  <c r="F1408" i="1"/>
  <c r="H1408" i="1"/>
  <c r="H1411" i="1"/>
  <c r="F1401" i="1"/>
  <c r="H1401" i="1"/>
  <c r="D1400" i="1"/>
  <c r="F1400" i="1"/>
  <c r="H1400" i="1"/>
  <c r="F1399" i="1"/>
  <c r="H1399" i="1"/>
  <c r="D1398" i="1"/>
  <c r="F1398" i="1"/>
  <c r="H1398" i="1"/>
  <c r="F1397" i="1"/>
  <c r="H1397" i="1"/>
  <c r="F1396" i="1"/>
  <c r="H1396" i="1"/>
  <c r="H1391" i="1"/>
  <c r="I221" i="4"/>
  <c r="F1389" i="1"/>
  <c r="H1389" i="1"/>
  <c r="F1388" i="1"/>
  <c r="H1388" i="1"/>
  <c r="F1387" i="1"/>
  <c r="H1387" i="1"/>
  <c r="F1386" i="1"/>
  <c r="H1386" i="1"/>
  <c r="D1385" i="1"/>
  <c r="F1385" i="1"/>
  <c r="H1385" i="1"/>
  <c r="F1384" i="1"/>
  <c r="H1384" i="1"/>
  <c r="H1390" i="1"/>
  <c r="H1379" i="1"/>
  <c r="I219" i="4"/>
  <c r="F1376" i="1"/>
  <c r="H1376" i="1"/>
  <c r="F1377" i="1"/>
  <c r="H1377" i="1"/>
  <c r="F1375" i="1"/>
  <c r="H1375" i="1"/>
  <c r="H1378" i="1"/>
  <c r="F1368" i="1"/>
  <c r="H1368" i="1"/>
  <c r="F1367" i="1"/>
  <c r="H1367" i="1"/>
  <c r="F1366" i="1"/>
  <c r="H1366" i="1"/>
  <c r="F1365" i="1"/>
  <c r="H1365" i="1"/>
  <c r="H1360" i="1"/>
  <c r="I215" i="4"/>
  <c r="F1352" i="1"/>
  <c r="H1352" i="1"/>
  <c r="F1353" i="1"/>
  <c r="H1353" i="1"/>
  <c r="F1358" i="1"/>
  <c r="H1358" i="1"/>
  <c r="F1357" i="1"/>
  <c r="H1357" i="1"/>
  <c r="F1356" i="1"/>
  <c r="H1356" i="1"/>
  <c r="F1355" i="1"/>
  <c r="H1355" i="1"/>
  <c r="F1354" i="1"/>
  <c r="H1354" i="1"/>
  <c r="D1351" i="1"/>
  <c r="F1351" i="1"/>
  <c r="H1351" i="1"/>
  <c r="F1350" i="1"/>
  <c r="H1350" i="1"/>
  <c r="H1926" i="1"/>
  <c r="I306" i="4"/>
  <c r="F1924" i="1"/>
  <c r="H1924" i="1"/>
  <c r="F1923" i="1"/>
  <c r="H1923" i="1"/>
  <c r="H1925" i="1"/>
  <c r="H1918" i="1"/>
  <c r="I304" i="4"/>
  <c r="F1916" i="1"/>
  <c r="H1916" i="1"/>
  <c r="D1915" i="1"/>
  <c r="F1915" i="1"/>
  <c r="H1915" i="1"/>
  <c r="F1914" i="1"/>
  <c r="H1914" i="1"/>
  <c r="F1913" i="1"/>
  <c r="H1913" i="1"/>
  <c r="H2068" i="1"/>
  <c r="I331" i="4"/>
  <c r="F2066" i="1"/>
  <c r="H2066" i="1"/>
  <c r="F2065" i="1"/>
  <c r="H2065" i="1"/>
  <c r="F2064" i="1"/>
  <c r="H2064" i="1"/>
  <c r="D2699" i="1"/>
  <c r="F2699" i="1"/>
  <c r="H2699" i="1"/>
  <c r="H2704" i="1"/>
  <c r="I483" i="4"/>
  <c r="F2702" i="1"/>
  <c r="H2702" i="1"/>
  <c r="F2701" i="1"/>
  <c r="H2701" i="1"/>
  <c r="F2700" i="1"/>
  <c r="H2700" i="1"/>
  <c r="I333" i="4"/>
  <c r="F2076" i="1"/>
  <c r="H2076" i="1"/>
  <c r="F2075" i="1"/>
  <c r="H2075" i="1"/>
  <c r="D2074" i="1"/>
  <c r="F2074" i="1"/>
  <c r="H2074" i="1"/>
  <c r="F2073" i="1"/>
  <c r="H2073" i="1"/>
  <c r="H2088" i="1"/>
  <c r="I485" i="4"/>
  <c r="F2086" i="1"/>
  <c r="H2086" i="1"/>
  <c r="F2085" i="1"/>
  <c r="H2085" i="1"/>
  <c r="F2084" i="1"/>
  <c r="H2084" i="1"/>
  <c r="H1320" i="1"/>
  <c r="H1321" i="1"/>
  <c r="H1294" i="1"/>
  <c r="I203" i="4"/>
  <c r="F1292" i="1"/>
  <c r="H1292" i="1"/>
  <c r="D1291" i="1"/>
  <c r="F1291" i="1"/>
  <c r="H1291" i="1"/>
  <c r="F1289" i="1"/>
  <c r="H1289" i="1"/>
  <c r="F1290" i="1"/>
  <c r="H1290" i="1"/>
  <c r="F1288" i="1"/>
  <c r="H1288" i="1"/>
  <c r="F1303" i="1"/>
  <c r="H1303" i="1"/>
  <c r="F1302" i="1"/>
  <c r="H1302" i="1"/>
  <c r="F1301" i="1"/>
  <c r="H1301" i="1"/>
  <c r="D1300" i="1"/>
  <c r="F1300" i="1"/>
  <c r="H1300" i="1"/>
  <c r="D1299" i="1"/>
  <c r="F1299" i="1"/>
  <c r="H1299" i="1"/>
  <c r="F1304" i="1"/>
  <c r="H1304" i="1"/>
  <c r="H1305" i="1"/>
  <c r="H1306" i="1"/>
  <c r="I205" i="4"/>
  <c r="F1312" i="1"/>
  <c r="H1312" i="1"/>
  <c r="F1311" i="1"/>
  <c r="H1311" i="1"/>
  <c r="H1313" i="1"/>
  <c r="D1326" i="1"/>
  <c r="F1326" i="1"/>
  <c r="H1326" i="1"/>
  <c r="F1325" i="1"/>
  <c r="H1325" i="1"/>
  <c r="H1327" i="1"/>
  <c r="H1329" i="1"/>
  <c r="F1941" i="1"/>
  <c r="H1941" i="1"/>
  <c r="F1940" i="1"/>
  <c r="H1940" i="1"/>
  <c r="F1939" i="1"/>
  <c r="H1939" i="1"/>
  <c r="D1938" i="1"/>
  <c r="F1938" i="1"/>
  <c r="H1938" i="1"/>
  <c r="F1937" i="1"/>
  <c r="H1937" i="1"/>
  <c r="F1936" i="1"/>
  <c r="H1936" i="1"/>
  <c r="F1935" i="1"/>
  <c r="H1935" i="1"/>
  <c r="D1934" i="1"/>
  <c r="F1934" i="1"/>
  <c r="H1934" i="1"/>
  <c r="D1933" i="1"/>
  <c r="F1933" i="1"/>
  <c r="H1933" i="1"/>
  <c r="D1932" i="1"/>
  <c r="F1932" i="1"/>
  <c r="H1932" i="1"/>
  <c r="D1931" i="1"/>
  <c r="F1931" i="1"/>
  <c r="H1931" i="1"/>
  <c r="H3021" i="1"/>
  <c r="I552" i="4"/>
  <c r="D3016" i="1"/>
  <c r="F3016" i="1"/>
  <c r="H3016" i="1"/>
  <c r="D3000" i="1"/>
  <c r="F3000" i="1"/>
  <c r="H3000" i="1"/>
  <c r="D3008" i="1"/>
  <c r="F3008" i="1"/>
  <c r="H3008" i="1"/>
  <c r="D3017" i="1"/>
  <c r="F3017" i="1"/>
  <c r="H3017" i="1"/>
  <c r="D3018" i="1"/>
  <c r="F3018" i="1"/>
  <c r="H3018" i="1"/>
  <c r="D3019" i="1"/>
  <c r="F3019" i="1"/>
  <c r="H3019" i="1"/>
  <c r="D3015" i="1"/>
  <c r="F3015" i="1"/>
  <c r="H3015" i="1"/>
  <c r="F3011" i="1"/>
  <c r="H3011" i="1"/>
  <c r="F3010" i="1"/>
  <c r="H3010" i="1"/>
  <c r="F3009" i="1"/>
  <c r="H3009" i="1"/>
  <c r="D3007" i="1"/>
  <c r="F3007" i="1"/>
  <c r="H3007" i="1"/>
  <c r="D3006" i="1"/>
  <c r="F3006" i="1"/>
  <c r="H3006" i="1"/>
  <c r="D3005" i="1"/>
  <c r="F3005" i="1"/>
  <c r="H3005" i="1"/>
  <c r="D3004" i="1"/>
  <c r="F3004" i="1"/>
  <c r="H3004" i="1"/>
  <c r="D3003" i="1"/>
  <c r="F3003" i="1"/>
  <c r="H3003" i="1"/>
  <c r="D3002" i="1"/>
  <c r="F3002" i="1"/>
  <c r="H3002" i="1"/>
  <c r="F3001" i="1"/>
  <c r="H3001" i="1"/>
  <c r="H3020" i="1"/>
  <c r="D1092" i="1"/>
  <c r="F1092" i="1"/>
  <c r="H1092" i="1"/>
  <c r="H1098" i="1"/>
  <c r="D2020" i="1"/>
  <c r="F2020" i="1"/>
  <c r="H2020" i="1"/>
  <c r="F2022" i="1"/>
  <c r="H2022" i="1"/>
  <c r="H2025" i="1"/>
  <c r="I324" i="4"/>
  <c r="F2023" i="1"/>
  <c r="H2023" i="1"/>
  <c r="F2021" i="1"/>
  <c r="H2021" i="1"/>
  <c r="F2019" i="1"/>
  <c r="H2019" i="1"/>
  <c r="H2014" i="1"/>
  <c r="I322" i="4"/>
  <c r="F2012" i="1"/>
  <c r="H2012" i="1"/>
  <c r="F2011" i="1"/>
  <c r="H2011" i="1"/>
  <c r="F2010" i="1"/>
  <c r="H2010" i="1"/>
  <c r="F2009" i="1"/>
  <c r="H2009" i="1"/>
  <c r="H2013" i="1"/>
  <c r="F2002" i="1"/>
  <c r="H2002" i="1"/>
  <c r="F2001" i="1"/>
  <c r="H2001" i="1"/>
  <c r="H2944" i="1"/>
  <c r="I548" i="4"/>
  <c r="F2942" i="1"/>
  <c r="H2942" i="1"/>
  <c r="F2941" i="1"/>
  <c r="H2941" i="1"/>
  <c r="H2943" i="1"/>
  <c r="J548" i="4"/>
  <c r="F2934" i="1"/>
  <c r="H2934" i="1"/>
  <c r="F2933" i="1"/>
  <c r="H2933" i="1"/>
  <c r="F2932" i="1"/>
  <c r="H2932" i="1"/>
  <c r="F2931" i="1"/>
  <c r="H2931" i="1"/>
  <c r="F2930" i="1"/>
  <c r="H2930" i="1"/>
  <c r="F2929" i="1"/>
  <c r="H2929" i="1"/>
  <c r="H2935" i="1"/>
  <c r="H1996" i="1"/>
  <c r="F1994" i="1"/>
  <c r="H1994" i="1"/>
  <c r="F1993" i="1"/>
  <c r="H1993" i="1"/>
  <c r="F1992" i="1"/>
  <c r="H1992" i="1"/>
  <c r="F1991" i="1"/>
  <c r="H1991" i="1"/>
  <c r="F1990" i="1"/>
  <c r="H1990" i="1"/>
  <c r="F1989" i="1"/>
  <c r="H1989" i="1"/>
  <c r="H1984" i="1"/>
  <c r="F1982" i="1"/>
  <c r="H1982" i="1"/>
  <c r="F1981" i="1"/>
  <c r="H1981" i="1"/>
  <c r="H1983" i="1"/>
  <c r="H1976" i="1"/>
  <c r="F1974" i="1"/>
  <c r="H1974" i="1"/>
  <c r="F1973" i="1"/>
  <c r="H1973" i="1"/>
  <c r="F1972" i="1"/>
  <c r="H1972" i="1"/>
  <c r="H1975" i="1"/>
  <c r="H1977" i="1"/>
  <c r="H1967" i="1"/>
  <c r="I312" i="4"/>
  <c r="F1965" i="1"/>
  <c r="H1965" i="1"/>
  <c r="H1966" i="1"/>
  <c r="H1057" i="1"/>
  <c r="I165" i="4"/>
  <c r="H1050" i="1"/>
  <c r="I163" i="4"/>
  <c r="F1055" i="1"/>
  <c r="H1055" i="1"/>
  <c r="H1056" i="1"/>
  <c r="F1047" i="1"/>
  <c r="H1047" i="1"/>
  <c r="F1046" i="1"/>
  <c r="H1046" i="1"/>
  <c r="F1048" i="1"/>
  <c r="H1048" i="1"/>
  <c r="F1044" i="1"/>
  <c r="H1044" i="1"/>
  <c r="F1038" i="1"/>
  <c r="H1038" i="1"/>
  <c r="F1043" i="1"/>
  <c r="H1043" i="1"/>
  <c r="F1037" i="1"/>
  <c r="H1037" i="1"/>
  <c r="F1042" i="1"/>
  <c r="H1042" i="1"/>
  <c r="F1045" i="1"/>
  <c r="H1045" i="1"/>
  <c r="F1041" i="1"/>
  <c r="H1041" i="1"/>
  <c r="F1040" i="1"/>
  <c r="H1040" i="1"/>
  <c r="F1039" i="1"/>
  <c r="H1039" i="1"/>
  <c r="F1036" i="1"/>
  <c r="H1036" i="1"/>
  <c r="F1004" i="1"/>
  <c r="H1004" i="1"/>
  <c r="F1006" i="1"/>
  <c r="H1006" i="1"/>
  <c r="F1002" i="1"/>
  <c r="H1002" i="1"/>
  <c r="H1008" i="1"/>
  <c r="I157" i="4"/>
  <c r="F1005" i="1"/>
  <c r="H1005" i="1"/>
  <c r="F1003" i="1"/>
  <c r="H1003" i="1"/>
  <c r="H1001" i="1"/>
  <c r="F1000" i="1"/>
  <c r="H1000" i="1"/>
  <c r="F999" i="1"/>
  <c r="H999" i="1"/>
  <c r="F998" i="1"/>
  <c r="H998" i="1"/>
  <c r="F997" i="1"/>
  <c r="H997" i="1"/>
  <c r="F996" i="1"/>
  <c r="H996" i="1"/>
  <c r="F995" i="1"/>
  <c r="H995" i="1"/>
  <c r="F994" i="1"/>
  <c r="H994" i="1"/>
  <c r="F993" i="1"/>
  <c r="H993" i="1"/>
  <c r="F992" i="1"/>
  <c r="H992" i="1"/>
  <c r="F991" i="1"/>
  <c r="H991" i="1"/>
  <c r="F990" i="1"/>
  <c r="H990" i="1"/>
  <c r="F989" i="1"/>
  <c r="H989" i="1"/>
  <c r="F988" i="1"/>
  <c r="H988" i="1"/>
  <c r="F987" i="1"/>
  <c r="H987" i="1"/>
  <c r="F985" i="1"/>
  <c r="H985" i="1"/>
  <c r="F984" i="1"/>
  <c r="H984" i="1"/>
  <c r="H983" i="1"/>
  <c r="F982" i="1"/>
  <c r="H982" i="1"/>
  <c r="F981" i="1"/>
  <c r="H981" i="1"/>
  <c r="F980" i="1"/>
  <c r="H980" i="1"/>
  <c r="F979" i="1"/>
  <c r="H979" i="1"/>
  <c r="F978" i="1"/>
  <c r="H978" i="1"/>
  <c r="F976" i="1"/>
  <c r="H976" i="1"/>
  <c r="F962" i="1"/>
  <c r="H962" i="1"/>
  <c r="F963" i="1"/>
  <c r="H963" i="1"/>
  <c r="F964" i="1"/>
  <c r="H964" i="1"/>
  <c r="F965" i="1"/>
  <c r="H965" i="1"/>
  <c r="F966" i="1"/>
  <c r="H966" i="1"/>
  <c r="F967" i="1"/>
  <c r="H967" i="1"/>
  <c r="F968" i="1"/>
  <c r="H968" i="1"/>
  <c r="F969" i="1"/>
  <c r="H969" i="1"/>
  <c r="F970" i="1"/>
  <c r="H970" i="1"/>
  <c r="F971" i="1"/>
  <c r="H971" i="1"/>
  <c r="F972" i="1"/>
  <c r="H972" i="1"/>
  <c r="F973" i="1"/>
  <c r="H973" i="1"/>
  <c r="F974" i="1"/>
  <c r="H974" i="1"/>
  <c r="H975" i="1"/>
  <c r="H1007" i="1"/>
  <c r="H2094" i="1"/>
  <c r="H1015" i="1"/>
  <c r="I159" i="4"/>
  <c r="H1014" i="1"/>
  <c r="H1671" i="1"/>
  <c r="I259" i="4"/>
  <c r="F1669" i="1"/>
  <c r="H1669" i="1"/>
  <c r="F1668" i="1"/>
  <c r="H1668" i="1"/>
  <c r="F1667" i="1"/>
  <c r="H1667" i="1"/>
  <c r="F1666" i="1"/>
  <c r="H1666" i="1"/>
  <c r="F1664" i="1"/>
  <c r="H1664" i="1"/>
  <c r="F1663" i="1"/>
  <c r="H1663" i="1"/>
  <c r="H725" i="1"/>
  <c r="I113" i="4"/>
  <c r="H744" i="1"/>
  <c r="I115" i="4"/>
  <c r="F742" i="1"/>
  <c r="H742" i="1"/>
  <c r="H416" i="1"/>
  <c r="I57" i="4"/>
  <c r="F414" i="1"/>
  <c r="H414" i="1"/>
  <c r="F1662" i="1"/>
  <c r="H1662" i="1"/>
  <c r="F1661" i="1"/>
  <c r="H1661" i="1"/>
  <c r="H1670" i="1"/>
  <c r="F741" i="1"/>
  <c r="H741" i="1"/>
  <c r="F740" i="1"/>
  <c r="H740" i="1"/>
  <c r="F739" i="1"/>
  <c r="H739" i="1"/>
  <c r="F738" i="1"/>
  <c r="H738" i="1"/>
  <c r="F737" i="1"/>
  <c r="H737" i="1"/>
  <c r="F736" i="1"/>
  <c r="H736" i="1"/>
  <c r="F735" i="1"/>
  <c r="H735" i="1"/>
  <c r="F734" i="1"/>
  <c r="H734" i="1"/>
  <c r="F733" i="1"/>
  <c r="H733" i="1"/>
  <c r="F732" i="1"/>
  <c r="H732" i="1"/>
  <c r="F731" i="1"/>
  <c r="H731" i="1"/>
  <c r="H743" i="1"/>
  <c r="F413" i="1"/>
  <c r="H413" i="1"/>
  <c r="F412" i="1"/>
  <c r="H412" i="1"/>
  <c r="F411" i="1"/>
  <c r="H411" i="1"/>
  <c r="F410" i="1"/>
  <c r="H410" i="1"/>
  <c r="F408" i="1"/>
  <c r="H408" i="1"/>
  <c r="F409" i="1"/>
  <c r="H409" i="1"/>
  <c r="F660" i="1"/>
  <c r="H660" i="1"/>
  <c r="I105" i="4"/>
  <c r="F658" i="1"/>
  <c r="H658" i="1"/>
  <c r="F646" i="1"/>
  <c r="H646" i="1"/>
  <c r="F657" i="1"/>
  <c r="H657" i="1"/>
  <c r="F655" i="1"/>
  <c r="H655" i="1"/>
  <c r="H654" i="1"/>
  <c r="F644" i="1"/>
  <c r="H644" i="1"/>
  <c r="F645" i="1"/>
  <c r="H645" i="1"/>
  <c r="F643" i="1"/>
  <c r="H643" i="1"/>
  <c r="F642" i="1"/>
  <c r="H642" i="1"/>
  <c r="F641" i="1"/>
  <c r="H641" i="1"/>
  <c r="F640" i="1"/>
  <c r="H640" i="1"/>
  <c r="F639" i="1"/>
  <c r="H639" i="1"/>
  <c r="F638" i="1"/>
  <c r="H638" i="1"/>
  <c r="F637" i="1"/>
  <c r="H637" i="1"/>
  <c r="F636" i="1"/>
  <c r="H636" i="1"/>
  <c r="H647" i="1"/>
  <c r="F254" i="1"/>
  <c r="H254" i="1"/>
  <c r="F253" i="1"/>
  <c r="H253" i="1"/>
  <c r="F251" i="1"/>
  <c r="H251" i="1"/>
  <c r="F252" i="1"/>
  <c r="H252" i="1"/>
  <c r="F250" i="1"/>
  <c r="H250" i="1"/>
  <c r="H261" i="1"/>
  <c r="I37" i="4"/>
  <c r="F259" i="1"/>
  <c r="H259" i="1"/>
  <c r="F257" i="1"/>
  <c r="H257" i="1"/>
  <c r="F256" i="1"/>
  <c r="H256" i="1"/>
  <c r="F255" i="1"/>
  <c r="H255" i="1"/>
  <c r="F249" i="1"/>
  <c r="H249" i="1"/>
  <c r="F622" i="1"/>
  <c r="H622" i="1"/>
  <c r="I99" i="4"/>
  <c r="F620" i="1"/>
  <c r="H620" i="1"/>
  <c r="F619" i="1"/>
  <c r="H619" i="1"/>
  <c r="F618" i="1"/>
  <c r="H618" i="1"/>
  <c r="F617" i="1"/>
  <c r="H617" i="1"/>
  <c r="F616" i="1"/>
  <c r="H616" i="1"/>
  <c r="F615" i="1"/>
  <c r="H615" i="1"/>
  <c r="F613" i="1"/>
  <c r="H613" i="1"/>
  <c r="F612" i="1"/>
  <c r="H612" i="1"/>
  <c r="F611" i="1"/>
  <c r="H611" i="1"/>
  <c r="H610" i="1"/>
  <c r="F609" i="1"/>
  <c r="H609" i="1"/>
  <c r="F631" i="1"/>
  <c r="H631" i="1"/>
  <c r="I101" i="4"/>
  <c r="F629" i="1"/>
  <c r="H629" i="1"/>
  <c r="F628" i="1"/>
  <c r="H628" i="1"/>
  <c r="F627" i="1"/>
  <c r="H627" i="1"/>
  <c r="F602" i="1"/>
  <c r="H602" i="1"/>
  <c r="F601" i="1"/>
  <c r="H601" i="1"/>
  <c r="F600" i="1"/>
  <c r="H600" i="1"/>
  <c r="F598" i="1"/>
  <c r="H598" i="1"/>
  <c r="H828" i="1"/>
  <c r="I129" i="4"/>
  <c r="F826" i="1"/>
  <c r="H826" i="1"/>
  <c r="F825" i="1"/>
  <c r="H825" i="1"/>
  <c r="F823" i="1"/>
  <c r="H823" i="1"/>
  <c r="F822" i="1"/>
  <c r="H822" i="1"/>
  <c r="F821" i="1"/>
  <c r="H821" i="1"/>
  <c r="F820" i="1"/>
  <c r="H820" i="1"/>
  <c r="F824" i="1"/>
  <c r="H824" i="1"/>
  <c r="F819" i="1"/>
  <c r="H819" i="1"/>
  <c r="F427" i="1"/>
  <c r="H427" i="1"/>
  <c r="I59" i="4"/>
  <c r="F425" i="1"/>
  <c r="H425" i="1"/>
  <c r="F424" i="1"/>
  <c r="H424" i="1"/>
  <c r="F423" i="1"/>
  <c r="H423" i="1"/>
  <c r="F422" i="1"/>
  <c r="H422" i="1"/>
  <c r="F421" i="1"/>
  <c r="H421" i="1"/>
  <c r="F902" i="1"/>
  <c r="H902" i="1"/>
  <c r="I141" i="4"/>
  <c r="F900" i="1"/>
  <c r="H900" i="1"/>
  <c r="F899" i="1"/>
  <c r="H899" i="1"/>
  <c r="F898" i="1"/>
  <c r="H898" i="1"/>
  <c r="F897" i="1"/>
  <c r="H897" i="1"/>
  <c r="H901" i="1"/>
  <c r="I173" i="4"/>
  <c r="I314" i="4"/>
  <c r="I316" i="4"/>
  <c r="I320" i="4"/>
  <c r="H2096" i="1"/>
  <c r="K494" i="4"/>
  <c r="J494" i="4"/>
  <c r="I209" i="4"/>
  <c r="H2067" i="1"/>
  <c r="H2087" i="1"/>
  <c r="J485" i="4"/>
  <c r="J211" i="4"/>
  <c r="H1927" i="1"/>
  <c r="K306" i="4"/>
  <c r="J306" i="4"/>
  <c r="K209" i="4"/>
  <c r="K211" i="4"/>
  <c r="H2937" i="1"/>
  <c r="K546" i="4"/>
  <c r="J546" i="4"/>
  <c r="H1380" i="1"/>
  <c r="K219" i="4"/>
  <c r="J219" i="4"/>
  <c r="H2069" i="1"/>
  <c r="K331" i="4"/>
  <c r="J331" i="4"/>
  <c r="H2945" i="1"/>
  <c r="K548" i="4"/>
  <c r="J207" i="4"/>
  <c r="H245" i="1"/>
  <c r="K35" i="4"/>
  <c r="J35" i="4"/>
  <c r="H377" i="1"/>
  <c r="K51" i="4"/>
  <c r="J51" i="4"/>
  <c r="H521" i="1"/>
  <c r="K79" i="4"/>
  <c r="J79" i="4"/>
  <c r="H538" i="1"/>
  <c r="K83" i="4"/>
  <c r="J83" i="4"/>
  <c r="H563" i="1"/>
  <c r="K89" i="4"/>
  <c r="J89" i="4"/>
  <c r="J131" i="4"/>
  <c r="H840" i="1"/>
  <c r="K131" i="4"/>
  <c r="J145" i="4"/>
  <c r="H920" i="1"/>
  <c r="K145" i="4"/>
  <c r="H950" i="1"/>
  <c r="K153" i="4"/>
  <c r="J153" i="4"/>
  <c r="H2051" i="1"/>
  <c r="K329" i="4"/>
  <c r="J329" i="4"/>
  <c r="H2581" i="1"/>
  <c r="K449" i="4"/>
  <c r="J449" i="4"/>
  <c r="H2906" i="1"/>
  <c r="K538" i="4"/>
  <c r="J538" i="4"/>
  <c r="H138" i="1"/>
  <c r="K21" i="4"/>
  <c r="J21" i="4"/>
  <c r="H183" i="1"/>
  <c r="K25" i="4"/>
  <c r="J25" i="4"/>
  <c r="H815" i="1"/>
  <c r="K127" i="4"/>
  <c r="J127" i="4"/>
  <c r="H1284" i="1"/>
  <c r="K201" i="4"/>
  <c r="J201" i="4"/>
  <c r="H2262" i="1"/>
  <c r="K373" i="4"/>
  <c r="J373" i="4"/>
  <c r="J67" i="4"/>
  <c r="H469" i="1"/>
  <c r="K67" i="4"/>
  <c r="H853" i="1"/>
  <c r="K133" i="4"/>
  <c r="J133" i="4"/>
  <c r="H910" i="1"/>
  <c r="K143" i="4"/>
  <c r="J143" i="4"/>
  <c r="H1886" i="1"/>
  <c r="J296" i="4"/>
  <c r="H2428" i="1"/>
  <c r="K411" i="4"/>
  <c r="J411" i="4"/>
  <c r="H2437" i="1"/>
  <c r="K413" i="4"/>
  <c r="J413" i="4"/>
  <c r="H2750" i="1"/>
  <c r="K492" i="4"/>
  <c r="J492" i="4"/>
  <c r="H2849" i="1"/>
  <c r="K526" i="4"/>
  <c r="J526" i="4"/>
  <c r="H3076" i="1"/>
  <c r="K570" i="4"/>
  <c r="J570" i="4"/>
  <c r="J159" i="4"/>
  <c r="H1016" i="1"/>
  <c r="K159" i="4"/>
  <c r="H531" i="1"/>
  <c r="K81" i="4"/>
  <c r="J81" i="4"/>
  <c r="I85" i="4"/>
  <c r="H546" i="1"/>
  <c r="K85" i="4"/>
  <c r="H1453" i="1"/>
  <c r="K233" i="4"/>
  <c r="J233" i="4"/>
  <c r="H2038" i="1"/>
  <c r="K327" i="4"/>
  <c r="J327" i="4"/>
  <c r="H2143" i="1"/>
  <c r="K339" i="4"/>
  <c r="J339" i="4"/>
  <c r="J395" i="4"/>
  <c r="H2361" i="1"/>
  <c r="K395" i="4"/>
  <c r="H2408" i="1"/>
  <c r="K407" i="4"/>
  <c r="J407" i="4"/>
  <c r="H2479" i="1"/>
  <c r="K425" i="4"/>
  <c r="J425" i="4"/>
  <c r="H2600" i="1"/>
  <c r="K455" i="4"/>
  <c r="J455" i="4"/>
  <c r="H2862" i="1"/>
  <c r="K528" i="4"/>
  <c r="J528" i="4"/>
  <c r="H2913" i="1"/>
  <c r="K540" i="4"/>
  <c r="J540" i="4"/>
  <c r="J241" i="4"/>
  <c r="H1480" i="1"/>
  <c r="K241" i="4"/>
  <c r="H3049" i="1"/>
  <c r="K562" i="4"/>
  <c r="J562" i="4"/>
  <c r="J349" i="4"/>
  <c r="H2174" i="1"/>
  <c r="K349" i="4"/>
  <c r="H2297" i="1"/>
  <c r="K381" i="4"/>
  <c r="J381" i="4"/>
  <c r="H2335" i="1"/>
  <c r="K389" i="4"/>
  <c r="J389" i="4"/>
  <c r="H3180" i="1"/>
  <c r="K600" i="4"/>
  <c r="J600" i="4"/>
  <c r="J518" i="4"/>
  <c r="H2823" i="1"/>
  <c r="H2953" i="1"/>
  <c r="K550" i="4"/>
  <c r="J550" i="4"/>
  <c r="H450" i="1"/>
  <c r="K63" i="4"/>
  <c r="J63" i="4"/>
  <c r="J415" i="4"/>
  <c r="H2443" i="1"/>
  <c r="K415" i="4"/>
  <c r="H2453" i="1"/>
  <c r="K417" i="4"/>
  <c r="J417" i="4"/>
  <c r="H260" i="1"/>
  <c r="H1568" i="1"/>
  <c r="H827" i="1"/>
  <c r="J129" i="4"/>
  <c r="H2077" i="1"/>
  <c r="J333" i="4"/>
  <c r="H1917" i="1"/>
  <c r="H1369" i="1"/>
  <c r="H1371" i="1"/>
  <c r="K217" i="4"/>
  <c r="H871" i="1"/>
  <c r="J137" i="4"/>
  <c r="H892" i="1"/>
  <c r="J139" i="4"/>
  <c r="H1838" i="1"/>
  <c r="H956" i="1"/>
  <c r="H958" i="1"/>
  <c r="K155" i="4"/>
  <c r="H1443" i="1"/>
  <c r="J231" i="4"/>
  <c r="H1702" i="1"/>
  <c r="H1704" i="1"/>
  <c r="K263" i="4"/>
  <c r="H1807" i="1"/>
  <c r="H1847" i="1"/>
  <c r="J290" i="4"/>
  <c r="H691" i="1"/>
  <c r="H693" i="1"/>
  <c r="K109" i="4"/>
  <c r="H1690" i="1"/>
  <c r="K261" i="4"/>
  <c r="J261" i="4"/>
  <c r="H389" i="1"/>
  <c r="K53" i="4"/>
  <c r="J53" i="4"/>
  <c r="H2327" i="1"/>
  <c r="K387" i="4"/>
  <c r="J387" i="4"/>
  <c r="J15" i="4"/>
  <c r="H94" i="1"/>
  <c r="K15" i="4"/>
  <c r="H1605" i="1"/>
  <c r="K253" i="4"/>
  <c r="J253" i="4"/>
  <c r="H1799" i="1"/>
  <c r="K281" i="4"/>
  <c r="J281" i="4"/>
  <c r="H2216" i="1"/>
  <c r="K361" i="4"/>
  <c r="J361" i="4"/>
  <c r="H2485" i="1"/>
  <c r="K427" i="4"/>
  <c r="J427" i="4"/>
  <c r="H2677" i="1"/>
  <c r="K477" i="4"/>
  <c r="I477" i="4"/>
  <c r="H2801" i="1"/>
  <c r="K512" i="4"/>
  <c r="J512" i="4"/>
  <c r="H1494" i="1"/>
  <c r="H1493" i="1"/>
  <c r="H1498" i="1"/>
  <c r="H1500" i="1"/>
  <c r="K245" i="4"/>
  <c r="H1512" i="1"/>
  <c r="K247" i="4"/>
  <c r="J247" i="4"/>
  <c r="H476" i="1"/>
  <c r="K69" i="4"/>
  <c r="J177" i="4"/>
  <c r="J189" i="4"/>
  <c r="J237" i="4"/>
  <c r="J193" i="4"/>
  <c r="J65" i="4"/>
  <c r="J75" i="4"/>
  <c r="H1488" i="1"/>
  <c r="K243" i="4"/>
  <c r="H1739" i="1"/>
  <c r="K269" i="4"/>
  <c r="J532" i="4"/>
  <c r="J302" i="4"/>
  <c r="J393" i="4"/>
  <c r="H2269" i="1"/>
  <c r="K375" i="4"/>
  <c r="J504" i="4"/>
  <c r="J335" i="4"/>
  <c r="J481" i="4"/>
  <c r="J267" i="4"/>
  <c r="J574" i="4"/>
  <c r="J365" i="4"/>
  <c r="J401" i="4"/>
  <c r="J496" i="4"/>
  <c r="J445" i="4"/>
  <c r="H2919" i="1"/>
  <c r="K542" i="4"/>
  <c r="H2593" i="1"/>
  <c r="K453" i="4"/>
  <c r="H2394" i="1"/>
  <c r="K403" i="4"/>
  <c r="H1708" i="1"/>
  <c r="H1715" i="1"/>
  <c r="H2168" i="1"/>
  <c r="K347" i="4"/>
  <c r="H2162" i="1"/>
  <c r="K345" i="4"/>
  <c r="H2156" i="1"/>
  <c r="K343" i="4"/>
  <c r="H1474" i="1"/>
  <c r="K239" i="4"/>
  <c r="H2303" i="1"/>
  <c r="K383" i="4"/>
  <c r="H126" i="1"/>
  <c r="K19" i="4"/>
  <c r="I500" i="4"/>
  <c r="H3069" i="1"/>
  <c r="K568" i="4"/>
  <c r="H3083" i="1"/>
  <c r="K572" i="4"/>
  <c r="H3097" i="1"/>
  <c r="K576" i="4"/>
  <c r="H3111" i="1"/>
  <c r="K580" i="4"/>
  <c r="J255" i="4"/>
  <c r="J475" i="4"/>
  <c r="H1787" i="1"/>
  <c r="K277" i="4"/>
  <c r="H2815" i="1"/>
  <c r="K516" i="4"/>
  <c r="H2829" i="1"/>
  <c r="K520" i="4"/>
  <c r="I437" i="4"/>
  <c r="H111" i="1"/>
  <c r="J17" i="4"/>
  <c r="H2794" i="1"/>
  <c r="K510" i="4"/>
  <c r="I510" i="4"/>
  <c r="H230" i="1"/>
  <c r="J33" i="4"/>
  <c r="H2314" i="1"/>
  <c r="H2316" i="1"/>
  <c r="K385" i="4"/>
  <c r="H2510" i="1"/>
  <c r="J433" i="4"/>
  <c r="H2512" i="1"/>
  <c r="K433" i="4"/>
  <c r="H232" i="1"/>
  <c r="K33" i="4"/>
  <c r="J109" i="4"/>
  <c r="H1809" i="1"/>
  <c r="K283" i="4"/>
  <c r="J283" i="4"/>
  <c r="H1445" i="1"/>
  <c r="K231" i="4"/>
  <c r="H1840" i="1"/>
  <c r="K287" i="4"/>
  <c r="J287" i="4"/>
  <c r="H873" i="1"/>
  <c r="K137" i="4"/>
  <c r="J217" i="4"/>
  <c r="K296" i="4"/>
  <c r="K298" i="4"/>
  <c r="J385" i="4"/>
  <c r="H1849" i="1"/>
  <c r="K290" i="4"/>
  <c r="J263" i="4"/>
  <c r="J155" i="4"/>
  <c r="H894" i="1"/>
  <c r="K139" i="4"/>
  <c r="J304" i="4"/>
  <c r="H1919" i="1"/>
  <c r="K304" i="4"/>
  <c r="H1570" i="1"/>
  <c r="K251" i="4"/>
  <c r="J251" i="4"/>
  <c r="H262" i="1"/>
  <c r="K37" i="4"/>
  <c r="J37" i="4"/>
  <c r="H903" i="1"/>
  <c r="K141" i="4"/>
  <c r="J141" i="4"/>
  <c r="H1307" i="1"/>
  <c r="J173" i="4"/>
  <c r="J205" i="4"/>
  <c r="H426" i="1"/>
  <c r="J115" i="4"/>
  <c r="H745" i="1"/>
  <c r="K115" i="4"/>
  <c r="H2003" i="1"/>
  <c r="H2024" i="1"/>
  <c r="H1100" i="1"/>
  <c r="K171" i="4"/>
  <c r="J171" i="4"/>
  <c r="H1392" i="1"/>
  <c r="K221" i="4"/>
  <c r="J221" i="4"/>
  <c r="H603" i="1"/>
  <c r="H630" i="1"/>
  <c r="H621" i="1"/>
  <c r="H1995" i="1"/>
  <c r="H1997" i="1"/>
  <c r="J103" i="4"/>
  <c r="H649" i="1"/>
  <c r="K103" i="4"/>
  <c r="J259" i="4"/>
  <c r="H1672" i="1"/>
  <c r="K259" i="4"/>
  <c r="J157" i="4"/>
  <c r="H1009" i="1"/>
  <c r="K157" i="4"/>
  <c r="J165" i="4"/>
  <c r="H1058" i="1"/>
  <c r="K165" i="4"/>
  <c r="H1968" i="1"/>
  <c r="K312" i="4"/>
  <c r="J312" i="4"/>
  <c r="J316" i="4"/>
  <c r="H1985" i="1"/>
  <c r="J314" i="4"/>
  <c r="J322" i="4"/>
  <c r="H2015" i="1"/>
  <c r="K322" i="4"/>
  <c r="J552" i="4"/>
  <c r="H3022" i="1"/>
  <c r="K552" i="4"/>
  <c r="H1942" i="1"/>
  <c r="J113" i="4"/>
  <c r="H726" i="1"/>
  <c r="K113" i="4"/>
  <c r="J265" i="4"/>
  <c r="H1717" i="1"/>
  <c r="K265" i="4"/>
  <c r="H415" i="1"/>
  <c r="J225" i="4"/>
  <c r="H1413" i="1"/>
  <c r="K225" i="4"/>
  <c r="J191" i="4"/>
  <c r="H1243" i="1"/>
  <c r="K191" i="4"/>
  <c r="H2079" i="1"/>
  <c r="K333" i="4"/>
  <c r="H113" i="1"/>
  <c r="K17" i="4"/>
  <c r="J245" i="4"/>
  <c r="H829" i="1"/>
  <c r="K129" i="4"/>
  <c r="H659" i="1"/>
  <c r="H1049" i="1"/>
  <c r="H1769" i="1"/>
  <c r="K275" i="4"/>
  <c r="H343" i="1"/>
  <c r="J47" i="4"/>
  <c r="H360" i="1"/>
  <c r="H439" i="1"/>
  <c r="K61" i="4"/>
  <c r="J61" i="4"/>
  <c r="H555" i="1"/>
  <c r="K87" i="4"/>
  <c r="J87" i="4"/>
  <c r="H1293" i="1"/>
  <c r="H1359" i="1"/>
  <c r="J534" i="4"/>
  <c r="H2889" i="1"/>
  <c r="K534" i="4"/>
  <c r="J77" i="4"/>
  <c r="H509" i="1"/>
  <c r="K77" i="4"/>
  <c r="H2089" i="1"/>
  <c r="K485" i="4"/>
  <c r="H1402" i="1"/>
  <c r="H2663" i="1"/>
  <c r="K473" i="4"/>
  <c r="J473" i="4"/>
  <c r="J300" i="4"/>
  <c r="H1899" i="1"/>
  <c r="K300" i="4"/>
  <c r="J91" i="4"/>
  <c r="H572" i="1"/>
  <c r="K91" i="4"/>
  <c r="H703" i="1"/>
  <c r="H2703" i="1"/>
  <c r="H934" i="1"/>
  <c r="J227" i="4"/>
  <c r="H1425" i="1"/>
  <c r="K227" i="4"/>
  <c r="H283" i="1"/>
  <c r="H324" i="1"/>
  <c r="I47" i="4"/>
  <c r="H345" i="1"/>
  <c r="K47" i="4"/>
  <c r="H273" i="1"/>
  <c r="H304" i="1"/>
  <c r="H1314" i="1"/>
  <c r="H1315" i="1"/>
  <c r="K207" i="4"/>
  <c r="H676" i="1"/>
  <c r="K107" i="4"/>
  <c r="K369" i="4"/>
  <c r="H1081" i="1"/>
  <c r="H1864" i="1"/>
  <c r="H53" i="1"/>
  <c r="H1825" i="1"/>
  <c r="H2570" i="1"/>
  <c r="H14" i="1"/>
  <c r="H2417" i="1"/>
  <c r="H169" i="1"/>
  <c r="H767" i="1"/>
  <c r="H777" i="1"/>
  <c r="H1959" i="1"/>
  <c r="H2490" i="1"/>
  <c r="H1147" i="1"/>
  <c r="H207" i="1"/>
  <c r="K29" i="4"/>
  <c r="H218" i="1"/>
  <c r="H2253" i="1"/>
  <c r="H1176" i="1"/>
  <c r="J391" i="4"/>
  <c r="H2344" i="1"/>
  <c r="K391" i="4"/>
  <c r="J13" i="4"/>
  <c r="H72" i="1"/>
  <c r="K13" i="4"/>
  <c r="H592" i="1"/>
  <c r="H1520" i="1"/>
  <c r="J357" i="4"/>
  <c r="H2199" i="1"/>
  <c r="H2207" i="1"/>
  <c r="H2534" i="1"/>
  <c r="K439" i="4"/>
  <c r="J439" i="4"/>
  <c r="H795" i="1"/>
  <c r="H2500" i="1"/>
  <c r="J55" i="4"/>
  <c r="H405" i="1"/>
  <c r="K55" i="4"/>
  <c r="H3060" i="1"/>
  <c r="H3062" i="1"/>
  <c r="K566" i="4"/>
  <c r="H3102" i="1"/>
  <c r="H1065" i="1"/>
  <c r="K167" i="4"/>
  <c r="I167" i="4"/>
  <c r="J187" i="4"/>
  <c r="H1178" i="1"/>
  <c r="K187" i="4"/>
  <c r="J169" i="4"/>
  <c r="H1083" i="1"/>
  <c r="K169" i="4"/>
  <c r="H936" i="1"/>
  <c r="K151" i="4"/>
  <c r="J151" i="4"/>
  <c r="H2492" i="1"/>
  <c r="K429" i="4"/>
  <c r="J429" i="4"/>
  <c r="J285" i="4"/>
  <c r="H1827" i="1"/>
  <c r="K285" i="4"/>
  <c r="H285" i="1"/>
  <c r="K41" i="4"/>
  <c r="J41" i="4"/>
  <c r="H661" i="1"/>
  <c r="K105" i="4"/>
  <c r="J105" i="4"/>
  <c r="K316" i="4"/>
  <c r="K314" i="4"/>
  <c r="J59" i="4"/>
  <c r="H428" i="1"/>
  <c r="K59" i="4"/>
  <c r="J249" i="4"/>
  <c r="H1522" i="1"/>
  <c r="K249" i="4"/>
  <c r="J31" i="4"/>
  <c r="H220" i="1"/>
  <c r="K31" i="4"/>
  <c r="J310" i="4"/>
  <c r="H1961" i="1"/>
  <c r="K310" i="4"/>
  <c r="H2419" i="1"/>
  <c r="K409" i="4"/>
  <c r="J409" i="4"/>
  <c r="J11" i="4"/>
  <c r="H55" i="1"/>
  <c r="K11" i="4"/>
  <c r="J111" i="4"/>
  <c r="H705" i="1"/>
  <c r="K111" i="4"/>
  <c r="H417" i="1"/>
  <c r="K57" i="4"/>
  <c r="J57" i="4"/>
  <c r="J99" i="4"/>
  <c r="H623" i="1"/>
  <c r="K99" i="4"/>
  <c r="J318" i="4"/>
  <c r="J320" i="4"/>
  <c r="H2005" i="1"/>
  <c r="J578" i="4"/>
  <c r="H3104" i="1"/>
  <c r="K578" i="4"/>
  <c r="H2502" i="1"/>
  <c r="K431" i="4"/>
  <c r="J431" i="4"/>
  <c r="J359" i="4"/>
  <c r="H2209" i="1"/>
  <c r="K359" i="4"/>
  <c r="H594" i="1"/>
  <c r="K93" i="4"/>
  <c r="J93" i="4"/>
  <c r="J119" i="4"/>
  <c r="H779" i="1"/>
  <c r="K119" i="4"/>
  <c r="J7" i="4"/>
  <c r="H16" i="1"/>
  <c r="K7" i="4"/>
  <c r="H1866" i="1"/>
  <c r="K292" i="4"/>
  <c r="J292" i="4"/>
  <c r="J215" i="4"/>
  <c r="H1361" i="1"/>
  <c r="K215" i="4"/>
  <c r="H1944" i="1"/>
  <c r="K308" i="4"/>
  <c r="J308" i="4"/>
  <c r="H632" i="1"/>
  <c r="K101" i="4"/>
  <c r="J101" i="4"/>
  <c r="H1149" i="1"/>
  <c r="K179" i="4"/>
  <c r="J179" i="4"/>
  <c r="H326" i="1"/>
  <c r="K45" i="4"/>
  <c r="J45" i="4"/>
  <c r="H1051" i="1"/>
  <c r="K163" i="4"/>
  <c r="J163" i="4"/>
  <c r="J95" i="4"/>
  <c r="H605" i="1"/>
  <c r="K95" i="4"/>
  <c r="K173" i="4"/>
  <c r="K205" i="4"/>
  <c r="J123" i="4"/>
  <c r="H797" i="1"/>
  <c r="K123" i="4"/>
  <c r="H769" i="1"/>
  <c r="K117" i="4"/>
  <c r="J117" i="4"/>
  <c r="H2255" i="1"/>
  <c r="K371" i="4"/>
  <c r="J371" i="4"/>
  <c r="H275" i="1"/>
  <c r="K39" i="4"/>
  <c r="J39" i="4"/>
  <c r="J223" i="4"/>
  <c r="H1404" i="1"/>
  <c r="K223" i="4"/>
  <c r="J324" i="4"/>
  <c r="H2026" i="1"/>
  <c r="K324" i="4"/>
  <c r="J447" i="4"/>
  <c r="H2572" i="1"/>
  <c r="K447" i="4"/>
  <c r="J43" i="4"/>
  <c r="H306" i="1"/>
  <c r="K43" i="4"/>
  <c r="H1295" i="1"/>
  <c r="K203" i="4"/>
  <c r="J203" i="4"/>
  <c r="H171" i="1"/>
  <c r="K23" i="4"/>
  <c r="J23" i="4"/>
  <c r="H2705" i="1"/>
  <c r="K483" i="4"/>
  <c r="J483" i="4"/>
  <c r="J49" i="4"/>
  <c r="H362" i="1"/>
  <c r="K49" i="4"/>
  <c r="K320" i="4"/>
  <c r="K318" i="4"/>
  <c r="K602" i="4"/>
</calcChain>
</file>

<file path=xl/sharedStrings.xml><?xml version="1.0" encoding="utf-8"?>
<sst xmlns="http://schemas.openxmlformats.org/spreadsheetml/2006/main" count="6232" uniqueCount="1994">
  <si>
    <t xml:space="preserve">improvements </t>
  </si>
  <si>
    <t xml:space="preserve">No of Units </t>
  </si>
  <si>
    <t>Area sqm</t>
  </si>
  <si>
    <t>Rate</t>
  </si>
  <si>
    <t>ERC</t>
  </si>
  <si>
    <t>Dep</t>
  </si>
  <si>
    <t>D.R.C</t>
  </si>
  <si>
    <t>Total of improvements</t>
  </si>
  <si>
    <t xml:space="preserve">Land </t>
  </si>
  <si>
    <t>DRV</t>
  </si>
  <si>
    <t xml:space="preserve">Improvements </t>
  </si>
  <si>
    <t>Total of Improvements</t>
  </si>
  <si>
    <t>MUTARE  VALUATION ROLL</t>
  </si>
  <si>
    <t xml:space="preserve"> INDUSTRIAL PROPERTIES </t>
  </si>
  <si>
    <t>Fencing-Diamond mesh wire 2m high,with overhang,</t>
  </si>
  <si>
    <t>Undeveloped</t>
  </si>
  <si>
    <t>Fencing-precast concrete panels.</t>
  </si>
  <si>
    <t>HEAVY INDUSTRY</t>
  </si>
  <si>
    <t>No 1 GLASSGOW ROAD</t>
  </si>
  <si>
    <t>No 5 INDUSTRIAL ROAD</t>
  </si>
  <si>
    <t>No 1 CARDIFF ROAD</t>
  </si>
  <si>
    <t>NATIONAL RAILWAYS OF ZIMBABWE</t>
  </si>
  <si>
    <t>Old Warehouse  - Steel framed buliding cladded with corrugated iron sheets under a duo-pitched  roof of steel beams , covered with corrugated asbestos sheets,steel door and window frames,cement screed flooring.</t>
  </si>
  <si>
    <t>No 5 CARDIFF ROAD</t>
  </si>
  <si>
    <t>ERIC CARLSON</t>
  </si>
  <si>
    <t>Shed-Timber poles under a monopitched roof of steel trusses with corrugated asbestos sheets covering covering,granolithic flooring.</t>
  </si>
  <si>
    <t>No 25 PARK ROAD</t>
  </si>
  <si>
    <t>Toilet(2)- common brickwall ,plastered and painted, under a mono-pitched roof of timber trusses , covered with corrugated iron sheets,cement screed floors.</t>
  </si>
  <si>
    <t>Offices and Ablution block (1)- cement blocks,plastered and painted, under a mono-pitched roof of timber trusses , covered with corrugated asbestos sheets,cement screed floors.</t>
  </si>
  <si>
    <t>Offices block (2)- cement blocks,plastered and painted, under a mono-pitched roof of timber trusses , covered with corrugated asbestos sheets,cement screed floors.</t>
  </si>
  <si>
    <t>Offices block (3)- cement blocks,plastered and painted, under a mono-pitched roof of timber trusses , covered with corrugated asbestos sheets,cement screed floors.</t>
  </si>
  <si>
    <t>Staff House(1)-Common bricks ,plastered and painted, under a mono-pitched roof of timber trusses , covered with corrugated asbestos sheets,steel door and window frames,cement screed floors.</t>
  </si>
  <si>
    <t>Staff House(2)-Common bricks ,plastered and painted, under a mono-pitched roof of timber trusses , covered with corrugated asbestos sheets,steel door and window frames,cement screed floors.</t>
  </si>
  <si>
    <t>Staff quarters-Common bricks ,plastered and painted, under a mono-pitched roof of timber trusses , covered with corrugated asbestos sheets,steel door and window frames,cement screed floors.</t>
  </si>
  <si>
    <t>Storeroom and Carport-Common bricks ,plastered and painted, under a mono-pitched roof of timber trusses , covered with corrugated asbestos sheets,steel door and window frames,cement screed floors.</t>
  </si>
  <si>
    <t>No 2-4 CARDIF ROAD</t>
  </si>
  <si>
    <t>GREEN MOTOR SERVICES</t>
  </si>
  <si>
    <t>1460-1462-R/E OF 1464</t>
  </si>
  <si>
    <t>No 17-19-21 PARK ROAD</t>
  </si>
  <si>
    <t>BUFFALO SOAP INDUSTRIES</t>
  </si>
  <si>
    <t>Boiler Shed- A steel framed structure cladded with IBR under a duo-pitched roof of timber trusses , covered with IBR sheets,steel door and window frames,cement screed flooring,</t>
  </si>
  <si>
    <t>Storeroom- common bricks,plastered and painted, under a mono-pitched roof of timber trusses , covered with corrugated iron sheets,cement screed floors.</t>
  </si>
  <si>
    <t>Staff quarters- common bricks,plastered and painted, under a mono-pitched roof of timber trusses , covered with Trafford asbestos sheets,cement screed floors.</t>
  </si>
  <si>
    <t>Fuel Pump Shed-Steel poles under a monopitched roof of timber beams and purlins with corrugated asbestos sheets covering covering,earth flooring.</t>
  </si>
  <si>
    <t>Fuel Dispenser (Wayne Dresser old type)</t>
  </si>
  <si>
    <t>Guard House- common bricks,plastered and painted, under a mono-pitched roof of timber trusses , covered with corrugated asbestos sheets,cement screed floors.</t>
  </si>
  <si>
    <t>Borehole</t>
  </si>
  <si>
    <t>1464-LOT 1 OF 1464-1466A</t>
  </si>
  <si>
    <t>No 15 PARK ROAD</t>
  </si>
  <si>
    <t>BRIAN JAMES</t>
  </si>
  <si>
    <t xml:space="preserve">  </t>
  </si>
  <si>
    <t>Storeroom and Ablution block- common bricks,plastered and painted, under a mono-pitched roof of timber trusses , covered with corrugated iron sheets,cement screed floors.</t>
  </si>
  <si>
    <t>Enclosed Shed-Steel poles under a monopitched roof of timber beams and purlins with corrugated asbestos sheets covering covering,diamond mesh wire enclosure,concrete flooring.</t>
  </si>
  <si>
    <t>Fencing-Diamond mesh wire 1.5m high.</t>
  </si>
  <si>
    <t>896-A OF 896-897</t>
  </si>
  <si>
    <t>No 11 PARK ROAD</t>
  </si>
  <si>
    <t>MUTARE DRY PORT</t>
  </si>
  <si>
    <t>Canteen- common bricks,plastered and painted, under a mono-pitched roof of timber trusses , covered with corrugated iron sheets,cement screed floors.</t>
  </si>
  <si>
    <t>Shed-Steel poles under a duo-pitched roof of timber trusses  corrugated asbestos sheets covering covering,diamond mesh wire enclosure,concrete flooring.</t>
  </si>
  <si>
    <t>Ablution block- common bricks,plastered and painted, under a mono-pitched roof of timber trusses , covered with corrugated asbestos sheets,ceramic tile floors.</t>
  </si>
  <si>
    <t>Old Toilet- common bricks,plastered and painted, under a mono-pitched concrete roof,cement screed floors.</t>
  </si>
  <si>
    <t>Staff House- common bricks,plastered and painted, under a mono-pitched roof of timber trusses , covered with corrugated asbestos sheets,cement screed floors.</t>
  </si>
  <si>
    <t>POWER STATION SITE</t>
  </si>
  <si>
    <t>No 2 GLASSGOW R.D</t>
  </si>
  <si>
    <t>Adminstration block- common bricks,plastered and painted, under a mono-pitched roof of timber trusses , covered with corrugated iron sheets,cement screed floors.</t>
  </si>
  <si>
    <t>Manager's Office- common bricks,plastered and painted, under a mono-pitched roof of timber trusses , covered with corrugated iron sheets,cement screed floors.</t>
  </si>
  <si>
    <t>Storeroom (2)- common bricks,plastered and painted, under a mono-pitched roof of timber beams and purlins , covered with corrugated asbestos sheets,cement screed floors.</t>
  </si>
  <si>
    <t>Staff House 1- A semi-detached structure constructed of cem-washed common bricks, under a mono-pitched roof of timber beams and purlins , covered with corrugated asbestos sheets,steel door and window frames,cement screed floors.</t>
  </si>
  <si>
    <t>Block  1- A semi-detached structure constructed of cem-washed common bricks, under a mono-pitched roof of timber beams and purlins , covered with corrugated iron sheets,steel door and window frames,cement screed floors.</t>
  </si>
  <si>
    <t>Block  2- A semi-detached structure constructed of cem-washed common bricks, under a mono-pitched roof of timber beams and purlins , covered with corrugated iron sheets,steel door and window frames,cement screed floors.</t>
  </si>
  <si>
    <t>No 9 PARK R.D</t>
  </si>
  <si>
    <t>ZETDC MUTARE REGION</t>
  </si>
  <si>
    <t>Adminstration block- common bricks,plastered and painted, under a mono-pitched roof of timber trusses , covered with corrugated asbestos  sheets,ceramic tile floors.</t>
  </si>
  <si>
    <t>Workshop (1)- A double volume structure common bricks,plastered and painted, under a duo-pitched roof of timber trusses , covered with corrugated asbestos  sheets,steel door and window frames,cement screed floors.</t>
  </si>
  <si>
    <t>Workshop (2)- A double volume structure common bricks,plastered and painted, under a saw toothed  roof of steel trusses , covered with corrugated asbestos  sheets,steel door and window frames,cement screed floors.</t>
  </si>
  <si>
    <t>Offices and Workshop - A concrete framed structure common bricks,plastered and painted, under a mono-pitched roof of timber trusses , covered with corrugated asbestos  sheets,steel door and window frames,cement screed floors.</t>
  </si>
  <si>
    <t>Panel Beating Workshop - A concrete framed structure common bricks,plastered and painted, under a mono-pitched roof of timber trusses , covered with corrugated asbestos  sheets,steel door and window frames,cement screed floors.</t>
  </si>
  <si>
    <t>Loss Control and Gantry House - A concrete framed structure common bricks,plastered and painted, under a mono-pitched concrete roof,steel door and window frames,cement screed floors.</t>
  </si>
  <si>
    <t>Stores- common bricks,plastered and painted, under a duo-pitched cocnrete roof,steel door and window frames,cement screed floors.</t>
  </si>
  <si>
    <t>Shed-Steel poles under a duo-pitched roof of steel beams with  corrugated asbestos sheets covering covering,diamond mesh wire enclosure,concrete flooring.</t>
  </si>
  <si>
    <t>Canteen- common bricks,plastered and painted, under a duo-pitched roof of timber trusses , covered with corrugated asbestos  sheets,steel door and window frames,ceramic tile floors.</t>
  </si>
  <si>
    <t>Ablution block- common bricks,plastered and painted, under a duo-pitched roof of timber trusses , covered with corrugated asbestos  sheets,steel door and window frames,cement screed  floor.</t>
  </si>
  <si>
    <t>Carport-Timber poles under a duo-pitched roof of timber beams with  corrugated asbestos sheets covering covering,diamond mesh wire enclosure,concrete flooring.</t>
  </si>
  <si>
    <t>Staff House (2)- common bricks,plastered and painted, under a duo-pitched roof of timber trusses , covered with corrugated iron  sheets,steel door and window frames,cement screed  floor.(cracking)</t>
  </si>
  <si>
    <t>NYAKAMETE INDUSTRIAL AREA</t>
  </si>
  <si>
    <t>MINISTRY OF TRANSPORT</t>
  </si>
  <si>
    <t>Warehouse- Industrial common bricks,plastered and painted, under a duo-pitched roof of steel trusses , covered with corrugated asbestos  sheets,steel door and window frames,cement screed floors.</t>
  </si>
  <si>
    <t>Workshop- common bricks,plastered and painted, under a duo-pitched roof of timber trusses , covered with corrugated iron  sheets,steel door and window frames,cement screed flooring.</t>
  </si>
  <si>
    <t>Laboratory- Industrial common bricks,plastered and painted, under a duo-pitched roof of timber trusses , covered with corrugated asbestos  sheets,steel door and window frames,cement screed floors.</t>
  </si>
  <si>
    <t>Staff house(1)- Industrial common bricks,plastered and painted, under a duo-pitched roof of timber trusses , covered with corrugated asbestos  sheets,steel door and window frames,cement screed floors.</t>
  </si>
  <si>
    <t>Staff house(2)- Industrial common bricks,plastered and painted, under a duo-pitched roof of timber trusses , covered with corrugated asbestos iron,steel door and window frames,cement screed floors.</t>
  </si>
  <si>
    <t>Toilet(1)- Industrial common bricks,plastered and painted, under a mono-pitched roof of timber trusses , covered with corrugated asbestos iron,steel door and window frames,cement screed floors.</t>
  </si>
  <si>
    <t>Toilet(2)- Industrial common bricks,plastered and painted, under a mono-pitched roof of timber trusses , covered with corrugated asbestos iron,steel door and window frames,cement screed floors.</t>
  </si>
  <si>
    <t>Fencing-Fenced with 1.8m diamond mesh wire and wrought iron gated.</t>
  </si>
  <si>
    <t>23 VUMBA ROAD</t>
  </si>
  <si>
    <t>996A-1982A-2463A-2512-2526-2846A</t>
  </si>
  <si>
    <t>No 1 HELENS DRIVE</t>
  </si>
  <si>
    <t>MUTARE BOARD AND PAPER MILL</t>
  </si>
  <si>
    <t>Engineering Workshop-A part three storey and part double volume concrete framed structure cladded with  common bricks,plastered and painted, under a duo-pitched roof of steel trusses , covered with corrugated iron  sheets,steel roller shutters and window frames,cement screed flooring.</t>
  </si>
  <si>
    <t>Stores-A double volume steel framed structure cladded with corrugated asbestos sheets, under a duo-pitched roof of steel trusses , covered with corrugated asbestos  sheets,steel door and window frames,cement screed floors.</t>
  </si>
  <si>
    <t>Stores Offices-A double storey steel framed structure cladded with industrial common bricks, under a duo-pitched roof of steel trusses , covered with corrugated asbestos  sheets,steel door and window frames,cement screed floors.</t>
  </si>
  <si>
    <t>Workshop and Garage-A steel framed structure cladded with industrial common bricks, under a saw-toothed  roof of steel trusses , covered with corrugated asbestos  sheets,steel door and window frames,concrete floors.</t>
  </si>
  <si>
    <t>Oil Room- Industrial common bricks,plastered and painted, under a mono-pitched roof of timber trusses , covered with corrugated asbestos iron,steel door and window frames,cement screed floors.</t>
  </si>
  <si>
    <t>Carport (1)-Steel poles under a duo-pitched roof of steel beams with  corrugated asbestos sheets covering covering,interlocking concrete brick flooring.</t>
  </si>
  <si>
    <t>Carport (2)-Steel poles under a duo-pitched roof of steel beams with  corrugated asbestos sheets covering covering,interlocking concrete brick flooring.</t>
  </si>
  <si>
    <t>Boiler House- A double volume steel framed structure cladded with corrugated asbestos sheets, under a mono-pitched roof of steel trusses , covered with corrugated asbestos  sheets,concrete floors.</t>
  </si>
  <si>
    <t>Office- Industrial common bricks,plastered and painted, under a mono-pitched roof of timber beams and purlins , covered with corrugated asbestos iron,steel door and window frames,cement screed floors.</t>
  </si>
  <si>
    <t>Settling tanks Area Storerooms- Industrial common bricks,plastered and painted, under a mono-pitched roof of timber beams and purlins , covered with corrugated asbestos iron,steel door and window frames,cement screed floors.</t>
  </si>
  <si>
    <t>Tissue Products Section- A steel framed structure cladded with part industrial common bricks and corrugated asbestos sheets, under a duo-pitched roof of steel trusses , covered with corrugated asbestos  sheets,concrete floors.</t>
  </si>
  <si>
    <t>Chemical Warehouse- A steel framed structure cladded with corrugated asbestos sheets, under a duo-pitched roof of steel trusses , covered with corrugated asbestos  sheets,concrete floors.</t>
  </si>
  <si>
    <t>Ablution block- Industrial common bricks,plastered and painted, under a mono-pitched roof of timber trusses , covered with  IBR sheets,steel door and window frames,cement screed floors.</t>
  </si>
  <si>
    <t>Generator House- Industrial common bricks,plastered and painted, under a mono-pitched roof of timber trusses , covered with corrugated asbestos sheets,steel door and window frames,cement screed floors.</t>
  </si>
  <si>
    <t>Canteen- Industrial common bricks,plastered and painted, under a duo-pitched roof of timber trusses , covered with  IBR sheets,steel door and window frames,cement screed floors.</t>
  </si>
  <si>
    <t>Power House- Industrial common bricks,plastered and painted,part concrete breeze bricks, under a mono -pitched concrete roof,steel door and window frames,cement screed floors.</t>
  </si>
  <si>
    <t>Stores-A double volume steel framed structure,part cladded with industrial common bricks and corrugated asbestos sheets under a duo-pitched roof of steel trusses , covered with corrugated asbestos  sheets,steel door and window frames,cement screed floors.</t>
  </si>
  <si>
    <t>Power House- Industrial common bricks,plastered and painted, under a mono -pitched concrete roof,steel door and window frames,cement screed floors.</t>
  </si>
  <si>
    <t>Shed-A double volume concrete framed structure under a duo-pitched roof of concrete beams , covered with corrugated iron sheets,steel door and window frames,granolithic flooring .</t>
  </si>
  <si>
    <t>Resevoir-Constructed of concrete returning walls.</t>
  </si>
  <si>
    <t>Pump house- Industrial common bricks,plastered and painted, under a duo-pitched roof of timber trusses , covered with corrugated asbestos sheets,steel door and window frames,cement screed floors.</t>
  </si>
  <si>
    <t>Toilet- Industrial common bricks,plastered and painted, under a duo-pitched roof of timber trusses , covered with IBR sheets,steel door and window frames,cement screed floors.</t>
  </si>
  <si>
    <t>Board and Paper Mill Factory(2)- A steel framed structure cladded with part industrial common bricks and corrugated asbestos sheets, under a duo-pitched roof of steel trusses , covered with corrugated asbestos  sheets,concrete floors.</t>
  </si>
  <si>
    <t>Board and Paper Mill Factory(1)- A steel framed structure cladded with part industrial common bricks and corrugated asbestos sheets, under a duo-pitched roof of steel trusses , covered with corrugated asbestos  sheets,concrete floors.</t>
  </si>
  <si>
    <t>Transformer House(1)- Industrial common bricks,plastered and painted, under a mono -pitched concrete roof,steel door and window frames,cement screed floors.</t>
  </si>
  <si>
    <t>Transformer House(2)- Industrial common bricks,plastered and painted, under a mono -pitched concrete roof,steel door and window frames,cement screed floors.</t>
  </si>
  <si>
    <t>Transformer House(3)- Industrial common bricks,plastered and painted, under a mono -pitched concrete roof,steel door and window frames,cement screed floors.</t>
  </si>
  <si>
    <t>Switch room- Industrial common bricks,plastered and painted, under a mono-pitched roof of timber trusses , covered with IBR sheets,steel door and window frames,cement screed floors.</t>
  </si>
  <si>
    <t>Resevoir(2)-Constructed of concrete returning walls.</t>
  </si>
  <si>
    <t>Office block (Water treatment Plant)- Industrial common bricks,plastered and painted, under a mono-pitched roof of timber trusses , covered with corrugated asbestos sheets,steel door and window frames,cement screed floors.</t>
  </si>
  <si>
    <t>Warehouse-A double volume steel framed structure cladded with IBR sheets, under a duo-pitched roof of steel trusses , covered with IBR,steel door and window frames,cement screed floors.</t>
  </si>
  <si>
    <t>Factory Shop- Industrial common bricks,plastered and painted, under a duo-pitched roof of timber trusses , covered with corrugated asbestos sheets,steel door and window frames,ceramc tile floors.</t>
  </si>
  <si>
    <t>Office(1)- Industrial common bricks,plastered and painted, under a duo-pitched roof of timber trusses , covered with corrugated asbestos sheets,steel door and window frames,ceramc tile floors.</t>
  </si>
  <si>
    <t>Office(2)- Industrial common bricks,plastered and painted, under a duo-pitched roof of timber trusses , covered with corrugated asbestos sheets,steel door and window frames,ceramc tile floors.</t>
  </si>
  <si>
    <t>Carport (1)-Steel poles under a duo-pitched roof of steel beams with Trafford asbestos sheets covering,tarmac.</t>
  </si>
  <si>
    <t>Adminstration block-A double storey  concrete framed structure cladded with Industrial common bricks,plastered and painted, under a duo-pitched roof of concrete beams , covered with corruagated asbestos sheets,steel door and window frames,cement screed floors.</t>
  </si>
  <si>
    <t xml:space="preserve"> </t>
  </si>
  <si>
    <t>Shed-Steel poles under a duo-pitched roof of steel beams with Trafford asbestos sheets covering,tarmac.</t>
  </si>
  <si>
    <t>Guard House- Industrial common bricks,plastered and painted, under a duo-pitched roof of timber trusses , covered with corrugated asbestos sheets,steel door and window frames,ceramc tile floors.</t>
  </si>
  <si>
    <t xml:space="preserve"> Canteen- Industrial common bricks,plastered and painted, under a duo-pitched roof of timber trusses , covered with corrugated asbestos sheets,steel door and window frames,quary tile floors.</t>
  </si>
  <si>
    <t>Carport-Steel poles under a duo-pitched roof of steel beams with Trafford asbestos sheets covering,tarmac.</t>
  </si>
  <si>
    <t>LOT 2 OF 2492A</t>
  </si>
  <si>
    <t>No 4 LONGBRIDGE PAULINGTON</t>
  </si>
  <si>
    <t>GMB</t>
  </si>
  <si>
    <t>Adminstration block-Built of Industrial common bricks,plastered and painted, under a mono-pitched roof of timber trusses , covered with IBR sheets,steel door and window frames,cement screed floors.</t>
  </si>
  <si>
    <t>Carport (1)-Steel poles under a mono-pitched roof of steel trusses with IBR sheets covering,tarmac.</t>
  </si>
  <si>
    <t>Storeroom-common bricks,plastered and painted, under a mono-pitched roof of timber beams , covered with corrugated asbestos sheets,steel door and window frames,cement screed floors.</t>
  </si>
  <si>
    <t>Switch room- Industrial common bricks,plastered and painted, under a mono -pitched concrete roof,steel door frames,cement screed floors.</t>
  </si>
  <si>
    <t>Ablution block-common bricks,plastered and painted, under a duo-pitched roof of timber trusses , covered with corrugated asbestos sheets,steel door and window frames,cement screed floors.</t>
  </si>
  <si>
    <t>Shed(2)-A  double volume steel framed structure cladded with Trafford asbestos sheets, under a duo-pitched roof of steel trusses , covered with Trafford asbestos  sheets,granolithic flooring.</t>
  </si>
  <si>
    <t>Fuel Shed-Steel poles under a mono-pitched roof of steel trusses with IBR sheets covering,tarmac.</t>
  </si>
  <si>
    <t>Guard House-common bricks,plastered and painted, under a mono-pitched roof of timber beams , covered with corrugated asbestos sheets,steel door and window frames,cement screed floors.</t>
  </si>
  <si>
    <t>Water tank-PVC 5000lts.</t>
  </si>
  <si>
    <t>Water tank stand-Steel</t>
  </si>
  <si>
    <t>LOT 1 OF 2492</t>
  </si>
  <si>
    <t>No 2 LONGBRIDGE PAULINGTON</t>
  </si>
  <si>
    <t xml:space="preserve"> LONGBRIDGE PAULINGTON</t>
  </si>
  <si>
    <t>CHIKWENGU</t>
  </si>
  <si>
    <t>Staff quarters-common bricks,plastered and painted, under a mono-pitched roof of timber trusses , covered with corrugated asbestos sheets,steel door and window frames,cement screed floors.</t>
  </si>
  <si>
    <t>Ablution block- common bricks,plastered and painted, under a mono-pitched roof of timber trusses , covered with corrugated asbestos sheets,steel door and window frames,cement screed floors.</t>
  </si>
  <si>
    <t>FAVOURDALE (PVT) LTD</t>
  </si>
  <si>
    <t>DAILFORD INVESTMENTS</t>
  </si>
  <si>
    <t>Staff quarters-unrendered common bricks, under a mono-pitched roof of timber trusses , covered with corrugated asbestos sheets,steel door and window frames,cement screed floors.</t>
  </si>
  <si>
    <t>Ablution block- common bricks,plastered and painted, under a mono-pitched roof of timber beams and purlins , covered with corrugated asbestos sheets,steel door and window frames,cement screed floors.</t>
  </si>
  <si>
    <t>Staff quarters-Farm bricks, plastered and painted under a mono-pitched roof of timber trusses , covered with corrugated asbestos sheets,steel door and window frames,cement screed floors.</t>
  </si>
  <si>
    <t>Carport-Timber poles under a mono-pitched roof of timber beams with IBR sheets covering,concrete flooring.</t>
  </si>
  <si>
    <t>Adminstration  block- common bricks,plastered and painted, under a mono-pitched roof of timber trusses , covered with corrugated asbestos sheets,steel door and window frames,ceramic tile floors.</t>
  </si>
  <si>
    <t>TAGUTA</t>
  </si>
  <si>
    <t>Shed(1)-A  double volume steel framed structure, under a duo-pitched roof of steel trusses , covered with corrugated iron  sheets,earth flooring.</t>
  </si>
  <si>
    <t>Storeroom-Farm bricks, plastered under a mono-pitched roof of timber trusses , covered with corrugated asbestos sheets,steel door and window frames,cement screed floors.</t>
  </si>
  <si>
    <t>Toilet-Farm bricks, plastered under a mono-pitched roof of timber trusses , covered with corrugated asbestos sheets,steel door and window frames,cement screed floors.</t>
  </si>
  <si>
    <t>Guard House-Farm bricks, plastered under a mono-pitched roof of timber trusses , covered with corrugated asbestos sheets,steel door and window frames,cement screed floors.</t>
  </si>
  <si>
    <t>TAVONGA</t>
  </si>
  <si>
    <t>Adminstration  block- common bricks,plastered and painted, under a mono-pitched roof of timber beams and purlins , covered with corrugated asbestos sheets,steel door and window frames,ceramic tile floors.</t>
  </si>
  <si>
    <t>Boundary Fencing-Built of unrendered farm brick .</t>
  </si>
  <si>
    <t>MUNJOMA THOMAS</t>
  </si>
  <si>
    <t>Main Building- common bricks,plastered and painted, under a duo-pitched roof of timber beams and purlins , covered with corrugated asbestos sheets,steel door and window frames,cement screed floors.</t>
  </si>
  <si>
    <t>Workshop- A steel framed double volume structure cladded with common bricks,plastered and painted, under a duo-pitched roof of timber trusses , covered with corrugated asbestos sheets,steel door and window frames,granolithic flooring.</t>
  </si>
  <si>
    <t>Ablution block-Farm bricks, plastered under a mono-pitched roof of timber trusses , covered with corrugated asbestos sheets,steel door and window frames,cement screed floors.</t>
  </si>
  <si>
    <t>Guard house-Farm bricks, plastered under a mono-pitched roof of timber trusses , covered with corrugated asbestos sheets,steel door and window frames,cement screed floors.</t>
  </si>
  <si>
    <t>Workshop(1)- A steel framed double volume structure cladded with common bricks,plastered and painted, under a duo-pitched roof of timber trusses , covered with corrugated asbestos sheets,steel door and window frames,granolithic flooring.</t>
  </si>
  <si>
    <t>DURBAN ROAD</t>
  </si>
  <si>
    <t>Stores (3)- A concrete framed double volume structure cladded with industrial common bricks,plastered and painted, under a south light saw toothed  roof of steel trusses , covered with corrugated asbestos sheets,steel door and window frames,granolithic flooring.</t>
  </si>
  <si>
    <t>RAILWAY RESERVE</t>
  </si>
  <si>
    <t>Carpenter Shop- A steel framed tripple volume structure cladded with corrugated iron sheets, under a saw toothed roof of steel trusses , covered with corrugated iron sheets,steel door and window frames,granolithic flooring.</t>
  </si>
  <si>
    <t>Wash Bay- A steel framed tripple volume structure cladded with corrugated iron sheets, under a duo-pitched roof of timber trusses , covered with corrugated iron sheets,steel door and window frames,granolithic flooring.</t>
  </si>
  <si>
    <t>Spray Booth- A steel framed tripple volume structure cladded with corrugated iron sheets, under a duo-pitched roof of timber trusses , covered with corrugated iron sheets,steel door and window frames,granolithic flooring.</t>
  </si>
  <si>
    <t>Wagon Shop- A steel framed tripple volume structure cladded with corrugated iron sheets, under a saw toothed roof of steel trusses , covered with corrugated iron sheets,steel door and window frames,granolithic flooring.</t>
  </si>
  <si>
    <t>Stores (1)- A steel framed  structure cladded with corrugated iron sheets, under a duo pitched roof of steel trusses , covered with corrugated iron sheets,steel door and window frames,granolithic flooring.</t>
  </si>
  <si>
    <t>Stores (2)- A steel framed  structure cladded with corrugated iron sheets, under a duo pitched roof of steel trusses , covered with corrugated iron sheets,steel door and window frames,granolithic flooring.</t>
  </si>
  <si>
    <t>Stores (3)- A steel framed  structure cladded with corrugated asbestos sheets, under a duo pitched roof of steel trusses , covered with corrugated asbestos sheets,steel door and window frames,granolithic flooring.</t>
  </si>
  <si>
    <t>RMS WORKSHOPS SECTION</t>
  </si>
  <si>
    <t>Workshop (1)- A steel framed double volume structure cladded with corrugated iron sheets, under a saw toothed roof of steel trusses , covered with corrugated asbestos sheets,steel door and window frames,granolithic flooring.</t>
  </si>
  <si>
    <t>Workshop (2)- A steel framed double volume structure cladded with corrugated iron sheets, under a duo-pitched roof of steel trusses , covered with corrugated asbestos sheets,steel door and window frames,granolithic flooring.</t>
  </si>
  <si>
    <t>Wash bay- A steel framed structure, under a duo-pitched roof of steel trusses , covered with corrugated asbestos sheets,steel door and window frames,granolithic flooring.</t>
  </si>
  <si>
    <t>Fuel pump shed- A steel poles, under a mono-pitched roof of timber beams and purlins  , covered with corrugated asbestos sheets,steel door and window frames,granolithic flooring.</t>
  </si>
  <si>
    <t>MUPFUMI TOURS</t>
  </si>
  <si>
    <t>Carport-Steel poles under a duo-pitched roof of timber trusses with concrete tile covering,concrete flooring.</t>
  </si>
  <si>
    <t>Bus Workshop- A concrete framed structure, under a mono-pitched roof of steel trusses , covered with corrugated asbestos sheets,steel door ,granolithic flooring.</t>
  </si>
  <si>
    <t>Shed(1)-Steel poles under a duo-pitched roof of steel trusses with corrugated asbestos sheet covering,concrete flooring.</t>
  </si>
  <si>
    <t>Shed(2)-Steel poles under a mono-pitched roof of steel trusses with corrugated asbestos sheet covering,concrete flooring.</t>
  </si>
  <si>
    <t>Main Building-Built of industrial common bricks,plastered and painted, under a heaped roof of timber trusses and , covered with concrete tiles,steel door and window frames,paquet floors.</t>
  </si>
  <si>
    <t>Canteen-Built of industrial common bricks,plastered and painted, under a duo-pitched roof of timber trusses and , covered with concrete tiles,steel door and window frames,ceramic tile floors.</t>
  </si>
  <si>
    <t>2537A</t>
  </si>
  <si>
    <t>MAKUNIKE</t>
  </si>
  <si>
    <t>12 DURBAN ROAD</t>
  </si>
  <si>
    <t>5 HULL CLOSE NYAKAMETE</t>
  </si>
  <si>
    <t>J.DAVIES</t>
  </si>
  <si>
    <t>Workshop -Built of industrial industrial common bricks ,plastered and painted, under a saw toothed roof of steel trusses and , covered with corrugated asbestos sheets,steel door and window frames,cement screed floors.</t>
  </si>
  <si>
    <t>Boundary Fencing-Built of cement bricks brick plastered.</t>
  </si>
  <si>
    <t>MUTARE WHOLESALE CENTRE</t>
  </si>
  <si>
    <t xml:space="preserve">4 HULL CLOSE </t>
  </si>
  <si>
    <t>Shed(1)-Timber poles under a mono-pitched roof of timber trusses with corrugated asbestos sheet covering,concrete flooring.</t>
  </si>
  <si>
    <t>Shed(2)-Constructed of cement brick columns under a mono-pitched roof of timber trusses with corrugated asbestos sheet covering,granolithic flooring.</t>
  </si>
  <si>
    <t>Shed(3)-Steel poles under a mono-pitched roof of steel trusses with corrugated asbestos sheet covering,concrete flooring.</t>
  </si>
  <si>
    <t>Storeroom-Built of cement blocks,plastered and painted, under a mono-pitched roof of timber beams and purlins and , covered with corrugated asbestos sheets,steel door and window frames,cement floors.</t>
  </si>
  <si>
    <t>Storeroom(1)-Built of  cement blocks,plastered and painted, under a duo-pitched roof of timber beams and purlins and , covered with corrugated asbestos sheets,steel door and window frames,cement screed flooring floors.</t>
  </si>
  <si>
    <t>14 DURBAN ROAD</t>
  </si>
  <si>
    <t>K.D HAULAGE</t>
  </si>
  <si>
    <t>Main Building-Built of  Cement blocks,plastered and painted, under a mono-pitched roof of timber trusses and , covered with corrugated asbestos sheets,steel door and window frames,paquet floors.</t>
  </si>
  <si>
    <t>Workshop-Built of cement blocks,plastered and painted, under a mono-pitched roof of timber trusses and , covered with corrugated asbestos sheets,steel door and window frames,cement screed floors.</t>
  </si>
  <si>
    <t>Staff quarters-Built of  cement blocks,plastered and painted, under a mono-pitched roof of timber trusses and , covered with concrete tiles,steel door and window frames,cement screed floors.</t>
  </si>
  <si>
    <t>Shed(1)-Timber poles under a mono-pitched roof of timber trusses with Trafford asbestos sheet covering,concrete flooring.</t>
  </si>
  <si>
    <t>Boundary Fencing-Built of unrendered common bricks</t>
  </si>
  <si>
    <t>3 HULL CLOSE</t>
  </si>
  <si>
    <t>CHINGAIRA CLOSE</t>
  </si>
  <si>
    <t>MAIZEMAN (PVT)LTD</t>
  </si>
  <si>
    <t>Storeroom-Built of  cement blocks,plastered and painted, under a mono-pitched roof of timber trusses and , covered with IBR sheets,steel door and window frames,cement screed floors.</t>
  </si>
  <si>
    <t>R.MASHEZHA</t>
  </si>
  <si>
    <t>Shed(1)-Timber poles under a mono-pitched roof of timber trusses with Trafford asbestos sheet covering,earth flooring.</t>
  </si>
  <si>
    <t>Shed(2)-Timber poles under a mono-pitched roof of timber trusses with Trafford asbestos sheet covering,earth flooring.</t>
  </si>
  <si>
    <t>Storeroom-Steel framed  structure cladded with corrugated iron sheets under a mono-pitched roof of steel beams with corrugated iron sheets covering,granolithic flooring.</t>
  </si>
  <si>
    <t>S.J.MANYUCHI</t>
  </si>
  <si>
    <t>Storeroom and Toilet-Built of cement blocks,plastered and painted, under a mono-pitched roof of timber beams and purlins and , covered with corrugated asbestos sheets,steel door and window frames,cement screed floors.</t>
  </si>
  <si>
    <t>Shed-Timber poles under a mono-pitched roof of timber trusses with corrugated asbestos sheet covering,earth flooring.</t>
  </si>
  <si>
    <t>MAGADA</t>
  </si>
  <si>
    <t>Workshop -Built of farm bricks,plastered and painted, under a duo-pitched roof of timber trusses and , covered with IBR sheets,steel door and window frames,cement screed floors.</t>
  </si>
  <si>
    <t>Storeroom and Toilet-Built of farm bricks,plastered and painted, under a mono-pitched roof of timber beams and purlins and , covered with corrugated asbestos sheets,steel door and window frames,cement screed floors.</t>
  </si>
  <si>
    <t>Boundary Fencing-Built of plastered farm bricks</t>
  </si>
  <si>
    <t>GANDWA CLOSE</t>
  </si>
  <si>
    <t>MANGENJE.K</t>
  </si>
  <si>
    <t>Workshop -Steel framed cladded with  farm bricks,plastered, under a duo-pitched roof of timber trusses and , covered with IBR sheets,steel door and window frames,cement screed floors.</t>
  </si>
  <si>
    <t>Storeroom-Built of farm bricks,plastered, under a mono-pitched roof of timber beams and purlins and , covered with corrugated asbestos sheets,steel door and window frames,cement screed floors.</t>
  </si>
  <si>
    <t xml:space="preserve"> Toilet-Built of farm bricks,plastered, under a mono-pitched roof of timber beams and purlins and , covered with corrugated asbestos sheets,steel door and window frames,cement screed floors.</t>
  </si>
  <si>
    <t>MANDARA</t>
  </si>
  <si>
    <t>Storeroom-Built of farm bricks,unplastered, under a mono-pitched roof of timber beams and purlins and , covered with corrugated asbestos sheets,steel door and window frames,cement screed floors.</t>
  </si>
  <si>
    <t>No 2 LIVERPOOL ROAD</t>
  </si>
  <si>
    <t>MUSABAIKA</t>
  </si>
  <si>
    <t>Forecourt-Steel columns poles under a mono-pitched roof of steel trusses with IBR sheet covering,concrete flooring.</t>
  </si>
  <si>
    <t>Underground fuel tanks- 50 000lts Diesel</t>
  </si>
  <si>
    <t>Underground fuel tanks- 30 000lts Diesel</t>
  </si>
  <si>
    <t>Fuel Dispensers (Model Tokheim) 2 in one.</t>
  </si>
  <si>
    <t>Eating Shed-Timber poles under a mono-pitched roof of timber trusses with corrugated iron sheet covering,earth flooring.</t>
  </si>
  <si>
    <t>Cooking shed-Built of farm bricks,plastered, under a mono-pitched roof of timber beams and purlins and , covered with corrugated asbestos sheets,cement screed floors.</t>
  </si>
  <si>
    <t>No 4 LIVERPOOL ROAD</t>
  </si>
  <si>
    <t>BULLJAR INVESTMENTS</t>
  </si>
  <si>
    <t xml:space="preserve"> Shed-Timber poles under a mono-pitched roof of timber trusses with corrugated asbestos sheet covering,earth flooring.</t>
  </si>
  <si>
    <t>No 6 LIVERPOOL ROAD</t>
  </si>
  <si>
    <t>MWAYERA TRANSPORT</t>
  </si>
  <si>
    <t>Storeroom-Steel framed  structure cladded with corrugated asbestos sheets under a mono-pitched roof of steel beams with corrugated asbestos sheets covering,granolithic flooring.</t>
  </si>
  <si>
    <t>No 8 LIVERPOOL ROAD</t>
  </si>
  <si>
    <t>NMB BANK</t>
  </si>
  <si>
    <t>Workshop-Built of  rustic face brick bricks,, under a duo-pitched roof of timber trusses and , covered with Trafford asbestos sheets,steel door and window frames,granolithic floors.</t>
  </si>
  <si>
    <t xml:space="preserve"> Sunport-Steel poles under a canvass roof,earth flooring.</t>
  </si>
  <si>
    <t>Underground fuel tanks- 10 000lts Diesel</t>
  </si>
  <si>
    <t>Underground fuel tanks- 20 000lts Diesel</t>
  </si>
  <si>
    <t>No 10 LIVERPOOL ROAD</t>
  </si>
  <si>
    <t>E.MKANDLA &amp; M.MCLOUD</t>
  </si>
  <si>
    <t>Offices -Built of common  brick, under a mono-pitched roof of timber trusses and , covered with Trafford asbestos sheets,steel door and window frames,cement screed floors.</t>
  </si>
  <si>
    <t>Workshop-Steel framed structure, under a duo-pitched roof of steel trusses with Trafford asbestos sheets covering ,granolithic floors.</t>
  </si>
  <si>
    <t>Ablution block-Built of farm bricks,plastered, under a mono-pitched roof of timber beams and purlins and , covered with corrugated asbestos sheets,steel door and window frames,cement screed floors.</t>
  </si>
  <si>
    <t xml:space="preserve"> Shed-Timber poles under a mono-pitched roof of timber trusses with corrugated asbestos sheet covering,concrete flooring.</t>
  </si>
  <si>
    <t>No 12 LIVERPOOL ROAD</t>
  </si>
  <si>
    <t>E.NYAZIKA</t>
  </si>
  <si>
    <t>Workshop-Steel framed structure cladded with common bricks , under a mono-pitched roof of steel trusses with corrugated asbestos sheets covering ,granolithic floors.</t>
  </si>
  <si>
    <t>Storeroom-Built of common bricks,plastered, under a mono-pitched roof of timber beams and purlins and , covered with corrugated asbestos sheets,steel door and window frames,cement screed floors.</t>
  </si>
  <si>
    <t>GOVT OF ZIMBABWE</t>
  </si>
  <si>
    <t>CSC</t>
  </si>
  <si>
    <t>588 GLIMBY CLOSE,CHIMANIMANI ROAD</t>
  </si>
  <si>
    <t>Warehouse-A double volume concrete framed structure, under a duo-pitched roof of steel trusses with Trafford asbestos sheets covering ,granolithic floors.</t>
  </si>
  <si>
    <t>Ablution block -Built of face bricks,plastered, under a mono-pitched roof of timber beams and purlins and , covered with Trafford  asbestos sheets,steel door and window frames,cement screed floors.</t>
  </si>
  <si>
    <t>Carport-Steel framed structure, under a mono-pitched roof of steel trusses with Trafford asbestos sheets covering ,tarmac.</t>
  </si>
  <si>
    <t>Guard house-Built of face bricks,plastered, under a mono-pitched concrete roof,steel door and window frames,cement screed floors.</t>
  </si>
  <si>
    <t>Boiler Shed-Steel framed structure,cladded with IBR sheets  under a mono-pitched roof of steel trusses with IBR sheets covering ,concrete flooring.</t>
  </si>
  <si>
    <t>Treatment Shed (1) Shed-Steel framed structure  under a mono-pitched roof of steel trusses with IBR sheets covering ,concrete flooring.</t>
  </si>
  <si>
    <t>Treatment Shed (2) Shed-Steel framed structure  under a mono-pitched roof of timber trusses with corrugated asbestos sheets covering ,concrete flooring.</t>
  </si>
  <si>
    <t>Ablution block -Built of face bricks,plastered, under a mono-pitched roof of timber trusses , covered with corrugated  asbestos sheets,steel door and window frames,cement screed floors.</t>
  </si>
  <si>
    <t>Timber storage Shed (1)-Steel framed structure,cladded with IBR sheets  under a mono-pitched roof of steel trusses with corrugated asbestos sheets covering ,concrete flooring.</t>
  </si>
  <si>
    <t>Timber storage Shed (2)-Steel framed structure,cladded with IBR sheets  under a mono-pitched roof of steel trusses with corrugated asbestos sheets covering ,concrete flooring.</t>
  </si>
  <si>
    <t xml:space="preserve"> Timber storage Shed (4)-A double volume structure constructed of Timber poles under a duo-pitched roof of timber trusses with corrugated iron sheet covering,concrete flooring.</t>
  </si>
  <si>
    <t xml:space="preserve"> Timber storage Shed (5)-A double volume structure constructed of Timber poles under a duo-pitched roof of timber trusses with corrugated asbestos sheet covering,concrete flooring.</t>
  </si>
  <si>
    <t>DDF</t>
  </si>
  <si>
    <t>Workshop(1)-Steel framed structure cladded with common bricks , under a mono-pitched roof of steel trusses with Trafford asbestos sheets covering ,granolithic floors.</t>
  </si>
  <si>
    <t>Workshop (2) -Built of common bricks,plastered, under a mono-pitched roof of timber trusses , covered with Trafford  asbestos sheets,steel door and window frames,cement screed floors.</t>
  </si>
  <si>
    <t>Storeroom-Built of cement blocks,plastered, under a mono-pitched roof of timber beams and purlins and , covered with corrugated asbestos sheets,steel door and window frames,cement screed floors.</t>
  </si>
  <si>
    <t>Pump Shed-Steel poles , under a mono-pitched roof of timber beams and purlins with corrugated iron sheets covering ,earth flooring.</t>
  </si>
  <si>
    <t>Carport-Steel framed poles, under a mono-pitched roof of timber beams and purlins with corrugated iron sheets covering ,earth flooring.</t>
  </si>
  <si>
    <t>Boundary Fencing-precast concrete panels.</t>
  </si>
  <si>
    <t>GOVERNMENT OF ZIMBABWE</t>
  </si>
  <si>
    <t>PICKTALK INVESTMENTS(METRO PEECH WHOLESALE)</t>
  </si>
  <si>
    <t>1455-1456A</t>
  </si>
  <si>
    <t>Fencing-Diamond mesh-wire 1.8m high.</t>
  </si>
  <si>
    <t>ZIMBABWE POWER COMPANY</t>
  </si>
  <si>
    <t>6 NEWCASTLE ROAD</t>
  </si>
  <si>
    <t>Office Block- Brick wall, plastered and painted, under a gabled roof of timber trusses,timber fascia boards and board ceiling, covered with corrugated asbestos sheets. Zinc gutters and downpipes. Steel door and window frames. Ceramic floor tiles.</t>
  </si>
  <si>
    <t>Storeroom- Brick wall, plastered and painted, under a gabled roof of timber trusses covered with corrugated asbestos sheets. Steel door and window frames. Cement screed floors.</t>
  </si>
  <si>
    <t>Shed- Treated timber poles, under a gabled roof of timber trusses covered with corrugated iron sheets. Zinc gutters and downpipes. Granolithic floors.</t>
  </si>
  <si>
    <t>Storeroom- Brick wall, plastered and painted, under a mono pitched roof of timber beams, covered with corrugated asbestos sheets. Steel door and window frames. Cement screed floors.</t>
  </si>
  <si>
    <t>4 CARDIFF</t>
  </si>
  <si>
    <t>E.C MEIKLES PVT LTD</t>
  </si>
  <si>
    <t>Improvements</t>
  </si>
  <si>
    <t>CRC</t>
  </si>
  <si>
    <t xml:space="preserve"> D .R. C</t>
  </si>
  <si>
    <t>Workshop-Steel frame, double volume corrugated iron sheets cladding, under a duo pitched roof of steel trusses covered with corrugated iron sheets. Zinc gutters and downpipes. Steel window and door frames. Granolithic floors.</t>
  </si>
  <si>
    <t>Shed 1- Treated timber poles, under a duo pitched roof of steel trusses, covered with corrugated asbestos sheets. Granolithic floors.</t>
  </si>
  <si>
    <t xml:space="preserve">Shed 2- Steel frame under a duo pitched roof of steel trusses covered with corrugated asbestos sheets. Rough concrete floor finish. </t>
  </si>
  <si>
    <t>Outbuilding 1- Brick wall, under a mono pitched roof of timber beams, covered with corrugated asbestos sheets. Zinc gutters and downpipes. Steel door and window frames. Cement screed floors.</t>
  </si>
  <si>
    <t>Building 2- Brick wall, plastered and painted, under a gabled roof of timber trusses, timber fascia boards and board ceiling, covered with corrugated asbestos sheets. Cement screed floors. Accommodates offices.</t>
  </si>
  <si>
    <t>Outbuilding 3-Brick wall, plastered and painted, under a gabled roof of timber trusses, timber fascia boards and board ceiling, covered with corrugated asbestos sheets. Cement screed floors.</t>
  </si>
  <si>
    <t>Perimeter Boundary- 1.8m diamond mesh fence.</t>
  </si>
  <si>
    <t xml:space="preserve">Total of improvements </t>
  </si>
  <si>
    <t>881/882</t>
  </si>
  <si>
    <t>PILLARTON ENTERPRISES</t>
  </si>
  <si>
    <t>Warehouse- Brick wall, painted, under a gabled roof of timber trusses covered with corrugated asbestos sheets. Double wooden doors. Cement screed floors.</t>
  </si>
  <si>
    <t>Toilets- Brick wall, plastered , under a mono pitched roof of timber beams, covered with IBR sheets. Steel door and window frames. Cement screed floors.</t>
  </si>
  <si>
    <t>Outbuilding 1- Brick wall, plastered and painted under a mono pitched roof of timber beams, covered with IBR sheets. Steel door and window frames. Cement screed floors.</t>
  </si>
  <si>
    <t>Generator room-Face brick wall, under a mono pitched roof of timber beams covered with corrugated asbestos sheets. Steel door and window frames. Granolithic floors.</t>
  </si>
  <si>
    <t xml:space="preserve">land </t>
  </si>
  <si>
    <t>5 NEWCASTLE ROAD</t>
  </si>
  <si>
    <t>P.O OLIVER P/L</t>
  </si>
  <si>
    <t xml:space="preserve">Improvement </t>
  </si>
  <si>
    <t>Outbuilding- Brick wall, painted, under a duo pitched roof of timber trusses covered with corrugated asbestos sheets. Steel door and window frames. Granolithic floors.</t>
  </si>
  <si>
    <t>Shed 1- Steel frame, corrugated iron sheets cladding, under a mono pitched roof of timber beams covered with corrugated iron sheets. Granolithic floors.</t>
  </si>
  <si>
    <t>Shed 2- Brick columns, under a duo pitched roof of timber trusses covered with corrugated asbestos sheets. Earth floors.</t>
  </si>
  <si>
    <t>7 NEWCASTLE</t>
  </si>
  <si>
    <t>KERSM INVESTMENTS</t>
  </si>
  <si>
    <t>Office Block- Brick wall, plastered and painted, under a duo pitched roof of timber trusses and board ceiling, covered with corrugated iron sheets. Zinc gutters and downpipes. Steel window and door frames. Ceramic floor tiles.</t>
  </si>
  <si>
    <t>Warehouse 2- Brick wall, plastered and painted, under a part mono and part duo pitched roof of timber trusses, timber fascia boards and board ceiling, covered with corrugated asbestos sheets. Pvc gutters and downpipes. Steel window frames. Steel roll up shatter doors. Cement screed floors.</t>
  </si>
  <si>
    <t>Warehouse 3- Brick wall, plastered and painted, under a gabled roof of timber trusses and board ceiling, covered with corrugated iron sheets. Cement screed floors.</t>
  </si>
  <si>
    <t>Warehouse 5-Brick wall, plastered and painted, under a gabled roof of timber trusses and board ceiling, covered with corrugated iron sheets. Cement screed floors.</t>
  </si>
  <si>
    <t>Warehouse 6-Brick wall, plastered and painted, under a hipped roof of timber trusses and board ceiling, covered with corrugated iron sheets. Cement screed floors.</t>
  </si>
  <si>
    <t>Warehouse 7-Brick wall, plastered and painted, under a gabled roof of timber trusses and board ceiling, covered with corrugated iron sheets. Cement screed floors.</t>
  </si>
  <si>
    <t>Warehouse 8-Brick wall, plastered and painted, under a gabled roof of timber trusses and board ceiling, covered with corrugated iron sheets. Cement screed floors.</t>
  </si>
  <si>
    <t>Toilet 1- Brick wall, plastered and painted, under a mono pitched roof of timber beams, covered with corrugated asbestos sheets. Cement screed floors.</t>
  </si>
  <si>
    <t>Toilet 2-Brick wall, plastered and painted, under a mono pitched roof of timber beams, covered with corrugated asbestos sheets. Cement screed floors.</t>
  </si>
  <si>
    <t>Shed 1- Steel poles, under a mono pitched roof of timber beams, covered with corrugated iron sheets. Rough concrete floors.</t>
  </si>
  <si>
    <t>Shed 2- Treated timber poles, under a mono pitched roof of timber beams, coverd with corrugated iron sheets. Rough concrete floor finish.</t>
  </si>
  <si>
    <t>Shed 3-Steel poles, under a duo pitched roof of steel trusses, covered with corrugated asbestos sheets. Granolithic floors.</t>
  </si>
  <si>
    <t>Carport- Steel poles, under a mono pitched hersian roof. Interlocking pavers.</t>
  </si>
  <si>
    <t>Guard House-Brick wall, plastered and painted, under a mono pitched roof of timber beams, covered with corrugated asbestos sheets. Cement screed floors.</t>
  </si>
  <si>
    <t>Boundary Walling- Walled 4 sides with cement blocks. Plastered and painted.</t>
  </si>
  <si>
    <t>REM OF 886</t>
  </si>
  <si>
    <t>11 NEWCASTLE ROAD</t>
  </si>
  <si>
    <t>ZINWA</t>
  </si>
  <si>
    <t>Main Building- Brick wall, painted, under a duo pitched roof of timber trusses covered with corrugated iron sheets. Wooden door frames, steel window frames. Cement screed floors. Accommodates stores and chemical room.</t>
  </si>
  <si>
    <t>Hydro Workshop-Brick wall, painted, under a duo pitched roof of timber trusses covered with corrugated iron sheets. Wooden door frames, steel window frames. Cement screed floors</t>
  </si>
  <si>
    <t>Motor Storeroom-Brick wall, painted, under a duo pitched roof of timber trusses covered with corrugated iron sheets. Wooden door frames, steel window frames. Cement screed floors</t>
  </si>
  <si>
    <t>Outbuilding 1-Brick wall, painted, under a mono pitched roof of timber trusses covered with corrugated iron sheets. Steel door and window frames. Cement screed floors.</t>
  </si>
  <si>
    <t>Outbuilding 2-Brick wall, painted, under a mono pitched roof of timber beams, covered with IBR sheets. Steel door and window frames. Cement screed floors.</t>
  </si>
  <si>
    <t>Engine Storeroom-Brick wall, painted, under a duo pitched roof of timber trusses covered with corrugated iron sheets. Steel door and window frames. Cement screed floors.</t>
  </si>
  <si>
    <t>Provincial storeroom-Brick wall, painted, under a duo pitched roof of timber trusses covered with corrugated iron sheets. Wooden door frames, steel window frames. Cement screed floors.</t>
  </si>
  <si>
    <t>Workshop Foreman-Brick wall, painted, under a duo pitched roof of timber trusses covered with corrugated iron sheets. Wooden door frames, steel window frames. Cement screed floors.</t>
  </si>
  <si>
    <t>Workshop- Brick pillars, under a duo pitched roof of timber trusses covered with corrugated asbestos sheets. Granolithic floors.</t>
  </si>
  <si>
    <t>Shed 1-Steel poles, under a mono pitched roof of timber beams,covered with traffold asbestos sheets. Earth floors.</t>
  </si>
  <si>
    <t>Shed 2-Steel poles, under a mono pitched roof of timber beams,covered with traffold asbestos sheets. Earth floors.</t>
  </si>
  <si>
    <t>Shed 3-Steel poles, under a mono pitched roof of timber beams,covered with traffold asbestos sheets. Earth floors.</t>
  </si>
  <si>
    <t>Security Fence- 1.8 m diamond mesh fence.</t>
  </si>
  <si>
    <t xml:space="preserve">9 NEWCASTLE </t>
  </si>
  <si>
    <t>MINISTRY OF LOCAL GOVERNMENT</t>
  </si>
  <si>
    <t xml:space="preserve">Admin Block- Brick wall, plastered and painted under a combination of gabled and mono pitched roof of timber trusses, asbestos fascia boards and board ceiling, covered with corrugated asbestos and iron  sheets. Zinc gutters and downpipes. Steel door and window frames. Ceramic floor tile and cement screed floors. </t>
  </si>
  <si>
    <t>Office Block 1- Brick wall, painted, under a part mono and part duo pitched roof of timber trusses and beams, board ceiling, covered with corrugated iron sheets. Steel door and window frames. Cement screed floors.</t>
  </si>
  <si>
    <t>Office Block 2-Brick wall, painted, under a duo pitched roof of timber trusses and board ceiling, covered with corrugated iron sheets. Zinc gutters and downpipes. Steel door and window frames. Cement screed floors.</t>
  </si>
  <si>
    <t>Outbuilding 1-Brick wall, plastered and painted, with face brick frontage, under a mono pitched roof of timber beams, covered with corrugated iron sheets. Zinc gutters and downpipes. Steel door and window frames. Cement screed floors.</t>
  </si>
  <si>
    <t>Office Block -Cement block wall, plastered and painted inside, under a mono pitched roof of timber beams, covered with corrugated asbestos sheets. Steel door and window frames. Cement screed floors.</t>
  </si>
  <si>
    <t>Outbuilding 2-Brick wall, plastered and painted under a duo pitched roof of timber trusses, timber fascia boards, covered with corrugated iron sheets. Steel door and window frames. Cement screed floors.</t>
  </si>
  <si>
    <t>Outbuilding 3-Brick wall, plastered and painted under a duo pitched roof of timber trusses, timber fascia boards, covered with corrugated iron sheets. Steel door and window frames. Zinc gutters and downpipes. Cement screed floors.</t>
  </si>
  <si>
    <t>Outbuilding 4-Brick wall, partly plastered and painted , under a mono pitched roof of timber beams, covered with a combination of corrugated asbestos and iron sheets. Steel door and window frames, granolithic floors.</t>
  </si>
  <si>
    <t>Fitters Workshop-Brick wall, plastered and painted under a duo pitched roof of timber trusses, timber fascia boards, covered with corrugated iron sheets. Steel door and window frames. Zinc gutters and downpipes. Cement screed floors.</t>
  </si>
  <si>
    <t>Workshop-Wooden frame, corrugated iron sheets cladding, under a duo pitched roof of timber trusses covered with corrugated iron sheets. Wooden door and window frames. Granolithic floors.</t>
  </si>
  <si>
    <t>Shed 1- Steel poles, under a mono pitched roof of timber beams, covered with corrugated iron sheets. Earth floors.</t>
  </si>
  <si>
    <t>Shed 2-Steel poles, under a mono pitched roof of timber beams, covered with corrugated iron sheets. Earth floors.</t>
  </si>
  <si>
    <t>Shed 3-Steel poles, under a mono pitched roof of timber beams, covered with corrugated iron sheets. Granolithic floors.</t>
  </si>
  <si>
    <t>17 NEWCASTLE</t>
  </si>
  <si>
    <t>UNIFREIGHT AFRICA PVT LTD</t>
  </si>
  <si>
    <t>Outbuilding 1-Brick wall, painted under a duo pitched roof of timber trusses,timber fascia boards and board ceiling, covered with corrugated iron sheets. Steel door and window frames. Cement screed floors.</t>
  </si>
  <si>
    <t>Outbuilding 2- Brick wall, plastered and painted, under a duo pitched roof of timber trusses, timber fascia boards and board ceiling, covered with corrugated asbestos sheets. Zinc gutters and downpipes. Steel door and window frames. Cement screed floors.</t>
  </si>
  <si>
    <t>Workshop offices- Brick wall, plastered and painted, under a mono pitched roof of timber beams, covered with corrugated asbestos sheets. Steel door and window frames, granolithic floors.</t>
  </si>
  <si>
    <t>Workshop shed 1- Double volume steel framed structure, corrugated iron sheets cladding, under a gabled roof of timber and steel trusses, covered with corrugated iron sheets. Granolithic floors. Accommodates 1 inspection pit.</t>
  </si>
  <si>
    <t>Shed- Brick pillars, under a mono pitched roof of timber beams, covered with corrugated asbestos sheets. Granolithic floors.</t>
  </si>
  <si>
    <t>Wash bay- Brick wall, plastered and painted, under a mono pitched roof of timber beams covered with corrugated asbestos sheets. Steel door and window frames. Cement screed floors.</t>
  </si>
  <si>
    <t>Carport- Steel poles, under a mono pitched roof of timber beams, covered with corrugated asbestos sheets. Granolithic floors.</t>
  </si>
  <si>
    <t>Guard House- Brick wall, plastered and painted, under a mono pitched roof of timber beams, covered with corrugated asbestos sheets. Cement screed floors.</t>
  </si>
  <si>
    <t>Perimeter Boundary- Fenced 4 sides with a 1.8m diamond mesh fence.</t>
  </si>
  <si>
    <t>19 NEWCASTLE ROAD</t>
  </si>
  <si>
    <t>EXNEW ENTERPRISES</t>
  </si>
  <si>
    <t>Outbuilding 1-Face brick walls, plastered and painted inside, under a gabled roof of timber trusses and board ceiling,covered with corrugated iron sheets. Zinc gutters and downpipes. Steel door and window frames. Ceramic floor tiles. Acommodates offices.</t>
  </si>
  <si>
    <t>Outbuilding 3-Brick  wall, plastered and painted under a mono pitched roof of timber beams, covered with corrugated iron sheets. Steel window and door frames, granolithic floors.</t>
  </si>
  <si>
    <t>Outbuilding 5- Brick wall, with part steel frame,part corrugated iron sheets cladding, under a duo pitched roof of timber trusses covered with corrugated asbestos and iron sheets. Steel window and door frames. Granolithic floors.</t>
  </si>
  <si>
    <t>Guard room- Brick wall, plastered and painted under a mono pitched roof of timber beams covered with corrugated iron sheets. Cement screed floors.</t>
  </si>
  <si>
    <t>10 PARK ROAD</t>
  </si>
  <si>
    <t>TSL PROPERTIES</t>
  </si>
  <si>
    <t>Main Building- Parapet brick wall, plastered and painted, under a gabled roof of timber trusses and  board ceiling, covered with corrugated asbestos sheets. Steel door and window frames. Cement screed floors. Accommodates warehouses and offices.</t>
  </si>
  <si>
    <t>Guard Room- Brick wall, plastered and painted under a mono pitched roof of timber beams, timber fascia boards, covered with corrugated asbestos sheets. Steel door and window frames. Cement screed floors.</t>
  </si>
  <si>
    <t>6 PARK ROAD</t>
  </si>
  <si>
    <t>BRENDAN RODGERS</t>
  </si>
  <si>
    <t xml:space="preserve"> Main Building  -Brick wall, plastered and painted under a gabled roof of timber trusses, asbestos fascia boards and board ceiling, covered with corrugated asbestos sheets. Steel door and window frames. Cement screed floors.</t>
  </si>
  <si>
    <t>Boundary  -Fenced with a 1.8m diamond mesh wire.</t>
  </si>
  <si>
    <t>Land</t>
  </si>
  <si>
    <t>8 PARK ROAD</t>
  </si>
  <si>
    <t>ZVIDZAI ZANA</t>
  </si>
  <si>
    <t xml:space="preserve"> Main Building  -Brick wall, plastered and painted under a gabled roof of timber trusses, asbestos fascia boards and board ceiling, covered with corrugated asbestos sheets. Steel door and window frames. Ceramic floor tiles. Accommodates offices.</t>
  </si>
  <si>
    <t>Outbuilding 1- Brick wall, plastered and painted under a mono pitched roof of timber beams, covered with traffold asbestos sheets. Steel door and window frames. Cement screed floors.</t>
  </si>
  <si>
    <t>Outbuilding 2-Brick wall, plastered and painted under a mono pitched roof of timber beams, covered with corrugated asbestos sheets. Steel door and window frames. Cement screed floors.</t>
  </si>
  <si>
    <t>Outbuilding 3- Brick wall, plastered and painted under a duo pitched roof of timber trusses, covered with corrugated iron sheets. Steel door and window frames. Granolithic floors.</t>
  </si>
  <si>
    <t>Shed-Steel poles under  a mono pitched roof of timber purlins with corrugated asbestos covering. Earth floors.</t>
  </si>
  <si>
    <t>2 BEIRA ROAD</t>
  </si>
  <si>
    <t>JAMES VALENTINE</t>
  </si>
  <si>
    <t>Main House-Brick wall, plastered and painted under a gabled roof of timber trusses, timber fascia boards and board ceiling, covered with corrugated asbestos sheets. Zinc gutters and downpipes. Steel door and window frames. Cement screed floors.</t>
  </si>
  <si>
    <t>Cottage- brick wall plastered and painted under a mono pitched roof of timber beams, covered with corrugated asbestos sheets. Steel door and window frames. Cement screed floors.</t>
  </si>
  <si>
    <t>Storeroom- Brick wall, under a duo pitched roof of timber beams covered with corrugated iron sheets. Cement screed floors.</t>
  </si>
  <si>
    <t>Outbuilding - Window level, cement blocks.</t>
  </si>
  <si>
    <t>Perimeter Boundary- Fenced with a 1.8m diamond mesh wire.</t>
  </si>
  <si>
    <t>4 BEIRA ROAD</t>
  </si>
  <si>
    <t>JENIFER KASERERA</t>
  </si>
  <si>
    <t>Main House-Brick wall, plastered and painted under a gabled roof of timber trusses, timber fascia boards and board ceiling, covered with harvey concrete tiles. Zinc gutters and downpipes. Steel door and window frames. Cement screed floors.</t>
  </si>
  <si>
    <t>LOT 1 OF 982 A</t>
  </si>
  <si>
    <t>6 BEIRA ROAD</t>
  </si>
  <si>
    <t>J.D MAKANDWA</t>
  </si>
  <si>
    <t>Main House-Brick wall, plastered and painted under a gabled roof of timber trusses, timber fascia boards and board ceiling, covered with harvey concrete tiles. Zinc gutters and downpipes. Steel door and window frames. Ceramic floor tiles.</t>
  </si>
  <si>
    <t>Cottage-Brickwall plastered and painted  under monopitched  roof of timber trusses ,covered with harvey concrete tiles. Zinc gutters and downpipes. Steel door and window frames. Cement screed floors.</t>
  </si>
  <si>
    <t>Garage- Brick pillars, under a duo pitched roof of timber trusses covered with corrugated asbestos sheets. Granolithic floors.</t>
  </si>
  <si>
    <t xml:space="preserve">LOT 2 OF 982A </t>
  </si>
  <si>
    <t>8 BEIRA ROAD</t>
  </si>
  <si>
    <t>DR OBONYE</t>
  </si>
  <si>
    <t>Main House-Brick wall, plastered and painted ,under a gabled roof of timber trusses, asbestos fascia boards and pinewood ceiling, covered with corrugated asbestos sheets. Zinc gutters and downpipes. Steel door and window frames. Ceramic floor tiles.  Accommodates 7 rooms.</t>
  </si>
  <si>
    <t>Cottage- Brick wall, plastered and painted  under a duo pitched roof of timber beams,pinewood ceiling, covered with corrugated asbestos sheets. Ceramic floor tiles. Accommodates 4 rooms and toilet.</t>
  </si>
  <si>
    <t>Outbuilding- Brick wall, plastered and painted, under a mono pitched roof of timber beams, covered with corrugated asbestos sheets. Steel door and window frames. Cement screed floors.</t>
  </si>
  <si>
    <t>REM OF 982 A</t>
  </si>
  <si>
    <t>10 BEIRA ROAD</t>
  </si>
  <si>
    <t>E. MWASHITA</t>
  </si>
  <si>
    <t>Main House-Brick wall, plastered and painted under a gabled roof of timber trusses, timber fascia boards and board ceiling, covered with corrugated asbestos sheets. Zinc gutters and downpipes. Steel door and window frames. Ceramic floor tiles.</t>
  </si>
  <si>
    <t>Garage- Brick wall 1 side, steel screens 3 sides, under a mono pitched roof of steel trusses, covered with corrugated asbestos sheets. Earth floors.</t>
  </si>
  <si>
    <t>12 BEIRA ROAD</t>
  </si>
  <si>
    <t>MR MUNDORINGISA</t>
  </si>
  <si>
    <t>Main House- Brick wall, plastered and painted, under a gabled roof of timber trusses, timber fascia boards and board ceiling, covered with corrugated asbestos sheets. Zinc gutters and downpipes. Steel door and window frames. Cement screed floors.</t>
  </si>
  <si>
    <t>Cottage Brick wall, plastered and painted, under a mono pitched roof of timber beams, covered with corrugated asbestos sheets. Steel door and window frames. Cement screed floors.</t>
  </si>
  <si>
    <t>Garage- Brick wall, plastered and painted, under a duo pitched roof of timber trusses covered with corrugated asbestos sheets. Granolithic floors.</t>
  </si>
  <si>
    <t>Perimeter Boundary- Fenced with 1.8m diamond mesh wire.</t>
  </si>
  <si>
    <t>14-18 PARK ROAD</t>
  </si>
  <si>
    <t>ZESA</t>
  </si>
  <si>
    <t>Main Building- Face brick wall, plastered and painted, under a gabled roof of timber trusses, asbestos fascia boards and board ceiling, covered with corrugated asbestos sheets. Zinc gutters and downpipes. Steel door and window frames. Cement screed floors.</t>
  </si>
  <si>
    <t>Outbuilding 1- Brick wall, plastered and painted, under a duo pitched roof of timber trusses, timber fascia boards and board ceiling, covered with corrugated asbestos sheets. Zinc gutters and downpipes. Steel door and window frames. Cement screed floors.</t>
  </si>
  <si>
    <t>Outbuilding 3-Face brick wall, plastered and painted, under a gabled roof of timber trusses, asbestos fascia boards and board ceiling, covered with traffold asbestos sheets. Zinc gutters and downpipes. Steel door and window frames. Cement screed floors.</t>
  </si>
  <si>
    <t>Outbuilding 4- Double volume brick wall, under a flat concrete deck roof. Zinc gutters and downpipes.</t>
  </si>
  <si>
    <t>Toilet- Brick wall, partly plastered under a mono pitched roof of timber beams, covered with corrugated asbestos sheets. Steel door and window frames. Cement screed floors.</t>
  </si>
  <si>
    <t>Perimeter Boundary- Fenced with a 2.4m diamond mesh fence, with a barbed wire overhang.</t>
  </si>
  <si>
    <t>22 PARK ROAD</t>
  </si>
  <si>
    <t>AFRICAN DISTILLERS (AFDIS)</t>
  </si>
  <si>
    <t>Main Building- Double volume brick wall, plastered and painted, under a duo pitched roof of steel trusses, zinc fascia boards and board ceiling, covered with IBR sheets. Steel door and window frames (burglar barred). Ceramic floor tiles. Accommodates offices.</t>
  </si>
  <si>
    <t>Warehouse- Brick wall, plastered and painted under a gabled roof of timber trusses, timber fascia boards and plastic foil ceiling, covered with corrugated asbestos sheets. Zinc gutters and downpipes. Steel door and window frames. Cement screed floors.</t>
  </si>
  <si>
    <t>Carport- Steel poles, under a mono pitched roof of timber beams, covered with corrugated asbestos sheets. Concrete pavers.</t>
  </si>
  <si>
    <t>12 PARK ROAD</t>
  </si>
  <si>
    <t>CTP</t>
  </si>
  <si>
    <t>Warehouse-Cement blocks, part corrugated asbestos sheets cladding, under a gabled roof of timber trusses, covered with corrugated asbestos sheets. Steel door and window frames. Granolithic floors.</t>
  </si>
  <si>
    <t>Outbuilding 1- Parapet brick wall, plastered and painted under a mono pitched roof of steel trusses, covered with traffold asbestos sheets. Wooden door frames. Steel doors. Cement screed floors.</t>
  </si>
  <si>
    <t>Outbuilding 2- Parapet brick wall, plastered and painted under a mono pitched roof of steel trusses, covered with traffold asbestos sheets. Wooden door frames. Steel doors. Cement screed floors.</t>
  </si>
  <si>
    <t>Outbuilding 3- Brick wall, plastered and painted under a mono pitched roof of timber beams, covered with traffold asbestos sheets. Granolithic floors.</t>
  </si>
  <si>
    <t>12A PARK ROAD</t>
  </si>
  <si>
    <t>D. MANJORO</t>
  </si>
  <si>
    <t>Main Building- Brick wall, plastered and painted under a mono pitched roof of timber beams, covered with corrugated asbestos sheets. Zinc gutters and downpipes. Cement screed floors.</t>
  </si>
  <si>
    <t>Staff Quarters- Cement blocks, under a mono pitched roof of timber beams, covered with corrugated asbestos sheets. Steel door and window frames. Cement screed floors.</t>
  </si>
  <si>
    <t>Shed 2- Brick wall on 3 sides, plastered and painted, under a mono pitched roof of timber beams, covered with corrugated asbestos sheets. Zinc gutters and downpipes. Granolithic floor. 1 x inspection pit.</t>
  </si>
  <si>
    <t>TELONE</t>
  </si>
  <si>
    <t>Office block- Brick wall, painted, under a duo pitched roof of timber trusses and board ceiling, covered with corrugated iron sheets. Steel and timber door frames, steel window frames. Cement screed floors.</t>
  </si>
  <si>
    <t>E Pack Block-Brick wall, painted, under a duo pitched roof of timber trusses and board ceiling, covered with corrugated iron sheets. Steel and timber door frames, steel window frames. Cement screed floors.</t>
  </si>
  <si>
    <t>Block 17-Brick wall, painted, under a duo pitched roof of timber trusses and board ceiling, covered with corrugated iron sheets. Steel and timber door frames, steel window frames. Cement screed floors.</t>
  </si>
  <si>
    <t>Block 45-Brick wall, painted, under a duo pitched roof of timber trusses and board ceiling, covered with corrugated iron sheets. Steel and timber door frames, steel window frames. Cement screed floors.</t>
  </si>
  <si>
    <t>Block 19-Brick wall, painted, under a duo pitched roof of timber trusses and board ceiling, covered with corrugated iron sheets. Steel and timber door frames, steel window frames. Cement screed floors.</t>
  </si>
  <si>
    <t>Block 30 &amp; 32-Brick wall, painted, under a duo pitched roof of timber trusses and board ceiling, covered with corrugated iron sheets. Steel and timber door frames, steel window frames. Cement screed floors.</t>
  </si>
  <si>
    <t>Motor Workshop-Brick wall, painted, under a duo pitched roof of timber trusses and board ceiling, covered with corrugated iron sheets. Steel and timber door frames, steel window frames. Cement screed floors.</t>
  </si>
  <si>
    <t>Kitchen-Brick wall, painted, under a mono pitched roof of timber trusses and board ceiling, covered with corrugated iron sheets. Steel and timber door frames, steel window frames. Cement screed floors.</t>
  </si>
  <si>
    <t>Mortuary-Brick wall, painted, under a duo pitched roof of timber trusses, covered with corrugated iron sheets. Wooden door and window frames. Cement screed floors.</t>
  </si>
  <si>
    <t>Shed 1- Treated timber poles, under a mono pitched roof of timber beams, covered with corrugated iron sheets. Granolithic floors.</t>
  </si>
  <si>
    <t>Shed 2-Steel poles, under a mono pitched roof of timber beams,covered with corrugated iron sheets. Earth floors.</t>
  </si>
  <si>
    <t>Shed 3-Steel poles, under a mono pitched roof of timber beams,covered with IBR sheets. Earth floors.</t>
  </si>
  <si>
    <t>Fuel Shed- Steel frame, under a mono pitched roof covered with corrugated iron sheets. Granolithic floors.</t>
  </si>
  <si>
    <t>Toilet-Brick wall, painted, under a mono pitched roof of timber beams, covered with corrugated asbestos sheets. Cement screed floors.</t>
  </si>
  <si>
    <t xml:space="preserve">Underground Petrol Tank- 20 000 litres petrol. </t>
  </si>
  <si>
    <t>TAMESIDE CLOSE</t>
  </si>
  <si>
    <t>KUWAX INVESTMENTS</t>
  </si>
  <si>
    <t>Main Building- Brick wall, plastered and painted, under a gabled roof of timber trusses,  timber fascia boards and board ceiling, covered with corrugated asbestos sheets. Steel door and window frames. Ceramic floor tiles. Accommodates offices.</t>
  </si>
  <si>
    <t>Timber shed 2- Timber poles, under a mono pitched roof of timber beams, covered with corrugated asbestos sheets. Granolithic floors.</t>
  </si>
  <si>
    <t>Timber shed 3- Wooden frames, asbestos sheets cladding, under a duo pitched roof of timber trusses, covered with corrugated asbestos sheets. Granolithic floors.</t>
  </si>
  <si>
    <t>Outbuilding- Brick wall, plastered, under a mono pitched roof of timber beams, covered with corrugated asbestos sheets. Cement screed floors.</t>
  </si>
  <si>
    <t>Toilet Block-Cement blocks, plastered and painted, under a mono pitched roof of timber beams, covered with corrugated asbestos sheets. Cement screed floors.</t>
  </si>
  <si>
    <t>Shed 3- Timber poles, under a mono pitched roof of timber beams, covered with corrugated asbestos sheets. Earth floors.</t>
  </si>
  <si>
    <t>Toilet- Brick wall, plastered and painted under a mono pitched roof of timber beams, timber fascia boards, covered with corrugated asbestos sheets. Steel door and window frames. Cement screed floors.</t>
  </si>
  <si>
    <t>728 A</t>
  </si>
  <si>
    <t xml:space="preserve">12 BVUMBA ROAD </t>
  </si>
  <si>
    <t>MAUREEN FLOOD</t>
  </si>
  <si>
    <t>Warehouse 1- Double volume, brick wall, painted, under a gabled roof of timber trusses, timber fascia boards, covered with corrugated asbestos sheets. Zinc gutters and downpipes. Steel door and window frames. Vinyl floor tiles.</t>
  </si>
  <si>
    <t>Warehouse 2- Double volume, brick wall, painted , under a gabled roof of steel trusses, covered with corrugated iron sheets. Steel door and window frames. Steel doors. Cement screed floors.</t>
  </si>
  <si>
    <t>Warehouse 3- Double volume, brick wall, painted , under a gabled roof of steel trusses, covered with corrugated iron sheets. Steel door and window frames. Steel doors. Cement screed floors.</t>
  </si>
  <si>
    <t>Warehouse 4-Double volume, brick wall, painted , under a gabled roof of steel trusses, covered with corrugated iron sheets. Steel door and window frames. Steel doors. Cement screed floors.</t>
  </si>
  <si>
    <t>Warehouse 5-Double volume, brick wall, painted , under a gabled roof of steel trusses, covered with corrugated iron sheets. Steel door and window frames. Steel doors. Cement screed floors.</t>
  </si>
  <si>
    <t>Toilets- Brick wall, plastered and painted under a mono pitched roof of timber beams, covered with corrugated asbestos sheets. Steel door and window frames. Cement screed floors.</t>
  </si>
  <si>
    <t>REM OF 984</t>
  </si>
  <si>
    <t>23 HELENS DRIVE</t>
  </si>
  <si>
    <t>J. TENGA</t>
  </si>
  <si>
    <t>Main Building- Brick wall, plastered, under a mono pitched roof of timber beams, covered with IBR sheets. Steel door and window frames. Cement screed floors.</t>
  </si>
  <si>
    <t>Shed- Steel poles, under a duo pitched roof of steel trusses, covered with corrugated asbestos sheets. Granolithic floors.</t>
  </si>
  <si>
    <t xml:space="preserve">NYAKAMETE </t>
  </si>
  <si>
    <t>HOTSPECK ENTERPRISES</t>
  </si>
  <si>
    <t>Plant Shed- Steel frame, IBR cladding, under a duo pitched roof of steel trusses, covered with IBR sheets. Granolithic floors.</t>
  </si>
  <si>
    <t>Shed 2-Steel frame, IBR cladding, under a duo pitched roof of steel trusses, covered with IBR sheets. Granolithic floors.</t>
  </si>
  <si>
    <t>Office Block- Wooden cabin, under a duo pitched roof of timber trusses, covered with corrugated iron sheets. Wooden floors.</t>
  </si>
  <si>
    <t>Perimeter Boundary- Walled with a 2m brick wall, plastered and painted.</t>
  </si>
  <si>
    <t>8 ST HELENS DRIVE</t>
  </si>
  <si>
    <t>NSSA (PILKINGTON GLASS)</t>
  </si>
  <si>
    <t>Toilet Block- Face brick wall, plastered and painted inside under a mono pitched roof of steel beams, covered with IBR sheets. Steel door and window frames. Cement screed floors.</t>
  </si>
  <si>
    <t>Shed 1- Steel frame, corrugated asbestos sheets cladding, under a mono pitched roof of steel beams, covered with corrugated asbestos sheets. Granolithic floors.</t>
  </si>
  <si>
    <t>Shed 3- Steel frame, under a duo pitched roof of steel trusses covered with IBR sheets. Zinc gutters and downpipes. Granolithic floors.</t>
  </si>
  <si>
    <t>Shed 4- Timber poles, under a mono pitched roof of timber beams, covered with corrugated asbestos sheets. Granolithic floors.</t>
  </si>
  <si>
    <t>Outbuilding 1- Face brick wall, plastered and painted inside, under a concrete deck roof. Steel door and window frames. Zinc gutters and downpipes. Cement screed floors.</t>
  </si>
  <si>
    <t>Outbuilding 2- Brick wall, plastered and painted, under a mono pitched roof of timber beams, timber fascia boards, covered with IBR sheets. Zinc gutters and downpipes. Steel door and window frames. Cement screed floors.</t>
  </si>
  <si>
    <t>Outbuilding 3- Brick wall, plastered and painted, under a mono pitched roof of timber beams, timber fascia boards, covered with IBR sheets. Zinc gutters and downpipes. Steel door and window frames. Cement screed floors.</t>
  </si>
  <si>
    <t>Carport- Brick wall on 3 sides, under a mono pitched roof of steel beams covered with corrugated asbestos sheets. Granolithic floors.</t>
  </si>
  <si>
    <t>Guard Room- Brick wall, plastered and painted, under a flat concrete roof. Steel door and window frames. Cement screed floors.</t>
  </si>
  <si>
    <t>2511C</t>
  </si>
  <si>
    <t>WILLOWTON GROUP</t>
  </si>
  <si>
    <t>Boiler House- Triple volume steel frame, IBR sheets cladding, under a duo pitched roof of steel trusses, covered with IBR sheets. Cement screed floors.</t>
  </si>
  <si>
    <t>Despatch- Double volume steel frame, asbestos sheets cladding, under a duo pitched roof of steel trusses covered with corrugated asbestos sheets. Cement screed floors.</t>
  </si>
  <si>
    <t>Shed- Steel frame, under a mono pitched roof of steel trusses, covered with IBR sheets. Granolithic floors.</t>
  </si>
  <si>
    <t>Canteen- Face brick wall, under a gabled roof of timber trusses, timber fascia boards and board ceiling, covered with corrugated asbestos sheets. Steel door and window frames.  Brick slate and cement screed floor.</t>
  </si>
  <si>
    <t>Workshop Shed- Wooden frames, part brick, part wooden wall cladding, under a gabled roof of timber trusses, covered with corrugated asbestos sheets. Granolithic floors.</t>
  </si>
  <si>
    <t>Toilets- Brick wall, plastered and painted, under a gabled roof of timber trusses, timber fascia boards and board ceiling, covered with corrugated asbestos sheets. Steel door and window frames. Cement screed floors.</t>
  </si>
  <si>
    <t xml:space="preserve">Workshop- Raised foundation, face brick wall, part corrugated iron sheets cladding, under a gabled roof of steel trusses, covered with corrugated iron sheets. Zinc gutters and downpipes. Steel door and window frames. Cement screed floors. </t>
  </si>
  <si>
    <t>Toilet- Cement blocks wall, painted outside, plastered and painted inside, under a mono pitched roof of timber beams, covered with corrugated asbestos sheets. Steel door and window frames. Cement screed floors.</t>
  </si>
  <si>
    <t>Stores Shed- Steel frame, part corrugated iron sheets cladding, under a mono pitched roof of steel trusses, covered with corrugated iron sheets. Steel window frames. Granolithic floors.</t>
  </si>
  <si>
    <t>Toilet-  Cement blocks wall, painted outside, plastered and painted inside, under a mono pitched roof of timber beams, covered with corrugated asbestos sheets. Steel door and window frames. Cement screed floors.</t>
  </si>
  <si>
    <t>Carport- Timber poles, under a mono pitched roof of timber beams covered with corrugated asbestos sheets. Granolithic floors.</t>
  </si>
  <si>
    <t>1 LIVERPOOL ROAD</t>
  </si>
  <si>
    <t>STAR KIRST ENTERPRISES</t>
  </si>
  <si>
    <t>Main Building- Brick wall, plastered and painted, under a mono pitched roof of timber beams and board ceiling, covered with corrugated asbestos sheets. Steel door and window frames. Accommodates shop and office.</t>
  </si>
  <si>
    <t>Forecourt- Steel frame, under a flat roof of steel beams, covered with IBR sheets. Granolithic floors.</t>
  </si>
  <si>
    <t>Underground tank- Diesel</t>
  </si>
  <si>
    <t>Underground tank- Petrol</t>
  </si>
  <si>
    <t>Gilbarco pump</t>
  </si>
  <si>
    <t>3 LIVERPOOL ROAD</t>
  </si>
  <si>
    <t>SHUMBA INVESTMENT COMPANY</t>
  </si>
  <si>
    <t>Main Building- Brick wall, plastered and painted, under a gabled roof of timber trusses ,timber fascia boards and board ceiling, covered with harvey concrete tiles. Zinc gutters and downpipes. Steel door and window frames. Ceramic floor tiles. Accommodates offices.</t>
  </si>
  <si>
    <t>Carport- Timber poles, under a mono pitched roof of timber beams covered with corrugated asbestos sheets. Earth floors.</t>
  </si>
  <si>
    <t>Guard House- Brick wall, under a gabled roof of timber trusses, covered with marley tiles. Steel door and window frames. Cement screed floors.</t>
  </si>
  <si>
    <t>5 LIVERPOOL ROAD</t>
  </si>
  <si>
    <t>FLEET MAINTANANCE</t>
  </si>
  <si>
    <t>Shed- Steel frame, under a duo pitched roof of steel trusses, covered with corrugated asbestos sheets. Granolithic floors.</t>
  </si>
  <si>
    <t xml:space="preserve">Outbuilding- Brick wall, plastered under a duo pitched roof of timber trusses covered with traffold asbestos sheets. Steel door and window frames. Cement screed floors. </t>
  </si>
  <si>
    <t>7 LIVERPOOL ROAD</t>
  </si>
  <si>
    <t>NORMAN TINORWA</t>
  </si>
  <si>
    <t>Main Building-Split level foundation, part double volume brick wall, part asbestos sheets cladding, under a part gabled and part saw tooth roof of timber and steel trusses, timber fascia boards, covered with corrugated asbestos sheets. Zinc gutters and downpipes. steel door and window frames. ceramic floor tiles. accommodates offices.</t>
  </si>
  <si>
    <t>Perimeter- Fenced with a 1.8m diamond mesh wire.</t>
  </si>
  <si>
    <t>A. T MUPOTA</t>
  </si>
  <si>
    <t xml:space="preserve">Outbuilding 1- Brick wall, plastered and painted, under a duo pitched roof of timber trusses and board ceiling, covered with corrugated asbestos sheets. Steel door and window frames. Cement screed floors. </t>
  </si>
  <si>
    <t>Outbuilding 2- Brick wall, plastered and painted, under a mono pitched roof of timber beams, covered with corrugated asbestos sheets. Steel door and window frames. Cement screed floors.</t>
  </si>
  <si>
    <t>Outbuilding 3- Brick wall, plastered and painted under a mono pitched roof of timber beams, covered with traffold asbestos sheets. Steel door and window frames. Cement screed floors.</t>
  </si>
  <si>
    <t>Outbuilding 4- Brick wall, plastered and painted under a mono pitched roof of timber beams, covered with corrugated iron sheets. Steel door and window frames. Cement screed floors.</t>
  </si>
  <si>
    <t>Shed 1- Timber poles, under a mono pitched roof of timber beams, covered with corrugated iron sheets. Granolithic floors.</t>
  </si>
  <si>
    <t>Shed 2- Steel poles, under a mono pitched roof of timber beams, covered with traffold asbestos sheets. Earth floors.</t>
  </si>
  <si>
    <t>GRIMSBY CLOSE</t>
  </si>
  <si>
    <t>G.M.B</t>
  </si>
  <si>
    <t xml:space="preserve">Shed- Concrete pillars, under a duo pitched roof of concrete columns, covered with traffold asbestos sheets. Earth floors. </t>
  </si>
  <si>
    <t>Conference Room-Brick wall, plastered and painted, under a gabled roof of timber trusses, asbestos fascia boards and board ceiling, covered with corrugated asbestos sheets. Steel door and window frames. Cement screed floors.</t>
  </si>
  <si>
    <t>Office Block 2- Brick wall, plastered and painted, under a gabled roof of timber trusses, asbestos fascia boards and board ceiling, covered with corrugated asbestos sheets. Steel door and window frames. Cement screed floors.</t>
  </si>
  <si>
    <t>Guard House- Brick wall, plastered and painted, under a mono pitched roof of timber beams, covered with corrugated iron sheets. Steel door and window frames. Cement screed floors.</t>
  </si>
  <si>
    <t xml:space="preserve">Perimeter Boundary- Fenced with a 1.8m diamond mesh wire. </t>
  </si>
  <si>
    <t xml:space="preserve">Shed- Reinforced concrete pillars, under a duo pitched roof of concrete columns, covered with traffold asbestos sheets. Earth floors. </t>
  </si>
  <si>
    <t>Toilet- Brick wall, plastered under a mono pitched roof of timber beams, covered with corrugated asbestos sheets. Steel door and window frames. Cement screed floors.</t>
  </si>
  <si>
    <t>Perimeter Boundary- Fenced with a 1.8m diamond mesh fence.</t>
  </si>
  <si>
    <t>NYAKAMETE ROAD</t>
  </si>
  <si>
    <t>DOVES FUNERAL ASSURANCE COMPANY</t>
  </si>
  <si>
    <t>Module Building- Brick wall, plastered under a mono pitched roof of timber beams, covered with corrugated iron sheets. Double steel doors. Granolithic floors.</t>
  </si>
  <si>
    <t>Kitchen- Brick wall, plastered ,under a mono pitched roof of timber beams, covered with corrugated asbestos sheets. Cement screed floors.</t>
  </si>
  <si>
    <t>Shed- Steel poles, under a duo pitched roof of steel trusses, covered with corrugated asbestos sheets. Earth floors.</t>
  </si>
  <si>
    <t>Shed 2- Steel poles, under a duo pitched roof of steel trusses, covered with IBR sheets. Earth floors</t>
  </si>
  <si>
    <t>Perimeter Boundary- Fenced with diamond mesh wire, with a 3 strand barbed wire overhang.</t>
  </si>
  <si>
    <t>ST HELENS DRIVE NYAKAMETE</t>
  </si>
  <si>
    <t>OMAR BROTHERS INVESTMENTS</t>
  </si>
  <si>
    <t>HELENS DRIVE</t>
  </si>
  <si>
    <t>UNIFREIGHT (BULWARK)</t>
  </si>
  <si>
    <t>Office Block 1- Face brick wall, plastered and painted under a gabled roof of timber trusses, asbestos fascia boards and board ceiling covered with corrugated asbestos sheets. Zinc gutters and downpipes. Steel door and window frames. Cement screed floors. accommodates offices.</t>
  </si>
  <si>
    <t>Office Block 2- Part double storey and part double volume brick wall, plastered and painted, under a mono pitched roof of timber trusses and board ceiling, covered with corrugated asbestos sheets. Zinc gutters and downpipes. Cement screed floors.</t>
  </si>
  <si>
    <t>Canteen- Brick wall, plastered and painted, under a gabled roof of timber trusses, asbestos fascia boards and board ceiling, covered with corrugated asbestos sheets. Cement screed floors.</t>
  </si>
  <si>
    <t>Toilets-Brick wall, plastered and painted, under a gabled roof of timber trusses, asbestos fascia boards and board ceiling, covered with corrugated asbestos sheets. Cement screed floors.</t>
  </si>
  <si>
    <t>Outbuilding-Brick wall, plastered and painted, under a gabled roof of timber trusses, asbestos fascia boards and board ceiling, covered with corrugated asbestos sheets. Cement screed floors.</t>
  </si>
  <si>
    <t xml:space="preserve">Shed- Steel frame, under a duo pitched roof of steel beams, covered with corrugated asbestos sheets. Cement screed floors. </t>
  </si>
  <si>
    <t>Storeroom 1- Face brick wall, under a mono pitched roof of timber beams, covered with corrugated asbestos sheets. Cement screed floors.</t>
  </si>
  <si>
    <t>Storeroom 2- Face brick wall, under a mono pitched roof of timber beams, covered with corrugated asbestos sheets. Cement screed floors.</t>
  </si>
  <si>
    <t>Fuel Bay- Steel frame, under a duo pitched roof of steel beams, covered with corrugated asbestos sheets. Granolithic floor finish.</t>
  </si>
  <si>
    <t>Guard Room- Face brick wall, plastered and painted, under a duo pitched roof of timber trusses, asbestos fascia boards and board ceiling,  covered with corrugated asbestos sheets. Cement screed floors.</t>
  </si>
  <si>
    <t>REM OF 5190</t>
  </si>
  <si>
    <t>MR GROTTIS (HUGHS ENGINEERING)</t>
  </si>
  <si>
    <t>Main Building- Brick wall, plastered and painted, under a mono pitched roof of timber trusses, timber fascia boards and board ceiling, covered with corrugated asbestos sheets. Zinc gutters and downpipes. Steel door and window frames. Cement screed floors. Accommodates offices.</t>
  </si>
  <si>
    <t>Canteen- Cement blocks wall, plastered outside, under a mono pitched roof of timber beams covered with corrugated asbestos sheets. Steel door and window frames. Cement screed floors.</t>
  </si>
  <si>
    <t>CHINGAIRA ROAD</t>
  </si>
  <si>
    <t>N. JERAMS</t>
  </si>
  <si>
    <t>Office Block 1- Brick wall, plastered and painted under a mono pitched roof of timber trusses and board ceiling, covered with corrugated asbestos sheets. Steel door and window frames. Cement screed floors.</t>
  </si>
  <si>
    <t>Office Block 2-Face brick walls, plastered and painted inside under a gabled roof of timber trusses , timber fascia board and board ceiling, covered with harvey concrete tiles. Steel door and window frames. Ceramic floor tiles.</t>
  </si>
  <si>
    <t>Shed- Timber poles, under a mono pitched roof of timber beams, covered with corrugated asbestos sheets. Earth floors.</t>
  </si>
  <si>
    <t xml:space="preserve">Boundary Fencing-Fenced 4 sides with a 1.8m diamond mesh fence. </t>
  </si>
  <si>
    <t>R. SOMA</t>
  </si>
  <si>
    <t>Office Block- Brick wall, plastered and painted under a duo pitched roof of timber trusses, timber fascia board and board ceiling, covered with corrugated asbestos sheets. Steel door and window frames. Cement screed floors.</t>
  </si>
  <si>
    <t>Outbuilding- Cement blocks on upper window level.</t>
  </si>
  <si>
    <t>Shed- Timber poles under a mono pitched roof of timber beams covered with IBR sheets. Earth floors.</t>
  </si>
  <si>
    <t>Toilet- Brick wall, plastered and painted under a duo pitched roof of timber trusses, timber fascia board and board ceiling, covered with corrugated asbestos sheets. Steel door and window frames. Cement screed floors.</t>
  </si>
  <si>
    <t>Main House-Brick wall, plastered and painted under a gabled roof of timber trusses, timber fascia boards and board ceiling, covered with harvey concrete tiles. Steel door and window frames. Cement screed floors.</t>
  </si>
  <si>
    <t>Shed- Timber poles, under a mono pitched roof of timber beams, covered with corrugated asbestos sheets. Granolithic floors.</t>
  </si>
  <si>
    <t>Guard Room- Brick wall, plastered and painted, under a mono pitched roof of timber beams, covered with corrugated asbestos sheets. Steel door and window frames. Cement screed floors.</t>
  </si>
  <si>
    <t>7 GANDIWA CIRCLE</t>
  </si>
  <si>
    <t>B. MADZIRO</t>
  </si>
  <si>
    <t>Main Building- Brick wall, plastered and painted, under a mono pitched roof of timber beams covered with corrugated asbestos sheets. Steel door and window frames. Ceramic floor tiles. Accommodates offices.</t>
  </si>
  <si>
    <t>Toilet- Brick wall, plastered and painted, under a mono pitched roof of timber beams covered with corrugated asbestos sheets. Steel door and window frames. Ceramic floor tiles.</t>
  </si>
  <si>
    <t>Carport 1-Timber poles, under a mono pitched roof of timber beams, covered with corrugated asbestos sheets. Earth floors.</t>
  </si>
  <si>
    <t>Carport 2-Timber poles, under a mono pitched roof of timber beams, covered with corrugated asbestos sheets. Granolithic floors.</t>
  </si>
  <si>
    <t>Carport 3-Timber poles, under a mono pitched roof of timber beams, covered with corrugated asbestos sheets. Granolithic floors. 1 x inspection pit.</t>
  </si>
  <si>
    <t>Shed- Half height brick wall, timber poles, under a mono pitched roof of timber beams, covered with corrugated asbestos sheets. Cement screed floors.</t>
  </si>
  <si>
    <t>GANDIWA CIRCLE</t>
  </si>
  <si>
    <t>MEGA MARKET</t>
  </si>
  <si>
    <t>CHINYAKUREMBA ROAD</t>
  </si>
  <si>
    <t>SAVIOUR KASUKUWERE</t>
  </si>
  <si>
    <r>
      <rPr>
        <sz val="11"/>
        <color indexed="8"/>
        <rFont val="Calibri"/>
        <family val="2"/>
      </rPr>
      <t>Workshop</t>
    </r>
    <r>
      <rPr>
        <sz val="11"/>
        <color indexed="8"/>
        <rFont val="Calibri"/>
        <family val="2"/>
      </rPr>
      <t>- steel frame, under a gabled roof of steel trusses, covered with corrugated asbestos sheets. Granolithic floors. 1 x inspection pits.</t>
    </r>
  </si>
  <si>
    <t>D. PASIRAYI</t>
  </si>
  <si>
    <r>
      <rPr>
        <sz val="11"/>
        <color indexed="8"/>
        <rFont val="Calibri"/>
        <family val="2"/>
      </rPr>
      <t>Workshop</t>
    </r>
    <r>
      <rPr>
        <sz val="11"/>
        <color indexed="8"/>
        <rFont val="Calibri"/>
        <family val="2"/>
      </rPr>
      <t>- Timber poles, under a gabled roof of timber trusses covered with corrugated asbestos sheets. Earth floors.</t>
    </r>
  </si>
  <si>
    <t>Office Block- Brick wall, plastered ,under a mono pitched roof of timber beams, covered with corrugated asbestos sheets. Steel door and window frames. Cement screed floors.</t>
  </si>
  <si>
    <t>PASCA GWARADA</t>
  </si>
  <si>
    <t>Shed 1- Treated timber poles, under a duo pitched roof of timber trusses covered with corrugated asbestos sheets. Cement screed floors.</t>
  </si>
  <si>
    <t>Shed 2- Timber poles, under a mono pitched roof of timber beams, covered with corrugated asbestos sheets. Earth floors.</t>
  </si>
  <si>
    <t>Shed 4- Timber poles, under a mono pitched roof of timber beams, covered with corrugated asbestos sheets. Earth floors.</t>
  </si>
  <si>
    <t>Outbuilding 1- Cement blocks, under a mono pitched roof of timber beams, covered with corrugated asbestos sheets. Cement screed floors.</t>
  </si>
  <si>
    <t>Guard House- Cement blocks, plastered inside, under a mono pitched roof of timber beams ,covered with corrugated asbestos sheets. Steel door and window frames. Cement screed floors.</t>
  </si>
  <si>
    <t>Perimeter Boundary- Cement blocks wall.</t>
  </si>
  <si>
    <t>A. MANJEYA</t>
  </si>
  <si>
    <t>AFFIRMATIVE ACTION PARTNERSHIP PROJECT</t>
  </si>
  <si>
    <t>E.K MUKOPFA</t>
  </si>
  <si>
    <t>Main Building- Brick wall, plastered and painted, under a gabled roof of timber trusses covered with corrugated asbestos sheets. Steel door and window frames. Granolithic floors. 1 x inspection pit. Accommodates workshop and offices.</t>
  </si>
  <si>
    <t>Guard House- Brick wall, plastered and painted, under a mono pitched roof of timber beams, covered with corrugated asbestos sheets. Steel door and window frames. Cement screed floors.</t>
  </si>
  <si>
    <t>M. HAMADZIRIPI</t>
  </si>
  <si>
    <t>Main Building- Brick wall, plastered and painted, under a mono pitched roof of timber trusses, timber fascia boards and board ceiling, covered with corrugated asbestos sheets. Zinc gutters and downpipes. Steel door and window frames. Cement screed floors. accommodates workshop.</t>
  </si>
  <si>
    <t>Staff Quarters- Brick wall, plastered and painted, under a mono pitched roof of timber beams, timber fascia boards and board ceiling, covered with corrugated asbestos sheets. Zinc gutters and downpipes. Steel door and window frames. Cement screed floors.</t>
  </si>
  <si>
    <t>Shed 1- Steel poles, under a mono pitched roof of timber beams, covered with IBR sheets. Earth floors.</t>
  </si>
  <si>
    <t>Perimeter Boundary- 1.8m diamond mesh fence, with a 3 strand barbed wire overhang.</t>
  </si>
  <si>
    <t>Perimeter Boundary-walled 3 sides cement blocks wall.</t>
  </si>
  <si>
    <t>MUDUMO CRESCENT</t>
  </si>
  <si>
    <t>T. MBAMBO</t>
  </si>
  <si>
    <t>6012 B</t>
  </si>
  <si>
    <t>N. SAUNGWEME</t>
  </si>
  <si>
    <t>Outbuilding 1- Upper window level brick wall.</t>
  </si>
  <si>
    <t>Toilets-Cement blocks wall, under a mono pitched roof of timber beams, covered with corrugated asbestos sheets. Steel door and window frames. Cement screed floors.</t>
  </si>
  <si>
    <t>Perimeter Boundary- fenced with a 1.8m diamond mesh fence.</t>
  </si>
  <si>
    <t>L. NEMAUNGA</t>
  </si>
  <si>
    <t>Workshop 2- Double volume reinforced concrete pillars, under a duo pitched roof of timber trusses covered with corrugated asbestos sheets. Steel door and window frames. Granolithic floors. 1 x inspection pit.</t>
  </si>
  <si>
    <t xml:space="preserve">Office Block- Face brick wall, partly plastered and painted, under a duo pitched roof of timber trusses, timber fascia boards and board ceiling, covered with corrugated asbestos sheets. Steel door and window frames. Ceramic floor tiles. </t>
  </si>
  <si>
    <t>6015 &amp; 6016</t>
  </si>
  <si>
    <t>30  VUMBA ROAD</t>
  </si>
  <si>
    <t>INTERCHAIN AFRICA PVT LTD</t>
  </si>
  <si>
    <t>Office Building- Brick wall, plastered and painted, under a gabled roof of timber trusses, timber fascia boards and boards ceiling, covered with corrugated asbestos sheets. Steel door and window frames. Cement screed floors.</t>
  </si>
  <si>
    <t>Staff Quarters- Brick wall, plastered and painted, under a mono pitched roof of timber beams, timber fascia boards and board ceiling, covered with corrugated asbestos sheets. Steel door and window frames. Cement screed floors.</t>
  </si>
  <si>
    <t>VUMBA ROAD</t>
  </si>
  <si>
    <t>Vacant</t>
  </si>
  <si>
    <t>MR PETER</t>
  </si>
  <si>
    <t>MR HARLEY</t>
  </si>
  <si>
    <t>Shed- Timber poles, under a duo pitched roof of timber trusses, covered with corrugated iron sheets. Granolithic floors.</t>
  </si>
  <si>
    <t>HOCKWELL TYRES</t>
  </si>
  <si>
    <t>Main Building- Brick wall, plastered and painted under a gabled roof of timber trusses, timber fascia boards and board ceiling, covered with corrugated asbestos sheets. Steel door and window frames. Cement screed floors. Accommodates offices.</t>
  </si>
  <si>
    <t xml:space="preserve">Outbuilding 1- Brick wall plastered and painted under mono pitched roof of corrugated asbestos sheets on timber beams. Steel door and window frames. Cement screed floors. </t>
  </si>
  <si>
    <t>Outbuilding 2- Cement blocks, painted, under a mono pitched roof of timber beams covered with corrugated asbestos sheets. Steel door and window frames. Cement screed floors.</t>
  </si>
  <si>
    <t>Outbuilding 3- Brick wall, plastered and painted under a mono pitched roof of timber beams, covered with corrugated asbestos sheets. Steel door and window frames. Cement screed floors.</t>
  </si>
  <si>
    <t>Shed 1- Treated timber poles, under a duo pitched roof of timber trusses covered with corrugated asbestos sheets. Granolithic floors.</t>
  </si>
  <si>
    <t>LIVERPOOL ROAD</t>
  </si>
  <si>
    <t>CBZ (MANYUCHI COMPLEX)</t>
  </si>
  <si>
    <t>Main Building, Double volume, face brick wall, plastered and painted, under a duo pitched roof of steel trusses, plastic foil ceiling, covered with IBR sheets. Steel door and window frames. Roll up shatter doors. Ceramic floor tiles. Accommodates wholesale.</t>
  </si>
  <si>
    <t xml:space="preserve">Shop Building- Face brick wall, plastered and painted inside, under a gabled roof of timber trusses, timber fascia boards and suspended ceiling, covered with harvey concrete tiles. Zinc gutters and downpipes. Aluminium door and window frames. Ceramic floor tiles. </t>
  </si>
  <si>
    <t>Shed 1- Steel frame, IBR cladding, under a mono pitched roof of steel beams, covered with IBR sheets. Granolithic floors.</t>
  </si>
  <si>
    <t>Shed 2- Steel screens, under a mono pitched roof of steel beams, covered with corrugated asbestos sheets. Interlocking pavers.</t>
  </si>
  <si>
    <t>Shed 3- Steel frame, corrugated iron sheets cladding, under a mono pitched roof of steel beams, covered with IBR sheets. Granolithic floors.</t>
  </si>
  <si>
    <t>Shed 4-Steel poles, under a mono pitched roof of steel beams covered with corrugated asbestos sheets. Interlocking pavers.</t>
  </si>
  <si>
    <t>Perimeter Boundary- 1.5 m face brick wall, with pallisade steel rods.</t>
  </si>
  <si>
    <t xml:space="preserve">total of improvements </t>
  </si>
  <si>
    <t>CHIHAMBA</t>
  </si>
  <si>
    <t>Shed- Double volume steel poles, under a duo pitched roof of timber trusses covered with corrugated asbestos sheets. Granolithic floors.</t>
  </si>
  <si>
    <t>Outbuilding- Cement block wall, under a mono pitched roof of timber beams, covered with corrugated asbestos sheets. Cement screed floors.</t>
  </si>
  <si>
    <t>A. ZIMUNYA</t>
  </si>
  <si>
    <t>Shed-Steel poles under  a mono pitched roof of timber purlins with corrugated asbestos sheets covering. Earth floors.</t>
  </si>
  <si>
    <t>Outbuilding- Brick wall, plastered and painted under a mono pitched roof of steel beams, covered with corrugated asbestos sheets. Steel door and window frames. Cement screed floors.</t>
  </si>
  <si>
    <t>KIRAN SOMA</t>
  </si>
  <si>
    <t>Office Block- Wooden cabin, under a duo pitched roof of timber beams, covered with IBR sheets. Wooden floors.</t>
  </si>
  <si>
    <t>SIYABONGA</t>
  </si>
  <si>
    <t>House 1- Brick wall, plastered and painted, under a duo pitched roof of timber trusses and timber fascia boards, covered with corrugated asbestos sheets. Steel door and window frames. Cement screed floors.</t>
  </si>
  <si>
    <t xml:space="preserve">House 2-Brick wall, plastered and painted, under a duo pitched roof of timber trusses and timber fascia boards, covered with corrugated asbestos sheets. Steel door and window frames. Cement screed floors. </t>
  </si>
  <si>
    <t xml:space="preserve">House 3- Brick wall, plastered and painted, under a duo pitched roof of timber trusses and timber fascia boards, covered with corrugated asbestos sheets. Steel door and window frames. Cement screed floors. </t>
  </si>
  <si>
    <t>House 4- Brick wall, plastered and painted, under a gabled roof of timber trusses, timber fascia boards and board ceiling, covered with corrugated asbestos sheets. Steel door and window frames. Cement screed floors.</t>
  </si>
  <si>
    <t>Storeroom- Brick wall, plastered and painted, under a gabled roof of timber trusses, timber fascia boards and board ceiling, covered with corrugated asbestos sheets. Steel door and window frames. Cement screed floors.</t>
  </si>
  <si>
    <t>Workshop 1-Brick wall, plastered and painted, under a gabled roof of timber trusses, timber fascia boards and board ceiling, covered with corrugated asbestos sheets. Steel door and window frames. Cement screed floors.</t>
  </si>
  <si>
    <t>Workshop 2- Face brick wall, plastered and painted inside, under a dome shaped roof of timber trusses, covered with corrugated asbestos sheets. Zinc gutters and downpipes. Steel door and window frames. Cement screed floors.</t>
  </si>
  <si>
    <t>Toilet- Brick wall, plastered and painted, under a duo pitched roof of timber trusses, timber fascia boards and board ceiling, covered with corrugated asbestos sheets. Steel door and window frames. Cement screed floors.</t>
  </si>
  <si>
    <t>Carport 1- Steel poles, under a mono pitched roof of timber beams, covered with corrugated asbestos sheets. Earth floors.</t>
  </si>
  <si>
    <t>Carport 2- Steel poles, under a mono pitched roof of timber beams, covered with corrugated asbestos sheets. Earth floors.</t>
  </si>
  <si>
    <t>Carport 3- Steel poles, under a mono pitched roof of timber beams, covered with corrugated asbestos sheets. Earth floors.</t>
  </si>
  <si>
    <t>Guardroom- Brick wall, plastered and painted, under a mono pitched roof of timber beams, covered with corrugated asbestos sheets. Cement screed floors.</t>
  </si>
  <si>
    <t>NRZ MUTARE</t>
  </si>
  <si>
    <t>NH 38- Face brick wall, plastered and painted inside, under a hipped roof of timber trusses and board ceiling, covered with corrugated iron sheets. Zinc gutters and down pipes. Steel door and window frames. Cement screed floors.</t>
  </si>
  <si>
    <t>Yard Foreman Office- Face brick wall, plastered and painted inside, under a hipped roof of timber trusses and board ceiling, covered with corrugated iron sheets. Zinc gutters and down pipes. Steel door and window frames. Cement screed floors.</t>
  </si>
  <si>
    <t>House Type 1- Face brick wall, plastered and painted inside, under a hipped roof of timber trusses and board ceiling, covered with corrugated iron sheets. Zinc gutters and down pipes. Steel door and window frames. Cement screed floors.</t>
  </si>
  <si>
    <t xml:space="preserve">Residential NF 72 Type- Pre fabricated concrete panels, under a duo pitched roof of steel trusses, covered with corrugated asbestos sheets. Steel door and window frames. Cement screed floors. </t>
  </si>
  <si>
    <t>Residential NH 40 Type- Face brick walls, painted, under a hipped roof of timber trusses, asbestos fascia boards and board ceiling, covered with corrugated iron sheets. Steel door and window frames, cement screed floors.</t>
  </si>
  <si>
    <t>Toilet- Brick wall, painted, under a mono pitched roof of timber beams, covered with corrugated iron sheets. Steel door and window frames. Cement screed floors.</t>
  </si>
  <si>
    <t>RAILWAY STATION</t>
  </si>
  <si>
    <t xml:space="preserve">508A </t>
  </si>
  <si>
    <t>9 - 11 GLASSGOW RD       MUNENI</t>
  </si>
  <si>
    <t>Boundary Fence- Diamond mesh wire 1.8m high on 4 sides with 3 strand barbed wire, half share.</t>
  </si>
  <si>
    <t xml:space="preserve">512A </t>
  </si>
  <si>
    <t>1, 5 and 7 GLASSGOW RD MUNENI</t>
  </si>
  <si>
    <t>NATIONAL FOODS DEPOT</t>
  </si>
  <si>
    <t xml:space="preserve">Shed- timber frame supporting timber trusses on monopitched roof with corrugated iron sheet coverings. Concrete floors. </t>
  </si>
  <si>
    <t xml:space="preserve">Canteen and Boardroom- brick walls part plastered under gabled roof timber trusses with corrugated asbestos sheets coverings. Bison board ceiling and zinc gutters. Ceramic and vinyl floor tiles. </t>
  </si>
  <si>
    <t xml:space="preserve">Milling- brick walls plastered and painted under monopitched  roof of timber trusses with corrugated asbestos sheet coverings.  Zinc gutters and down pipes. Ceramic floor tiles. </t>
  </si>
  <si>
    <t xml:space="preserve">Toilets Milling Department- brick walls plastered and painted under monopitched  roof of timber trusses with corrugated asbestos sheet coverings.  Zinc gutters and down pipes. Ceramic floor tiles. </t>
  </si>
  <si>
    <t xml:space="preserve">Stores Department- brick walls plastered and painted under gabled roof of timber trusses with corrugated iron sheet coverings. Cement screed and concrete floors. Accommodates storerooms and garage. </t>
  </si>
  <si>
    <t xml:space="preserve">Spares Storeroom- brick walls plastered and painted under monopitched roof of timber trusses with corrugated asbestos sheet coverings. Board ceiling. Cement screed floors. Accommodates 3 rooms. </t>
  </si>
  <si>
    <t>Ablution Block- brick walls plastered and painted under monopitched roof of timber trusses with corrugated asbestos sheet coverings. Board ceiling. Down pipes and zinc gutters. Ceramic floor tiles. Accommodates male and female toilets with water closets, wash hand basins and urinary.</t>
  </si>
  <si>
    <t xml:space="preserve">Stop Over Weigh Bridge- brick walls plastered and painted internally under flat roof of concrete covering. Board ceiling. Down pipes and zinc gutters. Cement screed floor. </t>
  </si>
  <si>
    <t xml:space="preserve">Guard House- brick walls plastered and painted internally under flat roof of concrete covering. Board ceiling. Down pipes and zinc gutters. Cement screed floor. </t>
  </si>
  <si>
    <t>13 GLASSGOW RD MUNENI</t>
  </si>
  <si>
    <t>QUEST MOTORS</t>
  </si>
  <si>
    <t>Pit Workshop- steel tubular poles supporting a gabled roof of steel trusses with corrugated asbestos sheet coverings. Concrete floors. Accommodates 3 inspection pits.</t>
  </si>
  <si>
    <t>Ablution block 1- brick wall under hipped roof of corrugated asbestos sheets. Cement screed floors. Accommodates changing rooms and toilets with water closets.</t>
  </si>
  <si>
    <t>Canteen- brick walls under gabled roof of corrugated asbestos sheets. Cement screed floors. Accommodates dining, kitchen and toilets with water closets. rooms and toilets with water closets.</t>
  </si>
  <si>
    <t xml:space="preserve">Ablution Block 2- brick walls plastered and painted under  monopitched roof of corrugated iron sheet coverings on timber trusses. Cement screed floors. Accommodates toilets with water closets, wash hand basins and wall urinary. </t>
  </si>
  <si>
    <t>15 GLASSGOW RD MUNENI</t>
  </si>
  <si>
    <t xml:space="preserve">Ablution Block- brick walls under  monopitched roof of corrugated iron sheet coverings on timber trusses. No plumbing fittings. Vinyl floors.  </t>
  </si>
  <si>
    <t>Diesel tank- 30000l</t>
  </si>
  <si>
    <t>Paraffin tank- 4500l</t>
  </si>
  <si>
    <t>Petrol tank- 30000l</t>
  </si>
  <si>
    <t>Boundary Fence- Diamond mesh wire 1.8m high on 2 sides, half share.</t>
  </si>
  <si>
    <t>739A</t>
  </si>
  <si>
    <t>3 GLASSGOW RD MUNENI</t>
  </si>
  <si>
    <t>Merchant Mill Offices- brick walls plastered and painted under hipped roof of timber trusses with corrugaed asbestos sheet coverings. Zinc gutters and down pipes. Cement screed floors. Accommodates 6 offices and toilets with water closets.</t>
  </si>
  <si>
    <t xml:space="preserve"> Shed 1- steel stanchions supporting steel trusses on gabled roof with corrugated asbestos sheet coverings. Concrete floors.</t>
  </si>
  <si>
    <t xml:space="preserve"> Shed 2- steel stanchions with corrugated iron sheet cladding supporting steel trusses on mono pitched roof with corrugated iron sheet coverings. Concrete floors.</t>
  </si>
  <si>
    <t xml:space="preserve"> Shed 3- steel tubular poles supporting a gabled roof of steel trusses with corrugated iron sheets. Concrete floors.</t>
  </si>
  <si>
    <t xml:space="preserve">Saw Shop- brick walls plastered and painted under monopitched roof of timber trusses with corrugated asbestos sheet coverings. Part bison board ceiling. Zinc gutters and down pipes. Cement screed floors. </t>
  </si>
  <si>
    <t>Oil Shed- single storey structure of brick walls cem washed under cap dutch roof timber  trusses with corrugated asbestos sheet coverings. Cement screed floors.</t>
  </si>
  <si>
    <t>Glue Stores Shed- single storey structure of steel stanchions part brick walls cem washed part corrugated iron sheet cladding under gabled roof of steel trusses with corrugated iron sheet covers. Cement screed floors.</t>
  </si>
  <si>
    <t>Boiler Shed- double volume structure of steel stanchions supporting a gabled roof of steel trusses with IBR sheet coverings. Concrete floors.</t>
  </si>
  <si>
    <t>Staff Toilet- Brick walls cem washed under monopitched roof of timber trusses with corrugated asbestos sheet coverings. Zinc gutters. Cement screed floors. Accommodates separate toilet with water closet, bathroom with shower point.</t>
  </si>
  <si>
    <t xml:space="preserve">Boards Shed- timber tubular poles supporting a monopitched roof of timber trusses with corrugated asbestos sheet coverings. Cement screed floors. </t>
  </si>
  <si>
    <t>Ablution Block- Brick walls plastered and painted under monopitched roof of timber trusses with corrugated asbestos sheet coverings. Cement screed floors. Accommodates toilets with water closet and bathrooms with shower points.</t>
  </si>
  <si>
    <t>Offices Dumping Area- Brick walls cem washed plastered and painted internally under monopitched roof of timber trusses with corrugated asbestos sheet coverings. Cement screed floors. Accommodates  1 office separate toilet with water closet, bathroom with shower point.</t>
  </si>
  <si>
    <t>Clinic- Brick walls plastered and painted under gabled roof of timber trusses with corrugated asbestos sheet coverings. Bison board ceiling. Ceramic floor tiles. Accommodates  waiting room, 1 office, storeroom, kitchen and toilet.</t>
  </si>
  <si>
    <t>745B</t>
  </si>
  <si>
    <t>7 VUMBA ROAD</t>
  </si>
  <si>
    <t xml:space="preserve">Workshop-  steel stanchions part IBR cladding under gabled roof of timber trusses with corrugated asbestos sheet coverings. Concrete floors. </t>
  </si>
  <si>
    <t xml:space="preserve">Canteen-  breeze brick walls under gabled roof of timber trusses with corrugated asbestos sheet coverings. Zinc gutters and down pipes. Cement screed floors. </t>
  </si>
  <si>
    <t>Boundary Fence- Diamond mesh wire on front side and gated half share.</t>
  </si>
  <si>
    <t>S/D  OF 745</t>
  </si>
  <si>
    <t>Shed 1- brick pillars under gabled roof of timber trusses  with corrugated asbestos sheet coverings. Concrete floors.</t>
  </si>
  <si>
    <t>Shed 2- brick pillars under gabled roof of timber trusses  with corrugated asbestos sheet coverings. Concrete floors.</t>
  </si>
  <si>
    <t>Shed 3- steel stanchions under gabled roof of steel trusses  with corrugated asbestos sheet coverings. Part corrugated asbestos cladding. Concrete floors.</t>
  </si>
  <si>
    <t>Shed 4- part brick pillars, part timber luvars on steel stanchions under gabled roof of timber trusses  with corrugated asbestos sheet coverings.  Zinc gutters. Concrete floors.</t>
  </si>
  <si>
    <t>Toilet- brick walls under monopitched roof of timber trusses  with corrugated asbestos sheet coverings. Cement screed floors.</t>
  </si>
  <si>
    <t>25 VUMBA ROAD</t>
  </si>
  <si>
    <t>GOVERNMENT OF ZIMBABWE [CMED]</t>
  </si>
  <si>
    <t>Panel Beating Shop- Zinc structure  with zinc iron sheets cladded walls and zinc iron roof on angle timber truss  over rough screed flooring.</t>
  </si>
  <si>
    <t>Quick Turnover Shop- Zinc structure  with zinc iron sheets cladded walls and zinc iron roof on angle timber truss  over rough screed flooring.</t>
  </si>
  <si>
    <t>Equipment Stores-Brick wall plastered and painted under a duo pitched roof of timber trusses and purlins covered by corrugated asbestos sheets,steel door and window frames with cement screed floors.Accomodates 6 rooms each and small verandahs.</t>
  </si>
  <si>
    <t>Customer Care Office-Brick wall plastered and painted under a duo pitched roof of timber trusses and purlins covered by zinc iron sheets,steel door and window frames with cement screed floors.Accomodates offices.</t>
  </si>
  <si>
    <t>Ablution Block-Face brick wall under a duo pitched roof of timber trusses and purlins covered by corrugated asbestos sheets,steel door and window frames with cement screed floors.Accomodates male and female toilets.</t>
  </si>
  <si>
    <t>Guard Room-Face brick wall under a duo pitched roof of timber trusses and purlins covered by corrugated asbestos sheets,steel door and window frames with cement screed floors</t>
  </si>
  <si>
    <t>Underground Fuel Tanks</t>
  </si>
  <si>
    <t>Petrol tank- 2000l</t>
  </si>
  <si>
    <t>Diesel tank- 4500l</t>
  </si>
  <si>
    <t>Fuel Pumps</t>
  </si>
  <si>
    <t>Boundary Fence- Diamond mesh 1.8m high wire on all side and gated half share.</t>
  </si>
  <si>
    <t>5 VUMBA ROAD</t>
  </si>
  <si>
    <t>SCHWEPPES MUTARE</t>
  </si>
  <si>
    <t>Staff Quarters- Brick walls cem washed under mono pitched roof of timber trusses with corrugated asbestos sheet coverings. Cement screed floors. Accommodates 3 rooms, kitchen, toilet with shower point.</t>
  </si>
  <si>
    <t xml:space="preserve">Shed- Brick walls under gabled roof of timber trusses with corrugated asbestos sheet coverings. Cement screed floors. </t>
  </si>
  <si>
    <t>OFF VUMBA ROAD</t>
  </si>
  <si>
    <t>TOTAL SERVICE STATION</t>
  </si>
  <si>
    <t>Diesel tank- 35000l</t>
  </si>
  <si>
    <t>Unleaded tank- 15000l</t>
  </si>
  <si>
    <t>Petrol tank- 25000l</t>
  </si>
  <si>
    <t>4 SWANSEA CLOSE</t>
  </si>
  <si>
    <t>Warehouse-Part brick wall,plastered and painted and part corrugated iron sheets cladding wall under a gabled timber truss and corrugated iron sheets roof,plaster board ceiling,rain gutters and down pipes with aluminium sliding doors with ceramic floor tiles.Accommodates reception area,warehouse,storeroom and toilets.</t>
  </si>
  <si>
    <t>Staff Quarters-Brick wall ,plastered and painted under a mono pitched timber purlins and corrugated iron sheets roof,rain water gutters and down pipes,steel door and window frames with cement screed floors.Accommodates 1 living-room and toilet.</t>
  </si>
  <si>
    <t>6 ST HELENS DRIVE</t>
  </si>
  <si>
    <t>FORESTRY COMMISSION</t>
  </si>
  <si>
    <t>Lean to Shed-Built of plastered and painted brick wall under a gabled roof of timber trusses and  purlins covered by corrugated asbestos sheets, and granolithic floors.</t>
  </si>
  <si>
    <t>Admistration Block-Built of plastered and painted brick wall under a gabled roof of timber trusses and  purlins covered by trafford asbestos sheets,bison board ceiling,rain gutters and down pipes,with part carpet,part vinyl,part wooden tiles and cement screed floors.</t>
  </si>
  <si>
    <t>Central stores office Block-Built of plastered and painted brick wall under a gabled roof of timber trusses and  purlins covered by trafford asbestos sheets,bison board ceiling,rain gutters and down pipes,with  vinyl floors.</t>
  </si>
  <si>
    <t>Workshop- A double volume cemwash brick wall  under a gabled steel truss and  corrugated asbestos sheets roof,with a lean to office section under a mono pitched timber purlins and corrugated iron sheets roof ,steel door and window frames over cement screed floors.</t>
  </si>
  <si>
    <t>Shed- Channel steel stanchions with corrugated iron sheets cladded walls and corrugated asbestos roof on angle steel truss  over gravel flooring.</t>
  </si>
  <si>
    <t>Canteen block- Brick wall plastered and painted with part ceramic wall cladding under a gabled roof of timber trusses and  purlins covered by corrugated asbestos sheets,bison board ceiling,steel door and window frames with cement screed floors.</t>
  </si>
  <si>
    <t>Changing room- Brick wall plastered and painted under a gabled roof of timber trusses and  purlins covered by corrugated asbestos sheets,pine wood board ceiling,steel door and window frames with cement screed floors.</t>
  </si>
  <si>
    <t>Toilet- Brick wall plastered and painted under a gabled roof of timber trusses and  purlins covered by corrugated asbestos sheets,fascia boards,steel door and window frames with cement screed floors.</t>
  </si>
  <si>
    <t>Guard room- Brick wall cem washed under a mono pitched roof of timber  purlins covered by corrugated iron sheets,steel door and window frames with cement screed floors.</t>
  </si>
  <si>
    <t>Audit office block- Brick wall plastered and painted under a gabled roof of timber trusses and  purlins covered by corrugated iron sheets,board ceiling,fascia boards,rain gutters and down pipes,steel door and window frames with cement screed floors.</t>
  </si>
  <si>
    <t>Fuel shed- Steel frame  under a mono pitched roof of steel trusses and   purlins covered by trafford asbestos sheets.</t>
  </si>
  <si>
    <t>Water tank-elevated with a capacity of 5000l</t>
  </si>
  <si>
    <t>Diesel tank-underground  with a capacity of 30000l</t>
  </si>
  <si>
    <t>Factory sheds-Double volume steel frame with corrugated asbestos sheets cladding under a duo pitched steel truss and corrugated asbestos sheets roof,rain water gutters and down pipes over cement screed floors.</t>
  </si>
  <si>
    <t>Workshop block-Rustic  brick wall,under a gabled timber truss and corrugated asbestos sheets roof,bison board ceiling,fascia boards,rain gutters and down pipes with cement screed floors.Accommodates workshop and toilets.</t>
  </si>
  <si>
    <t>Transformer room-Rustic  brick wall,under a gabled roof of timber trusses with corrugated asbestos sheets covering,bison board ceiling,fascia boards,rain gutters and down pipes with cement screed floors.Accomodates workshop and toilets.</t>
  </si>
  <si>
    <t>22 DUBLIN ROAD NYAKAMETE</t>
  </si>
  <si>
    <t>D,M CARTWRIGHT</t>
  </si>
  <si>
    <t>Administration block-Built of brick  wall plastered and painted under a gabled timber truss and Trafford asbestos sheets roof,board ceiling,rain water gutters and down pipes,and cement screed floors.Accommodates offices and toilets.</t>
  </si>
  <si>
    <t>Staff quarters-Built of brick  wall plastered and painted under a mono pitched roof of timber trusses and purlins covered by corrugated asbestos sheets.Accomodates 1 room and toilet.</t>
  </si>
  <si>
    <t>20 DUBLIN ROAD NYAKAMETE</t>
  </si>
  <si>
    <t>CHIKODZORE</t>
  </si>
  <si>
    <t>Warehouse-Built of brick  wall  cem-washed  under a gabled roof of timber trusses and purlins covered by corrugated iron sheets,and cement screed floors.</t>
  </si>
  <si>
    <t>Boundary fence-1.8m diamond mesh wire.</t>
  </si>
  <si>
    <t>18 DUBLIN ROAD NYAKAMETE</t>
  </si>
  <si>
    <t>T.MAPARA</t>
  </si>
  <si>
    <t>Storeroom-Built of cement brick  wall under a mono pitched roof of timber trusses and purlins covered by corrugated asbestos sheets.Accomodates 2 storerooms.</t>
  </si>
  <si>
    <t>Ablution block-Built of brick  wall,plastered and painted under a mono pitched roof of timber trusses and purlins covered by corrugated iron sheets.</t>
  </si>
  <si>
    <t>Boundary fence-1.8m brick wall ,plastered  on 2 sides</t>
  </si>
  <si>
    <t>4 KARIBA ROAD</t>
  </si>
  <si>
    <t xml:space="preserve">COUNTRY BUILDING CONTRACTORS   CBC  </t>
  </si>
  <si>
    <t>Warehouse-  block walls with top part corrugated asbestos sheet cladding under gabled roof of steel trusses with corrugated asbestos sheet coverings.  Zinc gutters and down pipes. Cement screed floors. Accommodates warehouse, offices and storerooms.</t>
  </si>
  <si>
    <t>Garage- breeze blocks under monopitched roof of corrugated asbestos sheets on timber trusses. Cement screed floors.</t>
  </si>
  <si>
    <t>Ablution facilities- brick wall under monopitched roof of corrugated asbestos sheets. Accommodates ladies and gents toilets with water closets, wash hand basins, changing rooms and wall urinary.</t>
  </si>
  <si>
    <t>Cooking Shed- brick pillars under monopitched roof of IBR sheets on timber beams. Concrete floors.</t>
  </si>
  <si>
    <t>Cottage- block walls plastered and painted internally under gabled roof of marlery tiles on timber trusses. Board ceiling.Cement screed floors. Accommodates 2 bedrooms, dining, kitchen and toilet with shower point.</t>
  </si>
  <si>
    <t>Guard room- brick walls plastered and painted internally under monopitched roof of corrugated asbestos sheets on timber trusses. Cement screed floors. Accommodates 2 bedrooms, dining, kitchen and toilet with shower point.</t>
  </si>
  <si>
    <t>Water Tank- pvc with a capacity of 2500l on timber poles stand.</t>
  </si>
  <si>
    <t>Water Tank- pvc with a capacity of 2500l on steel stand.</t>
  </si>
  <si>
    <t>Boundary Fence- Diamond mesh 1.8m high wire on all side with 3 strand barberd wire and gated half share.</t>
  </si>
  <si>
    <t>9 LIVERPOOL ROAD</t>
  </si>
  <si>
    <t xml:space="preserve"> STOURBRIDGE FARM [PVT] LTD</t>
  </si>
  <si>
    <t>Main Building-Double volume  brick wall,plastered and painted under a gabled steel truss and Trafford asbestos sheets roof,bison board ceiling in office section,fascia boards and cement screed floors.Accommodates warehouse,office and toilets.</t>
  </si>
  <si>
    <t>Boundary fence-1.8m diamond mesh wire fence.</t>
  </si>
  <si>
    <t>11 LIVERPOOL ROAD</t>
  </si>
  <si>
    <t>FARAYI PATRICK MWAYERA</t>
  </si>
  <si>
    <t>Storeroom block-Brick wall,plastered and painted under a gabled timber truss and corrugated asbestos sheets roof,steel door and window frames with cement screed floors.Accommodates 3 rooms and toilet.</t>
  </si>
  <si>
    <t>Storeroom block-Brick wall,plastered and painted under a gabled timber truss and corrugated asbestos sheets roof,steel door and window frames over cement screed floors. Accommodates 1 room.</t>
  </si>
  <si>
    <t>SUBDIVISION OF 2559</t>
  </si>
  <si>
    <t>13 LIVERPOOL ROAD</t>
  </si>
  <si>
    <t>LOVEMORE TSURO</t>
  </si>
  <si>
    <t>REM OF 2559</t>
  </si>
  <si>
    <t>MUTSONGODZI</t>
  </si>
  <si>
    <t>15 LIVERPOOL ROAD</t>
  </si>
  <si>
    <t>THOMAS MUNJOMA</t>
  </si>
  <si>
    <t>Administration block-Brick wall,plastered and painted under a gabled roof of timber trusses with trafford asbestos sheets covering,bison board ceiling,rain gutters and down pipes,steel dor and window frames  with part vinyl floor tiles and cement screed floors.Accomodates reception area,boardroom,offices and toilets.</t>
  </si>
  <si>
    <t>Canteen-Part brick wall,plastered and painted and part cement block wall under a gabled roof of timber trusses with trafford asbestos sheets covering,steel dor and window frames  with cement screed floors.Accomodates eating area,kitchen,walk in pantry and offices.</t>
  </si>
  <si>
    <t>Mutare District office block-Brick wall,plastered and painted under a gabled roof of timber trusses with corrugated asbestos sheets covering,bison board ceiling,rain gutters and down pipes,steel dor and window frames  with cement screed floors.Accomodates storeroom and offices.</t>
  </si>
  <si>
    <t>Planning office block-Brick wall,plastered and painted under a gabled roof of timber trusses with trafford asbestos sheets covering,bison board ceiling,steel dor and window frames  with part vinyl floor tiles and cement screed floors.Accomodates offices and toilets.</t>
  </si>
  <si>
    <t>Gents ablution block-Cement block wall,cem washed under a gabled roof of timber trusses with corrugated asbestos sheets covering, with cement screed floors.</t>
  </si>
  <si>
    <t>Ladies ablution block-Cement block wall,cem washed under a gabled timber truss and corrugated asbestos sheets roof , with cement screed floors.</t>
  </si>
  <si>
    <t>Staff House-Cement block wall,with timber cladding under a gabled steel truss and IBR sheets roof, with cement screed floors.Accommodates 2 rooms.</t>
  </si>
  <si>
    <t>GRIMBSY CLOSE</t>
  </si>
  <si>
    <t>GOWACK MILLERS</t>
  </si>
  <si>
    <t>Shed-Timber poles  under a monopitched timber trusses and corrugated asbestos sheets roof ,bison board ceiling,steel door and window frames and cement screed floors. Accommodates storeroom,kitchen and eating area.</t>
  </si>
  <si>
    <t>Ablution block-Brick wall,plastered and painted under a mono pitched timber purlins and corrugated asbestos sheets roof over cement screed floors.</t>
  </si>
  <si>
    <t>Underground paraffin tank</t>
  </si>
  <si>
    <t>Underground Diesel tank</t>
  </si>
  <si>
    <t>Underground Petrol tank</t>
  </si>
  <si>
    <t>Fuel pumps</t>
  </si>
  <si>
    <t>Boundary fence-2m high 230mm brick wall.</t>
  </si>
  <si>
    <t>8 DERERA ROAD NYAKAMETE</t>
  </si>
  <si>
    <t>M.P.C LOGISTICS P/L</t>
  </si>
  <si>
    <t>Administration block-Brick wall,plastered inside  under a gabled timber truss and corrugated asbestos sheets roof,bison board ceiling,rain water  gutter and down pipes,steel door and window frames and carpeted floors.Accommodates offices,and toilets.</t>
  </si>
  <si>
    <t>Canteen block-Brick wall,plastered and painted  under a gabled timber trusses and corrugated asbestos sheets roof,bison board ceiling,steel door and window frames and cement screed floors.Accommodates storeroom,kitchen and eating area.</t>
  </si>
  <si>
    <t>Shed-Brick wall,plastered and painted under a mono pitched roof of  timber purlins with corrugated asbestos sheets covering,cement screed floors.</t>
  </si>
  <si>
    <t>DERERA ROAD NYAKAMETE</t>
  </si>
  <si>
    <t>DEPARTMENT OF VETERINARY SERVICES</t>
  </si>
  <si>
    <t>Laboratory block-Brick wall,plastered inside  under a gabled roof of  timber trusses with corrugated asbestos sheets covering,bison board ceiling,rain waters and gutters,steel door and window frames and cement screed floors.Accomodates offices,boardroom and toilets.</t>
  </si>
  <si>
    <t>Generator room-Brick wall,plastered and painted nder a mono pitched roof of  timber purlins with corrugated iron sheets covering,cement screed floors.</t>
  </si>
  <si>
    <t>NATVEST INDUSTRIAL PARK</t>
  </si>
  <si>
    <t>GONDWE CIRCLE NYAKAMETE</t>
  </si>
  <si>
    <t>Shed-Timber poles under a mono pitched roof of timber purlins covered by corrugated iron sheets,granolithic floors.</t>
  </si>
  <si>
    <t>LONGBRIDGE ROAD NYAKAMETE</t>
  </si>
  <si>
    <t>MUNAKAMWE INVESTMENTS P/L</t>
  </si>
  <si>
    <t>Administration block- Rustic face brick wall under a duo pitched roof of timber trusses and purlins covered by corrugated asbestos sheets,pine wood ceiling,steel door and window frames with cement screed floors.</t>
  </si>
  <si>
    <t>Storeroom block- Cement block wall plastered and painted under a mono pitched timber and corrugated asbestos sheets roof,steel door and window frames with cement screed floors.</t>
  </si>
  <si>
    <t>VUMBA ROAD NEXT TO TOTAL</t>
  </si>
  <si>
    <t>Undeveloped.</t>
  </si>
  <si>
    <t>5958A</t>
  </si>
  <si>
    <t>KARIBA ROAD NEXT TO COMPAC HYDROLIC SERVICES</t>
  </si>
  <si>
    <t>5958B</t>
  </si>
  <si>
    <t xml:space="preserve">KARIBA ROAD </t>
  </si>
  <si>
    <t>COMPAC HYDROLIC SERVICES</t>
  </si>
  <si>
    <t>CTP  OPPOSITE CBC</t>
  </si>
  <si>
    <t>KARIBA ROAD</t>
  </si>
  <si>
    <t>MRS.DHAMISO</t>
  </si>
  <si>
    <t>Shed- timber poles under monopitched roof of corrugated iron sheets on timber trusses. Earth floor.</t>
  </si>
  <si>
    <t>TAGWIRA</t>
  </si>
  <si>
    <t>I JAMES</t>
  </si>
  <si>
    <t>Shed- timber poles under monopitched roof of corrugated asbestos sheets on timber beams. Earth floor.</t>
  </si>
  <si>
    <t>CARSWELL/MONTANA MEATS</t>
  </si>
  <si>
    <t>CHIRIPASHI</t>
  </si>
  <si>
    <t>TARIRO MARKETING</t>
  </si>
  <si>
    <t xml:space="preserve">CTP  </t>
  </si>
  <si>
    <t>WANTAGE INVESTMENT</t>
  </si>
  <si>
    <t>Water Tank- pvc with a capacity of 2500l on concrete slab stand.</t>
  </si>
  <si>
    <t>KEVERAZ INVESTMENTS P/L</t>
  </si>
  <si>
    <t>Shed- Timber poles under a duo pitched roof of timber trusses and purlins covered by corrugated asbestos sheets,with gravel floors.</t>
  </si>
  <si>
    <t>REA</t>
  </si>
  <si>
    <t>Perimeter Fence- 1.8m concrete panel wall and gated.</t>
  </si>
  <si>
    <t>HOWCALL INVESTMENTS P/L</t>
  </si>
  <si>
    <t>RAMOUNT TRADING P/L</t>
  </si>
  <si>
    <t>Shed- Double volume structure of timber poles under a duo pitched timber truss and IBR sheets roof over gravel floors.</t>
  </si>
  <si>
    <t>Perimeter Fence- 2m concrete panel wall and gated.</t>
  </si>
  <si>
    <t>VETAS P/L</t>
  </si>
  <si>
    <t>Shed- Timber poles under a mono pitched roof of timber purlins covered by IBR sheets,with gravel floors.</t>
  </si>
  <si>
    <t>ADVANCE PANEL BEATERS P/L</t>
  </si>
  <si>
    <t>Storeroom-A structure constructed of plastered brick wall, under a mono pitched timber purlins  and corrugated asbestos sheets roof covering.</t>
  </si>
  <si>
    <t>Cottage-A structure constructed of concrete panel wall, under a mono pitched  timber purlins and corrugated asbestos sheets roof covering over cement screed floors.Accommodates 2 rooms.</t>
  </si>
  <si>
    <t>Rondavel-Plastered and painted brick wall, under  corrugated asbestos sheets covering with cement screed floors.</t>
  </si>
  <si>
    <t>Boundary fencing-Fenced with 2m concrete panels with a steel sliding gate.</t>
  </si>
  <si>
    <t>TAURAYI MURAPA T/A TTC</t>
  </si>
  <si>
    <t>Shed-Tubular timber poles under a duo pitched roof of timber trusses with corugated asbestos sheets covering with gravel floors.</t>
  </si>
  <si>
    <t>Building-A structure constructed of brick wall,plastered and painted under a gabled timber truss and corrugated asbestos sheets roof covering.Steel door and window frames,burglar barred over cement screed floor finish. Accommodates 4 bedrooms ,lounge,toilet and bathroom.</t>
  </si>
  <si>
    <t>WOODLANDS ENGINEERING P/L</t>
  </si>
  <si>
    <t>Shed- poles under a duo pitched roof of timber trusses and purlins with corrugated asbestos sheets covering,granolithic floor finish.</t>
  </si>
  <si>
    <t>Staff Quarters-A structure constructed of brick wall,plastered and painted under a mono pitched roof of timber purlins with corrugated asbestos sheets covering.Steel door and window frames, cement screed floor finish. Accomodates 2 rooms.</t>
  </si>
  <si>
    <t>Kitchen-A structure constructed of brick wall, under a gabled roof of timber trusses and  purlins with corrugated asbestos sheets covering.Steel door and window frames,burglar barred with cement screed floor finish. Accomodates 2 rooms and kitchen area.</t>
  </si>
  <si>
    <t>Boundary fencing-Fenced with 2.3m high diamond mesh wire on 3 sides with a double wrought iron gate.</t>
  </si>
  <si>
    <t>ITWAF ENGINEERING PVT LTD</t>
  </si>
  <si>
    <t>Carport- Treated timber poles  under a mono pitched roof of timber purlins with corrugated asbestos sheets covering,granolithic floors.</t>
  </si>
  <si>
    <t>ST HELENS DRIVE</t>
  </si>
  <si>
    <t>AGRIPPA MAKADZANGETA T/A GLOBAL PAPERS</t>
  </si>
  <si>
    <t>Warehouse-A  double volume structure constructed of part brick wall with part corrugated asbestos sheets cladding, under duo pitched steel truss and beams ,rain water gutters and down pipes, corrugated asbestos sheets roof covering,bison board ceiling in offices and toilets section.Has granolithic floors and accommodates warehouse,offices,kitchen,storeroom and toilets.</t>
  </si>
  <si>
    <t>Pharmacetical Warehouse- Rustic face brick wall under   duo pitched roof of timber trusses with corrugated asbestos sheets covering,bison board ceiling,rain gutters and down pipes,steel window and door frames and cement screed floor.Accomodates warehouse,office and toilets.</t>
  </si>
  <si>
    <t>Residence- Part plastered and painted brick wall under   duo pitched roof of timber trusses with corrugated asbestos sheets covering,bison board ceiling,rain gutters and down pipes,steel window and door frames,burlar barred and parquet floor and ceramic tile floors.Accomodates 4 bedrooms main ensuite,kitchen and lounge.</t>
  </si>
  <si>
    <t>Staff Quarters- Part plastered and painted brick wall under   mono pitched roof of timber purlins with corrugated asbestos sheets covering.Accomodates a single room and toilet.</t>
  </si>
  <si>
    <t>Boundary fence  - Concrete panels and gated.</t>
  </si>
  <si>
    <t>TIMCON P/L</t>
  </si>
  <si>
    <t>Shed- Double volume structure of timber poles with IBR cladding under a duo pitched roof of timber purlins covered by corrugated asbestos sheets,with granolithic floors.Has double IBR sheets sliding doors.Accomodates warehouse,toilets,storerooms and changing rooms.</t>
  </si>
  <si>
    <t>Perimeter Fence- 13 strand barbed wire and gated.</t>
  </si>
  <si>
    <t>VATEL INVESTMENTS P/L</t>
  </si>
  <si>
    <t>Main Shed- Steel frame under a duo pitched roof of steel trusses and  purlins covered by corrugated asbestos sheets,with granolithic floors.</t>
  </si>
  <si>
    <t>Administration block- Brick wall plastered and painted under a gabled roof of timber trusses and purlins covered by Marley tiles,board ceiling,steel door and window frames with cement screed floors.</t>
  </si>
  <si>
    <t>Changing room block- Brick wall plastered and painted under a gabled roof of timber trusses and purlins covered by corrugated asbestos sheets,steel door and window frames with cement screed floors.</t>
  </si>
  <si>
    <t>Main stores toilet- Brick wall plastered and painted under a mono pitched roof of timber  purlins covered by corrugated asbestos sheets,steel door and window frames with cement screed floors.</t>
  </si>
  <si>
    <t>Ablution block- Brick wall plastered and painted under a mono pitched roof of timber  purlins covered by corrugated asbestos sheets,steel door and window frames with cement screed floors.</t>
  </si>
  <si>
    <t>PHILEMON MAROWA</t>
  </si>
  <si>
    <t>Administration block-Built of brick  wall under a duo pitched roof of timber  purlins covered by IBR,no fittings incomplete structure.</t>
  </si>
  <si>
    <t>Workshop Building-Built of cement block wall under a duo pitched roof of timber trusses and purlins covered by IBR and granolithic floors with a lean to section accomodating storerooms and toilets.</t>
  </si>
  <si>
    <t>Ablution block-Brick wall,plastered at roof level.</t>
  </si>
  <si>
    <t>OBERT MASOMERA</t>
  </si>
  <si>
    <t>Perimeter Fence- 10 strand barbed wire and gated.</t>
  </si>
  <si>
    <t>Quarters- brick walls unrendered under gabled roof of timber trusses with corrugated asbestos sheet coverings. Cement screed floors. Accommodates 2 bedrooms, sitting room, kitchen, separate bathroom and toilet.</t>
  </si>
  <si>
    <t xml:space="preserve">Shed 1- steel stanchions with part brick walls  cem washed  and corrugated iron cladding under gabled roof of timber trusses with corrugated iron sheet coverings.Bison board ceiling. Cement screed floors. </t>
  </si>
  <si>
    <t xml:space="preserve">Top Guard Security- brick walls under monopitched roof of timber trusseswith corrugated iron sheet coverings. Cement screed floors. </t>
  </si>
  <si>
    <t xml:space="preserve">Storeroom- brick walls under gabled roof of timber trusses with corrugated iron sheet coverings. Cement screed floors. </t>
  </si>
  <si>
    <t>22 GLASGOW ROAD</t>
  </si>
  <si>
    <t>GLENBURN INVESTMENTS</t>
  </si>
  <si>
    <t>18 GLASGOW ROAD</t>
  </si>
  <si>
    <t>COUNTRY BUILDING CONTRACTORS</t>
  </si>
  <si>
    <t>16 GLASGOW ROAD</t>
  </si>
  <si>
    <t>TULISDANYA &amp; J. PITAMBER</t>
  </si>
  <si>
    <t>Boundary Fencing- 2.4 metres high plastered and painted brick wall.</t>
  </si>
  <si>
    <t>14 GLASGOW ROAD</t>
  </si>
  <si>
    <t>WILSPOT ENTERPRISES</t>
  </si>
  <si>
    <t>Boundary Fencing- 2.2 metres high precast concrete panels.</t>
  </si>
  <si>
    <t>12 GLASGOW ROAD</t>
  </si>
  <si>
    <t>SAW SERVICES</t>
  </si>
  <si>
    <t>10 GLASGOW ROAD</t>
  </si>
  <si>
    <t>CHRISTODOULATORS ALEXANDER</t>
  </si>
  <si>
    <t>8 GLASGOW ROAD</t>
  </si>
  <si>
    <t xml:space="preserve">W. G. CROWSON </t>
  </si>
  <si>
    <t>1882A</t>
  </si>
  <si>
    <t>1 CHIMANIMANI ROAD</t>
  </si>
  <si>
    <t>ZUVA PETROLEUM (HUNDER MARK)</t>
  </si>
  <si>
    <t xml:space="preserve">Forecourt- Steel columns under a mono pitched roof of timber tbeams with IBR sheets coverings, concrete floors.  </t>
  </si>
  <si>
    <t>Fuel Tank- Petrol</t>
  </si>
  <si>
    <t>Fuel Tank- Diesel</t>
  </si>
  <si>
    <t>24 GLASGOW ROAD</t>
  </si>
  <si>
    <t>HC BELL &amp; SONS ENGINEERING</t>
  </si>
  <si>
    <t>6 GLASGOW ROAD</t>
  </si>
  <si>
    <t>U. GROTIS</t>
  </si>
  <si>
    <t>4 GLASGOW ROAD</t>
  </si>
  <si>
    <t>GOLLY BAKERY</t>
  </si>
  <si>
    <t>2174A</t>
  </si>
  <si>
    <t>26 PARK ROAD</t>
  </si>
  <si>
    <t>NATIONAL TYRE SERVICES</t>
  </si>
  <si>
    <t>12 INDUSTRIAL ROAD</t>
  </si>
  <si>
    <t>E. CALSEN PRIVATE LMITED</t>
  </si>
  <si>
    <t>2475A</t>
  </si>
  <si>
    <t>EASTERN DISTRICT ENGINEERS</t>
  </si>
  <si>
    <t>1886A</t>
  </si>
  <si>
    <t>27 BVUMBA ROAD</t>
  </si>
  <si>
    <t>P. G TIMBERS</t>
  </si>
  <si>
    <t xml:space="preserve">Carport 1- Brick pillars under a mono pitched roof of timber beams with corrugated asbestos sheets coverings, granolithic floors. </t>
  </si>
  <si>
    <t xml:space="preserve">Carport 2- Brick pillars under a mono pitched roof of timber beams with corrugated asbestos sheets coverings, granolithic floors. </t>
  </si>
  <si>
    <t>Boundary Fencing- Diamond mesh wire 2 metres high.</t>
  </si>
  <si>
    <t>10 BVUMBA ROAD</t>
  </si>
  <si>
    <t>CAIRNS FOODS</t>
  </si>
  <si>
    <t xml:space="preserve">Furnace Shed- Double volume structure, steel poles under a mono pitched roof of steel beams with corrugated asbestos sheets coverings, granolithic floors.   </t>
  </si>
  <si>
    <t xml:space="preserve">Bottle Shed- Double volume structure, steel poles cladded with corrugated iron sheets under a mono pitched roof of timber beams with corrugated iron sheets coverings, granolithic floors.   </t>
  </si>
  <si>
    <t xml:space="preserve">Shed- Double volume structure, steel poles under a mono pitched roof of timber beams with corrugated asbestos sheets coverings, granolithic floors.   </t>
  </si>
  <si>
    <t xml:space="preserve">Pulp Shed- Double volume structure, steel poles under a mono pitched roof of timber beams with corrugated iron sheets coverings, granolithic floors.   </t>
  </si>
  <si>
    <t xml:space="preserve">Canteen Shed-Brick columns under a mono pitched roof of timber beams with IBR sheets coverings, granolithic floors.   </t>
  </si>
  <si>
    <t>Pavement- Tarred road covering 75% of the yard.</t>
  </si>
  <si>
    <t>NATHOO INVESTMENTS</t>
  </si>
  <si>
    <t>1 SWANSEA CLOSE</t>
  </si>
  <si>
    <t>Boundary Fencing- 2 metres high plastered brick wall with steel sliding gate.</t>
  </si>
  <si>
    <t>3 SWANSEA CLOSE</t>
  </si>
  <si>
    <t>TENDA TRANSPORT</t>
  </si>
  <si>
    <t>5 SWANSEA CLOSE</t>
  </si>
  <si>
    <t xml:space="preserve"> SWANSEA CLOSE</t>
  </si>
  <si>
    <t>No access</t>
  </si>
  <si>
    <t>6 SWANSEA CLOSE</t>
  </si>
  <si>
    <t>2 SWANSEA CLOSE</t>
  </si>
  <si>
    <t>1 ABERDEEN ROAD</t>
  </si>
  <si>
    <t>BOARDER TIMBERS</t>
  </si>
  <si>
    <t>16 DURBAN ROAD</t>
  </si>
  <si>
    <t>COLBRO TRANSPORT</t>
  </si>
  <si>
    <t>Boundary Fencing- Diamond mesh wire 1.8 metres high.</t>
  </si>
  <si>
    <t>2 ARBERDENE ROAD</t>
  </si>
  <si>
    <t>CLAYMIST INVESTMENTS</t>
  </si>
  <si>
    <t>Boundary Fencing- Diamond mesh wire 3 metres high with barbed wire overhang.</t>
  </si>
  <si>
    <t>Boundary Fencing 2- 20 strands electrical wire on steel poles.</t>
  </si>
  <si>
    <t>DERERA ROAD</t>
  </si>
  <si>
    <t>M AND M BROTHERS</t>
  </si>
  <si>
    <t>Workshop- Still under construction at lower window level, concrete slab.</t>
  </si>
  <si>
    <t>SECURETE WALLING PVT LTD</t>
  </si>
  <si>
    <t>7128 OF 5190</t>
  </si>
  <si>
    <t>HUGHS CLOSE</t>
  </si>
  <si>
    <t>STEEL BASE</t>
  </si>
  <si>
    <t>7129 OF 5190</t>
  </si>
  <si>
    <t>7130 OF 5190</t>
  </si>
  <si>
    <t>GROTIS</t>
  </si>
  <si>
    <t>5191A &amp; 5191B</t>
  </si>
  <si>
    <t>KENROSE FILTERS</t>
  </si>
  <si>
    <t>3 DURBAN ROAD</t>
  </si>
  <si>
    <t>4 DURBAN ROAD</t>
  </si>
  <si>
    <t>5 DURBAN ROAD</t>
  </si>
  <si>
    <t>MUDUMA CRESCENT</t>
  </si>
  <si>
    <t>J.Z. ZINZOU</t>
  </si>
  <si>
    <t>EAGLE PANEL BEATERS</t>
  </si>
  <si>
    <t>5994 MUDUMA</t>
  </si>
  <si>
    <t>5996 MUDUMA</t>
  </si>
  <si>
    <t>NORBRACK INVESTMENTS</t>
  </si>
  <si>
    <t>Boundary Fencing- 2 metres high plastered and painted brick wall.</t>
  </si>
  <si>
    <t>5997 MUDUMA</t>
  </si>
  <si>
    <t>Main Building- Still under construction at upper window level, concrete slab floor.</t>
  </si>
  <si>
    <t>5998 MUDUMA</t>
  </si>
  <si>
    <t>6010 MUDUMA</t>
  </si>
  <si>
    <t>Main Building- Still under construction at roof level, concrete slab floor.</t>
  </si>
  <si>
    <t>MABANJA COMMUTERS</t>
  </si>
  <si>
    <t>PLYPORT PETROLEUM</t>
  </si>
  <si>
    <t xml:space="preserve">Forecourt- Steel columns under a mono pitched roof of timber beams with IBR sheets coverings, concrete floors.  </t>
  </si>
  <si>
    <t>Fuel Tank- Parrafin</t>
  </si>
  <si>
    <t>10289 S/D OF 6006</t>
  </si>
  <si>
    <t>10290 S/D OF 6006</t>
  </si>
  <si>
    <t>TENDA BUSES</t>
  </si>
  <si>
    <t>Boundary Fencing- 2 metres brick walls.</t>
  </si>
  <si>
    <t>10773 ST HELEN DRIVE</t>
  </si>
  <si>
    <t>MUKUMBA BROTHERS</t>
  </si>
  <si>
    <t>10774 ST HELEN DRIVE</t>
  </si>
  <si>
    <t>SKYLOOM ENTERPRISES</t>
  </si>
  <si>
    <t>REF NO</t>
  </si>
  <si>
    <t>STAND NO</t>
  </si>
  <si>
    <t>OWNER'S NAME</t>
  </si>
  <si>
    <t xml:space="preserve">PHYSICAL ADDRESS </t>
  </si>
  <si>
    <t>USE</t>
  </si>
  <si>
    <t>DESCRIPTION</t>
  </si>
  <si>
    <t>LAND AREA M/2</t>
  </si>
  <si>
    <t xml:space="preserve">     LAND VALUE ($)</t>
  </si>
  <si>
    <t>IMPROVEMENTS VALUE (USD)</t>
  </si>
  <si>
    <t>MUTARE VALUATION ROLL : HEAVY INDUSTRY</t>
  </si>
  <si>
    <t>NRZ WORKSHOPS</t>
  </si>
  <si>
    <t xml:space="preserve">NRZ MAIN STATION </t>
  </si>
  <si>
    <t>519 &amp; 520</t>
  </si>
  <si>
    <t>14 &amp; 16 NEW CASTLE ROAD</t>
  </si>
  <si>
    <t>BLUE RIBBON FOODS</t>
  </si>
  <si>
    <t xml:space="preserve">Toilet Block- Single storey structure constructed of plastered and painted brick wall under a mono pitched roof of timber beams with corrugated asbestosi sheets coverings. It has steel door and window frames, cement screed floors. It accommodates male and female toilets . </t>
  </si>
  <si>
    <t>Ablution Block- Single storey structure constructed of plastered  brick wall under a gabled roof of timber trusses and purlins with corrugated asbestos sheets coverings. It has steel door and window frames, cement screed floors. It accommodates 6  shower cubicles and 2 w,c and 2 wash hand basins.</t>
  </si>
  <si>
    <t>Metal Silos-for grain storage with a diameter of 5 meters.</t>
  </si>
  <si>
    <t xml:space="preserve">Guard house - Single storey structure constructed of plastered and painted brick wall under a mono-pitched roof of timber beams and purlins with corrugated asbestos sheets coverings. It has steel framed, glazed  window frames, cement screed floors. </t>
  </si>
  <si>
    <t xml:space="preserve">Boundary Fencing- 2 meter high  Diamond mesh wire with steel standards and 3 strands overhang barbed wire  with steel sliding gate. </t>
  </si>
  <si>
    <t>517 &amp;518</t>
  </si>
  <si>
    <t>10 &amp; 12 NEW CASTLE ROAD</t>
  </si>
  <si>
    <t>ZUVA PETROLLEUM</t>
  </si>
  <si>
    <t>Guard room- Single storey structure of plastered and painted brick wall under a mono-pitched roof of timber beams and purlins with corrugated asbestos sheets coverings,plaster board ceiling, galvanised gutters and down pipes, steel framed windows ,and glazed, cement screed floors.</t>
  </si>
  <si>
    <t xml:space="preserve">Boundary Fencing-2 meter high diamond mesh wire fence with 3 strands of barbed wire overhang , steel standards and steel gate. </t>
  </si>
  <si>
    <t>8 NEW CASTLE ROAD</t>
  </si>
  <si>
    <t>TOTAL ZIMBABWE  ( MOBILE)</t>
  </si>
  <si>
    <t>Toilet- Single storey structure of plastered and painted brick wall under a mono-pitched roof of timber beams and purlins with corrugated asbestos sheets coverings,plaster board ceiling, galvanised gutters and down pipes, steel framed windows ,and glazed, cement screed floors.</t>
  </si>
  <si>
    <t>Ablution Block &amp; Toilet- Single storey structure of plastered and painted brick wall under a gabled roof of timber beams and purlins with corrugated asbestos sheets coverings, galvanised gutters and down pipes, steel framed windows ,and glazed, cement screed floors.</t>
  </si>
  <si>
    <t>Generator House - Single storey structure of plastered and painted brick wall under a gabled roof of timber beams and purlins with corrugated asbestos sheets coverings, galvanised gutters and down pipes, steel framed windows ,and glazed, cement screed floors.</t>
  </si>
  <si>
    <t xml:space="preserve">Boundary Fencing-2 meter high diamond mesh wire fence with 3 strands of barbed wire overhang , steel poles and steel gate. </t>
  </si>
  <si>
    <t xml:space="preserve">Fuel Tanks 1-1669 litre capacity </t>
  </si>
  <si>
    <t xml:space="preserve">Fuel Tank 2-257 litre capacity </t>
  </si>
  <si>
    <t xml:space="preserve">Fuel Tank 3-494 litre capacity </t>
  </si>
  <si>
    <t>22 &amp; 24 NEW CASTLE ROAD</t>
  </si>
  <si>
    <t>HALSTED BROTHERS (EAST) PVT LTD</t>
  </si>
  <si>
    <t xml:space="preserve">20 NEW CASTLE ROAD  </t>
  </si>
  <si>
    <t>TOTAL ZIMBABWE</t>
  </si>
  <si>
    <t>Fuel tanks-Steel Surface Fuel Storage Tanks Diesel, 157092 litres capacity.</t>
  </si>
  <si>
    <t>Fuel tanks-Steel Surface Fuel Storage Tanks Petrol, 78710 litres capacity.</t>
  </si>
  <si>
    <t>18 NEW CASTLE ROAD</t>
  </si>
  <si>
    <t>DEVCHANDS ENTERPRISES PVT LTD</t>
  </si>
  <si>
    <t>REMAINDER OF 891 C</t>
  </si>
  <si>
    <t>15 VUMBA ROAD</t>
  </si>
  <si>
    <t>(FREE PORT ) OMAR</t>
  </si>
  <si>
    <t>Boundary Fencing- 1.8 meter high diamond mesh wire on steel standars  1 side.</t>
  </si>
  <si>
    <t>Lot 1 of 892 A</t>
  </si>
  <si>
    <t>Guard room- Single storey structure of plastered and painted brick wall under a mono-pitched roof of timber beams and purlins with corrugated asbestos sheets coverings,plaster board ceiling, galvanised gutters and down pipes, steel framed windows ,and glazed , concrete floors.</t>
  </si>
  <si>
    <t>Boundary Fencing- 2 meter high diamond mesh wire on steel standards  with 4 strands of barbed wire overhang, steel gate.</t>
  </si>
  <si>
    <t>TANGANDA TEA COMPANY PVT LTD</t>
  </si>
  <si>
    <t>Boundary Fencing- 2. meter high diamond mesh wire on steel standards with 3 strand barbed wire over hang</t>
  </si>
  <si>
    <t>5 ST HELLENS DRIVE</t>
  </si>
  <si>
    <t>MANICA BOARDS &amp; DOORS PVT LTD</t>
  </si>
  <si>
    <t xml:space="preserve">Guard House- Single storey structure constructed of plastered and painted brick wall under a mono pitched roof of timber beams with corrugated asbestos sheets coverings. It has steel framed door and window frames,cement screed floors.  </t>
  </si>
  <si>
    <t>Boundary Fencing- 1.8 meter high ,Diamond mesh wire with 3 strands barbed wire over hang 3 sides of the premise.</t>
  </si>
  <si>
    <t>14 LIVER POOL ROAD</t>
  </si>
  <si>
    <t>ZIMBABWE COFFEE MILL PVT LTD</t>
  </si>
  <si>
    <t>16 LIVER POOL ROAD</t>
  </si>
  <si>
    <t>DELTA BEVERAGES</t>
  </si>
  <si>
    <t>Guard House- Built of plastered and painted brick wall under a mono-pitched roof of  timber beams and purlins covered by corrugated asbestos sheets, steel door frames and window frames,cement screed floors.</t>
  </si>
  <si>
    <t xml:space="preserve">Boundary Fencing-Dimond mesh wire 3 meter high with 3 strand barbed wire overhang steel standards and steel sliding gate. </t>
  </si>
  <si>
    <t>18 LIVERPOOL ROAD</t>
  </si>
  <si>
    <t>MASARA TRANSPORT PVT LTD</t>
  </si>
  <si>
    <t>Office Block- Single storey structure constructed of plastered and painted brick wall under a gabled roof of timber trusses with corrugated asbestos sheets coverings, board ceiling, galvanized gutters and down pipes. It has steel framed door and window frames, glass panelled and buglar barred, cement screed floor . It accommodates offices.</t>
  </si>
  <si>
    <t>Boundary Fencing-1.8 meter  diamond mesh wire with 3 strands barbed wire overhang.</t>
  </si>
  <si>
    <t xml:space="preserve">Boundary Fencing-1.8meter  high plastered brick wall on 1 side with a steel sliding gate. </t>
  </si>
  <si>
    <t xml:space="preserve">3 DURBAN ROAD </t>
  </si>
  <si>
    <t>WATTLE CO. PVT LTD</t>
  </si>
  <si>
    <t>Workshop Shed 3- Built of steel columns under a gabled roof of steel trusses and purlins with corrugated iron sheets.sheets coverings.Floors are concrete screed floors.</t>
  </si>
  <si>
    <t>Toilet Block1- Single storey structure constructed of plastered and painted brick wall under a gabled roof of timber beams with Trafford asbestos sheets coverings. It has steel framed door and window frames, cement screed  floors. It accommodates 1 toilet .</t>
  </si>
  <si>
    <t>Toilet Block2- Single storey structure constructed of plastered and painted brick wall under a gabled roof of timber beams with Trafford asbestos sheets coverings. It has steel framed door and window frames, cement screed  floors. It accommodates 1 toilet .</t>
  </si>
  <si>
    <t>Toilet Block3- Single storey structure constructed of plastered and painted brick wall under a gabled roof of timber beams with Trafford asbestos sheets coverings. It has steel framed door and window frames, cement screed  floors. It accommodates 1 toilet .</t>
  </si>
  <si>
    <t>Toilet Block4- Single storey structure constructed of plastered and painted brick wall under a gabled roof of timber beams with Trafford asbestos sheets coverings. It has steel framed door and window frames, cement screed  floors. It accommodates 1 toilet .</t>
  </si>
  <si>
    <t>Plant Building-Built of Face brick wall  part plastered and painted under a mono-pitched roof of timber beams and purlins with corrugated asbestos sheets. sheets coverings,steel framed and glazed windows,concrete screed floors.</t>
  </si>
  <si>
    <t>Boiler House  -Built of  plastered and painted brick wall under a mono-pitched roof of steel trusses and purlins with I.B.R. sheets coverings,steel framed and glazed windows,concrete screed floors.</t>
  </si>
  <si>
    <t>Change room Building  -Built of  plastered and painted brick wall under a gabled roof of timber trusses and purlins covered with trafford sheets coverings,plaster board ceiling, galvanized gutters and down pipes , steel framed and glazed windows,cement screed floors.</t>
  </si>
  <si>
    <t>Plant Shed-Treated timber poles under a gabled roof of timber beams with I.B.R.sheets coverings. Concrete floors.</t>
  </si>
  <si>
    <t>Boundary Fencing-1.8 meter high diamond mesh wire on treated timber standards on 3 sides.</t>
  </si>
  <si>
    <t xml:space="preserve">17 CHIMANIMANI ROAD </t>
  </si>
  <si>
    <t>QUEST MOTOR CO-OPERATION ASSEMBLY PLANT</t>
  </si>
  <si>
    <t>Training centre - Single storey structure constructed of face brick wall, part plastered and painted brick under a mono-pitched roof of timber trusses and purlins with I. B. R.  sheets  coverings, galvanized gutters and down pipes,  It has steel framed door and window frames, cement screed floors .</t>
  </si>
  <si>
    <t>Stripping Shop Building -Built of steel columns cladded with I.B.R. wall  under a gabled roof of steel trusses and purlins with I.B.R. sheets coverings, steel framed glazed and buglar barred,  cement screed  floors. It accommodates  workshop and storeroom.</t>
  </si>
  <si>
    <t xml:space="preserve">Gas Plant Control Room-Double storey structure constructed of face brick wall plastered and painted inside under a flat roof  of concrete deck . It has steel framed door and window frames, cement screed floors. </t>
  </si>
  <si>
    <t>Security Control Room- Face brick wall plastered and painted internally under a flat roof of concrete deck,steel framed and glazed windows ,cement screed floors,galvanized gutters and down pipes.</t>
  </si>
  <si>
    <t>Clinic-Built of plastered and painted  brick wall under a gabled roof of timber trusses and purlins with  corrugated asbestos sheets coverings,plasterboard ceiling,steel framed and glazed windows,galvanized gutters and down pipes,part cement screed flooors and part vinyl tiles.</t>
  </si>
  <si>
    <t>Engineers Admin and Archives-Built of plastered and painted  brick wall under a gabled roof of steel trusses and purlins with  corrugated asbestos sheets coverings,suspended ceiling board ,steel framed and glazed windows,galvanized gutters and down pipes,part cement screed flooors.</t>
  </si>
  <si>
    <t>Operatives Canteen-Built of plastered and painted  brick wall under a gabled roof of steel trusses and purlins with  corrugated asbestos sheets coverings,suspended ceiling board ,steel framed and glazed windows,galvanized gutters and down pipes,part cement screed flooors.</t>
  </si>
  <si>
    <t>Capentry Shop-Built of steel framed structure with corrugated iron sheets. cladding wall under a gabled roof of timber  trusses and purlins with  corrugated iron sheets coverings , steel framed and glazed windows , galvanized gutters and down pipes , part cement screed floors.</t>
  </si>
  <si>
    <t xml:space="preserve">Boundary Fencing-2 meter  Diamond mesh wire fencing with 3 strand barbed wire overhang on steel standards and steel sliding gates.  </t>
  </si>
  <si>
    <t>5177: 5178: 5185: 5186:</t>
  </si>
  <si>
    <t>COMMERCIAL TRANSPORT PVT LTD</t>
  </si>
  <si>
    <t>Administration Block-Single storey structure constructed face brick wall,  plastered and painted internally brick wall under a hipped roof of steel trusses and purlins with corrugated asbestos sheets coverings, board ceiling. It has steel framed door and window frames, parquert floor tiles. It accommodates offices.</t>
  </si>
  <si>
    <t>Canteen Office - Single storey structure constructed of face brick wall, part plastered and painted brick wall under a gabled roof of timber trusses and purlins with corrugated asbestos sheets  coverings, galvanized gutters and down pipes, plaster board ceiling , It has steel framed door and window frames, cement screed floors. It accommodates eating room and kitchen .</t>
  </si>
  <si>
    <t>Storeroom - Single storey structure constructed of face brick wall, part plastered and painted brick wall under a gabled roof of timber trusses and purlins with corrugated asbestos sheets  coverings, galvanized gutters and down pipes,  It has steel framed door and window frames, cement screed floors .</t>
  </si>
  <si>
    <t>Guards Room - Single storey structure of face brick wall under a gabled roof of timber trusses and purlins with corrugated asbestos sheets. sheets coverings, bison board ceiling,steel framed windows and glazed, cement screed floor.</t>
  </si>
  <si>
    <t>ROWNBERRY ESTATES</t>
  </si>
  <si>
    <t>Boundary Fencing-1.8 meter  diamond mesh wire  1 side with 3 strands  barbed wire overhang on steel sliding gate on 2 sides.</t>
  </si>
  <si>
    <t xml:space="preserve">5967 KARIBA ROAD </t>
  </si>
  <si>
    <t>MATENGAMBI</t>
  </si>
  <si>
    <t>10 670</t>
  </si>
  <si>
    <t>5968 KARIBA ROAD</t>
  </si>
  <si>
    <t>CHAKONDA</t>
  </si>
  <si>
    <t xml:space="preserve">Ablution Block- Incomplete  structure constructed of plastered brick wall under a mono pitched roof of timber beams with corrugated asbestos sheets coverings.Needs finishes , concrete floors. </t>
  </si>
  <si>
    <t>5969 A</t>
  </si>
  <si>
    <t>5969A KARIBA ROAD</t>
  </si>
  <si>
    <t>T. NEMBAWARE</t>
  </si>
  <si>
    <t>5969 B</t>
  </si>
  <si>
    <t>5969 B KARIBA ROAD</t>
  </si>
  <si>
    <t>Undeveloped Stand</t>
  </si>
  <si>
    <t xml:space="preserve">5920 KARIBA ROAD </t>
  </si>
  <si>
    <t>MTETWA</t>
  </si>
  <si>
    <t>5921 KARIBA ROAD</t>
  </si>
  <si>
    <t>5922 KARIBA ROAD</t>
  </si>
  <si>
    <t>5923 KARIBA ROAD</t>
  </si>
  <si>
    <t>MARISA</t>
  </si>
  <si>
    <t>5979 ST HELLENS DRIVE Nyakamete</t>
  </si>
  <si>
    <t>PARUSUNGAZI</t>
  </si>
  <si>
    <t>Garage- Built of plastered and painted parapet brick walls under a gabled roof of timber trusses and purlins covered with sand tiles.It has steel framed windows glazed ,steel double doors with layzman doors. Floors are of concrete.</t>
  </si>
  <si>
    <t>Gazebo-Built of treated timber poles under gazebo proffesional thatched roof,earth floor.</t>
  </si>
  <si>
    <t>Guard room- Single storey structure of plastered and painted brick wall under a mono-pitched roof of timber beams and purlins with corrugated asbestos sheets coverings,plaster board ceiling, galvanised gutters and down pipes, steel framed windows , glazed, steeel framed doors with wooden doors, cement screed floors.</t>
  </si>
  <si>
    <t>Boundary Fencing-2 meter Diamond mesh wire fence with 3 strand barbed wire overhang 3 sides of the stand,</t>
  </si>
  <si>
    <t>Boundary wall-face brick wall ,plastered brick wall inside at the  front with steel sliding gate.</t>
  </si>
  <si>
    <t xml:space="preserve">5980 ST HELLENS DRIVE </t>
  </si>
  <si>
    <t>MUTARE SIGNS PVT LTD</t>
  </si>
  <si>
    <t>Boundary Fencing-2 meter high diamond mesh wire, on steel standards, with 3 strands barbed wire over hang, steel gate.</t>
  </si>
  <si>
    <t>5981 ST HELLENS DRIVE</t>
  </si>
  <si>
    <t>ITWAF</t>
  </si>
  <si>
    <t>Storerooms- Single storey structure constructed of plastered and painted brick wall under a mono pitched roof of timber beams with I.B.R.  sheets coverings. It has steel framed door and window frames, concrete floors. It accommodates 2 storerooms.</t>
  </si>
  <si>
    <t xml:space="preserve">Boundary Fencing-2 meter Diamond mesh wire fence with 3 strand barbed wire overhang 3 sides </t>
  </si>
  <si>
    <t>6002 MUDUMA CRESCENT</t>
  </si>
  <si>
    <t>SCOAT &amp; CULLBERRY PVT LTD</t>
  </si>
  <si>
    <t>6004 MUDUMA CRESCENT</t>
  </si>
  <si>
    <t>FRIENDLINE ENVIROMENT SERVICES</t>
  </si>
  <si>
    <t>Outside Toilet- Single storey structure constructed of plastered and painted brick wall under a mono pitched roof of timber beams with corrugated asbestos sheets coverings. It has steel framed door and window frames, cement screed and concrete floors. It accommodates 1toilet .</t>
  </si>
  <si>
    <t xml:space="preserve">Guard House- Single storey structure constructed of plastered and painted brick wall under a mono pitched roof of timber beams with corrugated iron sheets coverings. It has steel framed door and window frames,cement screed floors.  </t>
  </si>
  <si>
    <t>6005 MUDUMA CRESCENT</t>
  </si>
  <si>
    <t>MURERA PVT LTD</t>
  </si>
  <si>
    <t>Workshop Building- Single storey structure constructed of plastered and painted brick wall under a gabled roof of timber beams with corrugated asbestos  sheets coverings. It has steel framed door and window frames, concrete floors. It accommodates a workshop .</t>
  </si>
  <si>
    <t xml:space="preserve">Storeroom Building - Single storey structure constructed of plastered and painted brick wall under a mono pitched roof of timber beams with corrugated iron sheets coverings. It has steel framed door and window frames,cement screed floors.  </t>
  </si>
  <si>
    <t>6006 MUDUMA CRESCENT</t>
  </si>
  <si>
    <t>J. MAPANGIRE</t>
  </si>
  <si>
    <t>6007 MUDUMA CRESCENT</t>
  </si>
  <si>
    <t>6008 MUDUMA CRESCENT</t>
  </si>
  <si>
    <t>MUPFUMI BUS SERVICE</t>
  </si>
  <si>
    <t>Ablution Block&amp; Toilet- Single storey structure of plastered and painted brick wall under a gabled roof of timber beams and purlins with corrugated asbestos sheets coverings, galvanised gutters and down pipes, steel framed windows and glazed, concrete floors.</t>
  </si>
  <si>
    <t>7127 of 5190</t>
  </si>
  <si>
    <t xml:space="preserve"> U CIRCLE</t>
  </si>
  <si>
    <t>GROTIS PVT LTD</t>
  </si>
  <si>
    <t>Undeveloped stand</t>
  </si>
  <si>
    <t>7134 of 5190</t>
  </si>
  <si>
    <t>U CIRCLE</t>
  </si>
  <si>
    <t>Boundary Fencing-1.8 meter brick wall plastered with razor wire on front with a gate on 3 sides</t>
  </si>
  <si>
    <t>Boundary Fencing-1.8 meter high diamond mesh wire on treated timber standards on 1 sides.</t>
  </si>
  <si>
    <t>7131  0f 5190</t>
  </si>
  <si>
    <t>Outside Toilet-Brick wall plastered  and painted under a mono-pitched roof of timber beams covered by corrugated asbestos sheets coverings, steel door frames and window frames,cement screed floors.</t>
  </si>
  <si>
    <t>Boundary Fencing-2 meter brick wall plastered with razor wire on front with a gate on  3 sides</t>
  </si>
  <si>
    <t>7132 &amp;7133 0f 5190</t>
  </si>
  <si>
    <t>S. MASHIKI</t>
  </si>
  <si>
    <t>Un developed stand</t>
  </si>
  <si>
    <t>7780 LONGBRIDGE NYAKAMETE</t>
  </si>
  <si>
    <t>HAPANA</t>
  </si>
  <si>
    <t>7781 LONGBRIDGE ROAD NYAKAMETE</t>
  </si>
  <si>
    <t>SHOKO</t>
  </si>
  <si>
    <t>Boundary Fencing-2 meter high cement block wall, steel sliding gate</t>
  </si>
  <si>
    <t>7782 &amp; 7783</t>
  </si>
  <si>
    <t>7782 &amp; 7783 LONGBRIDGE ROAD NYAKAMETE</t>
  </si>
  <si>
    <t>ORIGINAL HAULAGE</t>
  </si>
  <si>
    <t>10247 &amp;  7784</t>
  </si>
  <si>
    <t xml:space="preserve">7784 LONGBRIDGE ROAD </t>
  </si>
  <si>
    <t>WORDCROFT INV. PVT LTD.</t>
  </si>
  <si>
    <t>Boundary Walling -2 meter high cement block wall,plastered in only, with razorwire, steel sliding gate.</t>
  </si>
  <si>
    <t>7785 LONGBRIDGE ROAD</t>
  </si>
  <si>
    <t>WORDCROFT INV. PVT LTD</t>
  </si>
  <si>
    <t>CTP (Currently owned by Machina recoveries)</t>
  </si>
  <si>
    <t>LAND ADJACENT TO 5636 LONGBRIDGE ROAD C.I.O 5222</t>
  </si>
  <si>
    <t>P&amp;L CHATORA</t>
  </si>
  <si>
    <t>Type 1- Built of brick wall plastered and painted brick wall under a gabled roof of timber beams and purlins covered  corrugated asbestos sheets coverings, steel framed and glazed windows,steel framed doors with wooden doors,cement screed floors. Accommodates 2 bedrooms,Dinning room,small kitchen and outside toilet.</t>
  </si>
  <si>
    <t>Type -2 Built of brick wall plastered and painted brick wall under a gabled roof of timber beams and purlins covered  corrugated asbestos sheets coverings, steel framed and glazed windows,steel framed doors with wooden doors,cement screed floors. Accommodates 2 Families with 4 rooms and a toilet.</t>
  </si>
  <si>
    <t>Type 3- Built of brick wall plastered and painted brick wall under a gabled roof of timber beams and purlins with trafford  asbestos sheets coverings, steel framed and glazed windows,steel framed doors with wooden doors,cement screed floors. Accommodates 4 rooms and a toilet.</t>
  </si>
  <si>
    <t>Type 4- Built of brick wall plastered and painted brick wall under a gabled roof of timber beams and purlins with trafford  asbestos sheets coverings, steel framed and glazed windows,steel framed doors with wooden doors,cement screed floors. Accommodates 4 Units with  4 rooms and a toilet.</t>
  </si>
  <si>
    <t>Storeroom 2 Building- Single storey structure constructed of face brick, plastered and painted inside  under a gabled roof of steel trusses and purlins with corrugated asbestos sheets coverings, galvanized gutters and down pipes. It has steel framed door and window frames, glass panelled and buglar barred, steel sliding doors with steel sliding doors , cement screed floors .</t>
  </si>
  <si>
    <t>Workshop shed (1)-steel columns cladded with corrugated iron sheets roof coverings under a north-light roof of steel trusses and purlins with corrugated iron sheets. Steel framed and glass panels. It has concrete screed floor.</t>
  </si>
  <si>
    <t>Workshop shed (2)-steel columns cladded with corrugated iron sheets roof coverings under a north-light roof of steel trusses and purlins with corrugated iron sheets. Steel framed and glass panels. It has concrete screed floor.</t>
  </si>
  <si>
    <t>Workshop shed (3)-steel columns cladded with corrugated iron sheets roof coverings under a north-light roof of steel trusses and purlins with corrugated iron sheets. Steel framed and glass panels. It has concrete screed floor.</t>
  </si>
  <si>
    <t>Workshop shed (4)-steel columns cladded with corrugated iron sheets roof coverings under a north-light roof of steel trusses and purlins with corrugated iron sheets. Steel framed and glass panels. It has concrete screed floor.</t>
  </si>
  <si>
    <t>Toilet block-brick wall, plastered and painted under a gabled roof of timber trusses and purlins with corrugated asbestos sheets roof coverings. Steel framed and glassed. The floor finish is cement screed floor.</t>
  </si>
  <si>
    <t>Carport- steel poles under a mono-pitched roof of timber beams with corrugated iron sheets roof coverings. One part length is corrugated iron sheet cladding, earth floor.</t>
  </si>
  <si>
    <t>Changeroom- timber poles, corrugated iron sheets clading under a gabled roof of timber trusses and purlins with corrugated asbestos sheets. It has wooden framed and glassed. The roof is drained by galvanised gutters and down pipes on wooden facia boards.</t>
  </si>
  <si>
    <t>Trainingroom- timber poles, corrugated iron sheets clading under a gabled roof of timber trusses and purlins with corrugated asbestos sheets. It has wooden framed and glassed. The roof is drained by galvanised gutters and down pipes on wooden facia boards.</t>
  </si>
  <si>
    <t>Canteen- brick wall, plastered and painted under a gabled roof of steel trusses and purlins with corrugated asbestos sheets roof coverings. It has steel framed and glassed. The roof is drained by galvanised gutters and down pipes on wooden facia boards. the floor finish is concrete screed floor.</t>
  </si>
  <si>
    <t>MESSENGER'S CAMP</t>
  </si>
  <si>
    <t>No 5 KARIBA  R.D</t>
  </si>
  <si>
    <t>DEPOT</t>
  </si>
  <si>
    <t>WORKSHOP</t>
  </si>
  <si>
    <t>FUEL STATION</t>
  </si>
  <si>
    <t>FUEL DEPOT</t>
  </si>
  <si>
    <t>FOOD FACTORY</t>
  </si>
  <si>
    <t>VEHICLE GARAGE</t>
  </si>
  <si>
    <t>TIMBER PROCESSING</t>
  </si>
  <si>
    <t>HARDWARE</t>
  </si>
  <si>
    <t>PG INDUSTRIES</t>
  </si>
  <si>
    <t>FACTORY</t>
  </si>
  <si>
    <t>WAREHOUSE</t>
  </si>
  <si>
    <t>OFFICES</t>
  </si>
  <si>
    <t>OFFICES &amp; WORKSHOP</t>
  </si>
  <si>
    <t>FREIGHT BUSINESS</t>
  </si>
  <si>
    <t>7 PARK ROAD</t>
  </si>
  <si>
    <t>WHOLESALE</t>
  </si>
  <si>
    <t>CONSTRUCTION</t>
  </si>
  <si>
    <t>SHOP</t>
  </si>
  <si>
    <t>RESIDENTIAL</t>
  </si>
  <si>
    <t>MANUFACTURING</t>
  </si>
  <si>
    <t>POWER STATION</t>
  </si>
  <si>
    <t xml:space="preserve">WAREHOUSE </t>
  </si>
  <si>
    <t xml:space="preserve">MANUFACTURING </t>
  </si>
  <si>
    <t>NYAKAMETE INDUSTRIAL SITES</t>
  </si>
  <si>
    <t>MEAT PROCESSING</t>
  </si>
  <si>
    <t>GLASS FACTORY</t>
  </si>
  <si>
    <t>UNDEVELOPED</t>
  </si>
  <si>
    <t>GRAIN DEPOT</t>
  </si>
  <si>
    <t>NO ACCESS</t>
  </si>
  <si>
    <t>FUEL STATION &amp;WORKSHOP</t>
  </si>
  <si>
    <t>COFFEE PROCESSING</t>
  </si>
  <si>
    <t>VEHICLE ASSEMBLING</t>
  </si>
  <si>
    <t>NRZ ADMINSTRATION SECTION</t>
  </si>
  <si>
    <t>Waiting Shed- Steel columns under an inverted ridge roof of steel trusses, covered with corrugated iron sheets. Zinc gutters and down pipes, granolithic floors.</t>
  </si>
  <si>
    <t>Toilet- Brick wall, plastered and painted internally under a mono pitched roof of timber beams, covered with corrugated iron sheets. Steel door and window frames. Cement screed floors.</t>
  </si>
  <si>
    <t>NRZ BAR SECTION</t>
  </si>
  <si>
    <t>NRZ RESIDENTIAL SECTION</t>
  </si>
  <si>
    <t>6 DURBAN ROAD</t>
  </si>
  <si>
    <t xml:space="preserve"> Guard Office- Built of internally plastered and painted face brick walls, under a mono-pitched roof of timber beams and purlins , covered with IBR  sheets, steel door and window frames,granolithic flooring.</t>
  </si>
  <si>
    <t>Office Building- Built of plastered and painted brick wall under a gabled roof of timber trusses covered with trafford asbestos sheets coverings, board ceiling. Steel framed and glazed windows,steel framed doors with wooden doors, parquet floor tiles. Accommodates offices.</t>
  </si>
  <si>
    <t>STAFF ACCOMMODATION</t>
  </si>
  <si>
    <t>Staff House 1- Built of plastered and painted brick wall under a gabled roof of timber trusses covered with trafford asbestos sheets coverings, board ceiling. Steel framed and glazed windows,steel framed doors with wooden doors, parquet floor tiles. Accommodates 3 bedrooms.</t>
  </si>
  <si>
    <t>Staff House 2- Built of plastered and painted brick wall under a gabled roof of timber beams covered with corrugated asbestos sheets coverings, board ceiling. Steel framed and glazed windows,steel framed doors with wooden doors, cement screed floors. Accommodates 1 bedrooms.</t>
  </si>
  <si>
    <t>Hall- Built of plastered and painted brick wall under a gabled roof of timber beams covered with corrugated asbestos sheets coverings, board ceiling. Steel framed and glazed windows,steel framed doors with wooden doors, cement screed floors. Accommodates hall.</t>
  </si>
  <si>
    <t>Toilet Block- Built of plastered and painted brick wall under a gabled roof of timber beams covered with corrugated asbestos sheets coverings, cement screed floors. Accommodates ladies toilets.</t>
  </si>
  <si>
    <t>Toilet Block- Built of plastered and painted brick wall under a gabled roof of timber beams covered with corrugated asbestos sheets coverings, cement screed floors. Accommodates gents toilets.</t>
  </si>
  <si>
    <t>WATER DIVISION OFFICE</t>
  </si>
  <si>
    <t>ABBATTOIR</t>
  </si>
  <si>
    <t>PANEL BEATING</t>
  </si>
  <si>
    <t>SHOPPING MALL</t>
  </si>
  <si>
    <t>SUB OF 11394</t>
  </si>
  <si>
    <t>RAILWAY STATION &amp; WORKSHOPS</t>
  </si>
  <si>
    <r>
      <rPr>
        <sz val="11"/>
        <color indexed="8"/>
        <rFont val="Calibri"/>
        <family val="2"/>
      </rPr>
      <t>Boundary Walling</t>
    </r>
    <r>
      <rPr>
        <sz val="11"/>
        <color indexed="8"/>
        <rFont val="Calibri"/>
        <family val="2"/>
      </rPr>
      <t>-Fenced 4 sides with a 1.8m diamond mesh fence.</t>
    </r>
  </si>
  <si>
    <t>MUNENI HEAVY INDUSTRY</t>
  </si>
  <si>
    <t>Shed-Steel tubular poles with corrugated iron sheets cladding under a mono-pitched roof of steel beams and purlins with corrugated iron sheets coverings, concrete floor.</t>
  </si>
  <si>
    <t xml:space="preserve">Car Port Shed- Steel tubular poles under a canvas roofing, earth floors. </t>
  </si>
  <si>
    <t xml:space="preserve">Gas filling Shed- Steel tubular poles under a gabled roof of steel beams with I.B.R.  Roof coverings,cement screed floors. </t>
  </si>
  <si>
    <t>Shed 1-Steel tubular poles under a gabled roof of steel trusses and purlins with I.B.R. roof coverings, concrete screed floor.</t>
  </si>
  <si>
    <t>Shed 2-Steel tubular poles under a gabled roof of steel trusses and purlins with I.B.R. roof coverings, concrete screed floor.</t>
  </si>
  <si>
    <t>Shed3 -Steel tubular poles under a gabled roof of steel trusses and purlins with I.B.R. roof coverings, concrete screed floor.</t>
  </si>
  <si>
    <t>Shed 4-Steel tubular poles under a gabled roof of steel trusses and purlins with I.B.R. roof coverings, concrete screed floor.</t>
  </si>
  <si>
    <t>Shed- Steel tubular poles with corrugated iron sheets. cladding walls under a mono-pitched roof of  timber beams and purlins covered by corrugated iron sheets  coverings, concrete floors.</t>
  </si>
  <si>
    <t>Carports-tubular steel poles under a mono pitched roof of steel trusses and  purlins covered by trafford asbestos sheets,granolithic floors.</t>
  </si>
  <si>
    <t>Shed-tubular steel poles under a mono pitched roof of timber trusses and purlins covered by IBR sheets,and gravel floors.</t>
  </si>
  <si>
    <t>Tyre Shed- Steel tubular poles under a gabled roof of mono-pitched roof of timber trusses and purlins with trafford asbestos sheets coverings, cement screed floors.</t>
  </si>
  <si>
    <t>Shed-tubular steel poles under a mono pitched  timber purlins  and IBR sheets roof over cement screed floors.</t>
  </si>
  <si>
    <t>Carport-tubular timber poles under a mono pitched  timber purlins with corrugated asbestos sheets covering,and gravel floors.</t>
  </si>
  <si>
    <t>Storage  Shed- Steel tubular poles fenced  under a mono pitched roof of timber beams with I.B.R, sheets coverings. It has steel framed door and window frames, cement screed floors.</t>
  </si>
  <si>
    <t>Carport- tubular steel poles under a mono pitched  timber  and corrugated asbestos sheets roof over gravel floors.</t>
  </si>
  <si>
    <t>Car Port Shed-Steel tubular poles  under a mono-pitched roof of timber beams and purlins with I.B.R. roof coverings, concrete floor.</t>
  </si>
  <si>
    <t>Lean to shed-tubular steel stanchions under corrugated asbestos sheets roof over concrete floors.</t>
  </si>
  <si>
    <t>Car Shed-Steel tubular poles under a mono-pitched roof of steel beams  with corrugated asbestos sheets coverings, earth floor.</t>
  </si>
  <si>
    <t>Shed-tubular steel poles under a duo pitched roof of timber trusses with corrugated asbestos sheets covering, with granolithic floors.</t>
  </si>
  <si>
    <t>Guard room- Single storey structure of plastered and painted brick wall under a mono-pitched roof of timber beams and purlins with corrugated asbestos sheets coverings,plaster board ceiling, galvanised gutters and down pipes, steel framed windows and glazed, cement screed floors.</t>
  </si>
  <si>
    <t>Fuel Tank- 900 000 litres</t>
  </si>
  <si>
    <t>Fuel Tank- 80 000 litres</t>
  </si>
  <si>
    <t>Car Shed-Steel tubular poles under a mono-pitched roof of timber beams with corrugated iron sheets roof coverings. Concrete floors. Accommodates 7 Bays.</t>
  </si>
  <si>
    <t>Car Shed-Steel tubular poles under a mono-pitched roof of timber beams with corrugated iron sheets roof coverings. Concrete floors. Accommodates 4 Bays.</t>
  </si>
  <si>
    <t>Car Shed-Steel tubular poles under a mono-pitched roof of timber beams with corrugated iron sheets roof coverings. Concrete floors. Accommodates 6 Bays.</t>
  </si>
  <si>
    <t>Car Shed 1-Steel tubular poles under a mono-pitched roof of timber beams with corrugated iron sheets roof coverings. Concrete floors. Accommodates 4 Bays.</t>
  </si>
  <si>
    <t>Car Shed 2-Steel tubular poles under a mono-pitched roof of timber beams with corrugated iron sheets roof coverings. Concrete floors. Accommodates 4 Bays.</t>
  </si>
  <si>
    <t>Car Shed 3-Steel tubular poles under a mono-pitched roof of timber beams with corrugated iron sheets roof coverings. Concrete floors. Accommodates 4 Bays.</t>
  </si>
  <si>
    <t>Car Shed 4-Steel tubular poles under a mono-pitched roof of timber beams with corrugated iron sheets roof coverings. Concrete floors. Accommodates 4 Bays.</t>
  </si>
  <si>
    <t>Car Shed-Treated timber  poles under a mono-pitched roof of timber beams with corrugated asbestos sheets roof coverings. Concrete floors. Accommodates 7 Bays.</t>
  </si>
  <si>
    <t>Car Shed-Steel tubular poles under a mono-pitched roof of timber beams with corrugated asbestos sheets roof coverings. Concrete floors. Accommodates 9 Bays.</t>
  </si>
  <si>
    <t>Car Shed-Steel tubular poles under a mono-pitched roof of timber beams with corrugated iron sheets roof coverings. Concrete floors. Accommodates 5 Bays.</t>
  </si>
  <si>
    <t>Car Shed-Steel tubular poles under a mono-pitched roof of timber beams with corrugated iron sheets roof coverings. Concrete floors. Accommodates 2 Bays.</t>
  </si>
  <si>
    <t xml:space="preserve">Chesis Shed-Steel tubular poles under a gabled roof of steel beams with corrugated iron sheets roof coverings. Concrete floors. </t>
  </si>
  <si>
    <t>Car Shed-Steel tubular poles under a mono-pitched roof of timber beams with corrugated asbestos sheets roof coverings. Earth floor.</t>
  </si>
  <si>
    <t>Car Shed-Steel tubular poles under a mono-pitched roof of timber beams with corrugated asbestos sheets roof coverings. Concrete floors. Accommodates 8 Bays.</t>
  </si>
  <si>
    <t>Car Shed-Treated timber  poles under a mono-pitched roof of timber beams with corrugated asbestos sheets roof coverings. Concrete floors. Accommodates 8 Bay.</t>
  </si>
  <si>
    <t>Car Shed-Treated timber  poles under a mono-pitched roof of timber beams with corrugated asbestos sheets roof coverings. Concrete floors. Accommodates 4 Bays.</t>
  </si>
  <si>
    <t xml:space="preserve">Car Port Shed- Steel columns poles under a mono-pitched roof of timber beams and purlins covered by corrugated asbestost sheets coverings, earth floors. </t>
  </si>
  <si>
    <t xml:space="preserve">Car Port Shed- Steel tubular poles under a mono-pitched roof of timber beams and purlins covered by trafford asbestos sheets coverings, concrete floors. </t>
  </si>
  <si>
    <t>Shed- timber tubular poles under monopitched roof of timber purlins with trafford asbestos sheet coverings. Earth floor.</t>
  </si>
  <si>
    <t>Carport- timber tubular poles under monopitched roof of timber purlins with corrugated asbestos sheet coverings. Concrete floor accommodating 4 vehicles.</t>
  </si>
  <si>
    <t>Carport- timber tubular poles under monopitched roof of timber purlins with corrugated asbestos sheet coverings. Earth floor accommodates 1 vehicle.</t>
  </si>
  <si>
    <t xml:space="preserve">Shed 2- steel stanchions under monopitched roof of timber purlins with corrugated iron sheet coverings. Concrete floors. </t>
  </si>
  <si>
    <t>Fuel tanks - petrol 1,1 million. Metal vertical surface tank</t>
  </si>
  <si>
    <t>Fuel tanks -diesel 2 million. Metal vertical surface tank</t>
  </si>
  <si>
    <t>BORDER TIMBERS</t>
  </si>
  <si>
    <t xml:space="preserve">Warehouse- brick walls under  gabled roof of corrugated asbestos sheet coverings sheets on steel trusses. Concrete floors. Accommodates warehouse, storerooms, toilets, kitchen, 2 offices on the mezzanine floor with bison board ceiling and suspended wood strip floors. </t>
  </si>
  <si>
    <t>Staff Quarters- Brick walls cem washed under gabled roof of timber trusses with corrugated asbestos sheet coverings. Zinc gutters. Cement screed floors. Accommodates rooms.</t>
  </si>
  <si>
    <t>Workshop- steel stanchions with corrugated iron sheet cladding under gabled roof of steel trusses with corrugated iron sheet coverings. Concrete floors. Accommodates 3 inspection pits.</t>
  </si>
  <si>
    <t>Shed- steel stanchions under gabled roof of steel trusses with corrugated iron sheet coverings. Concrete floors.</t>
  </si>
  <si>
    <t>Garage- part brick walls  and stone work under gabled roof of timber trusses with IBR sheet coverings. Cement screed floors. Accommodates 4 vehicles.</t>
  </si>
  <si>
    <t>Workshop- steel stanchions with IBR cladding and part brick walls under gabled roof of steel trusses with corrugated asbestos sheet coverings. Board ceiling. Ceramic and cement screed floors. Accommodates workshop, changing rooms, toilets with water closets and full height ceramic wall cladding.</t>
  </si>
  <si>
    <t xml:space="preserve">Mill Shed- steel stanchions with diamond mesh wire cladding, part brick walls under gabled roof of steel trusses with corrugated asbestos sheet coverings and long eves. Concrete floors. </t>
  </si>
  <si>
    <t>Workshop- steel stanchions with corrugated asbestos sheet cladding under gabled roof of steel trusses with corrugated iron sheet coverings. Concrete floors. Accommodates workshop and 4 offices.</t>
  </si>
  <si>
    <t>Production Warehouse- double volume structure of steel stanchions with corrugated iron sheet cladding under gabled roof of steel trusses with corrugaed iron sheet coverings. Concrete floors.</t>
  </si>
  <si>
    <t>Maintance Block- double volume structure of steel stanchions with corrugated asbestos sheet cladding, part wood cabin under gabled roof of timber trusses and beams with corrugated iron sheet coverings. Concrete floors.</t>
  </si>
  <si>
    <t>Ablution Block- Brick walls cem washed under gabled roof of timber trusses with corrugated asbestos sheet coverings. Cement screed floors. Accommodates squat type toilets, bathrooms with shower points.</t>
  </si>
  <si>
    <t>Log Cabin Shed- Timber tubular poles with wood strip cladding under gabled roof of timber trusses with corrugated iron sheet coverings. Concrete floors.</t>
  </si>
  <si>
    <t>Shed- steel tubular poles with under gabled roof of timber trusses with corrugaed iron sheet coverings. Concrete floors.</t>
  </si>
  <si>
    <t>Main Canteen- Brick walls plastered and painted under gabled roof of timber trusses with corrugated iron sheet coverings. Pine wood ceiling. Cement screed floors. Accommodates dining, kitchen with half ceramic wall cladding.</t>
  </si>
  <si>
    <t xml:space="preserve">Garage- Brick walls  half height cem washed corrugated asbestos cladding on upper walls of timber poles under gabled roof of timber trusses with corrugated iron sheet coverings. Cement screed floors. </t>
  </si>
  <si>
    <t xml:space="preserve">Shed- timber poles under gabled roof of timber trusses with corrugated asbestos sheet coverings. Cement screed floors. </t>
  </si>
  <si>
    <t>Main Canteen- Brick walls plastered and painted under gabled roof of timber trusses with corrugated iron sheet coverings. Board wood ceiling. Vinyl tile floors. Accommodates dining, kitchen with half ceramic wall cladding, walk-in pantry double stainless steel sink and fitted stove.</t>
  </si>
  <si>
    <t xml:space="preserve">Shed 1- Steel columns cladded with corrugated asbestos sheets under a gabled roof of steel beams with corrugated asbestos sheets coverings, granolithic floors.   </t>
  </si>
  <si>
    <t xml:space="preserve">Shed 2- Treated timber poles under a gabled roof of timber trusses with corrugated asbestos sheets coverings, granolithic floors.   </t>
  </si>
  <si>
    <t>Office Building 1- Single storey structure constructed of plastered and painted brick wall under a gabled roof of timber trusses with corrugated asbestos sheets coverings,pine ceiling board, It has steel framed door and window frames, cement screed floors. It accommodates offices.</t>
  </si>
  <si>
    <t>Office Building 2- Single storey structure constructed of plastered and painted brick wall under a gabled roof of timber trusses with corrugated asbestos sheets coverings. It has steel framed door and window frames, cement screed floors. It accommodates offices.</t>
  </si>
  <si>
    <t>Office Building 3- Single storey structure constructed of plastered and painted brick wall under a gabled roof of timber trusses with corrugated asbestos sheets coverings,plaster board ceiling. It has steel framed door and window frames, cement screed floors. It accommodates offices.</t>
  </si>
  <si>
    <t>Office Building 1- Single storey structure constructed of plastered and painted brick wall under a gabled roof of timber trusses with corrugated asbestos sheets coverings,bison board ceiling ,galvanized gutters and down pipes. It has steel framed door and window frames, cement screed floors. It accommodates offices.</t>
  </si>
  <si>
    <t>Kiosk- Brick wall, plastered and painted under a gabled roof of timber trusses, covered with corrugated iron sheets. Steel door and window frames. Cement screed floors.</t>
  </si>
  <si>
    <t>Locker Rooms- Built of face brick wall, plastered and painted inside, under a gabled roof of timber trusses and board ceiling, covered with corrugated iron sheets. Zinc gutters and down pipes. Steel door and window frames. Cement screed floors .</t>
  </si>
  <si>
    <t>Substation Building- Built of face brick wall, plastered and painted inside, under a gabled roof of timber trusses and board ceiling, covered with corrugated asbestos sheets. Zinc gutters and down pipes. Steel door and window frames. Cement screed floors .</t>
  </si>
  <si>
    <t>Bar Building- Built of face brick wall, plastered and painted inside, under a gabled roof of timber trusses and board ceiling, covered with corrugated iron sheets. Zinc gutters and down pipes. Steel door and window frames. Cement screed floors .</t>
  </si>
  <si>
    <t>Toilet Building- Built of face brick wall, plastered and painted inside, under a gabled roof of timber trusses and board ceiling, covered with corrugated iron sheets. Zinc gutters and down pipes. Steel door and window frames. Cement screed floors .</t>
  </si>
  <si>
    <t>Kichen Shed- Plastered and painted  brick wall under a mono-pitched roof of  timber purlins covered with corrugated asbetos sheets roof coverings. Window frames are of steel, glazed , cement screed floors.</t>
  </si>
  <si>
    <t>Boundary Walling- 2 meter high plastered and painted brick wall on 1 side.</t>
  </si>
  <si>
    <t xml:space="preserve">Area sqm       </t>
  </si>
  <si>
    <t xml:space="preserve"> Gantry Shed  -A tripple volume Steel framed structure cladded with Industrial corrugated asbestos sheets under a duo-pitched  roof of steel beams , covered with corrugated asbestos sheets, steel door and window frames, cement screed flooring.</t>
  </si>
  <si>
    <t>Storeroom (1)- cement blocks, plastered and painted, under a mono-pitched roof of timber trusses, covered with corrugated asbestos sheets, cement screed floors.</t>
  </si>
  <si>
    <t>Offices block (2)- common bricks, plastered and painted, under a mono-pitched roof of timber trusses, covered with corrugated asbestos sheets, cement screed floors.</t>
  </si>
  <si>
    <t>Weigh bridge house- cement blocks, plastered and painted, under a mono-pitched roof of timber trusses, covered with corrugated asbestos sheets, cement screed floors.</t>
  </si>
  <si>
    <t xml:space="preserve">Shed- steel stanchions with brick infilll plastered and painted under monopitched roof of steel trusses with corrugated iron sheet coverings. Concrete floors. Accommodates storerooms and garage. </t>
  </si>
  <si>
    <t>Warehouse- Steel framed structure, face brick infilll, part corrugated iron sheets cladding, under a duo pitched roof of steel trusses covered with corrugated iron sheets. Pvc gutters and downpipes. Granolithic floors.</t>
  </si>
  <si>
    <t>Admin Block-  brick pillars with brick infilll walls plastered and painted, part with corrugated asbestos cladding under gabled roof of timber and steel trusses with corrugated iron sheet coverings. Board ceiling. Zinc gutters and down pipes. Carpeted, cement screed and parquet floor tiles. Accommodates offices and showroom.</t>
  </si>
  <si>
    <t xml:space="preserve">Warehouse-  steel stanchions with brick infilll walls and corrugated iron sheet cladding under gabled roof of steel trusses with corrugated iron sheet coverings. Cement screed floors. </t>
  </si>
  <si>
    <t>Main Building- Double storey structure, constructed of concrete pillars, face brick infilll, plastered and painted inside, under a gabled roof of timber trusses, timber fascia boards, covered with concrete tiles. Steel door and window frames. Brick slate floor tiles. Accommodates offices.</t>
  </si>
  <si>
    <t>Shed- Double volume wooden frame, cement block infill 2 sides, asbestos sheets cladding one side and diamond mesh fence one side, under a gabled roof of timber trusses covered with corrugated asbestos sheets. Zinc gutters and downpipes. Granolithic floors.</t>
  </si>
  <si>
    <t>Warehouse 1- Double volume reinforced concrete columns, brick infill, plastered and painted, under a gabled roof of timber trusses covered with corrugated asbestos sheets. Steel window frames. Double volume steel doors. Rough concrete floor finish.</t>
  </si>
  <si>
    <t xml:space="preserve">Main Building-Double volume steel frame with brick infill, painted, under a duo pitched roof of steel trusses covered with corrugated asbestos sheets. Steel door and window frames, fitted with roll up shatter doors and glass panes respectively. Ceramic floor tiles and granolithic floor finish. accommodates warehouse and offices. </t>
  </si>
  <si>
    <t xml:space="preserve">Warehouse 2- Steel framed structure with part brick infill and part corrugated asbestos sheets cladding, under a duo pitched roof of timber trusses covered with corrugated asbestos sheets. Steel window frames. Granolithic floors. </t>
  </si>
  <si>
    <t xml:space="preserve">Outbuilding 2- Steel framed structure with brick infill under a duo pitched roof of timber trusses, covered with corrugated asbestos sheets. Zinc gutters and downpipes. Steel window frames. Granolithic floors. </t>
  </si>
  <si>
    <t>Admin Block-  brick pillars with brick infilll walls plastered and painted  under a hipped roof of timber trusses with Trafford asbestos sheet coverings. Board ceiling. Zinc gutters and down pipes. Vinyl floor tiles. Accommodates offices and toilets.</t>
  </si>
  <si>
    <t>Main Workshop-  steel stanchions with brick infilll walls and corrugated iron sheet cladding under a gabled roof of steel trusses with corrugated iron sheet coverings.  Zinc gutters and down pipes. Concrete screed floors. Accommodates offices, inspection pit and workshop space.</t>
  </si>
  <si>
    <t>Warehouse-  steel stanchions with brick infilll walls and corrugated iron sheet cladding under cap dutch roof of steel trusses with corrugated iron sheet coverings.  Zinc gutters and down pipes. Cement screed floors. Accommodates dimoundable offices and warehouse.</t>
  </si>
  <si>
    <t xml:space="preserve">Workshop Shed- Double volume structure, timber poles with cement blocks infilll under a gabled roof of timber beams with corrugated asbestos sheets coverings, granolithic floors.   </t>
  </si>
  <si>
    <t>Factory Shed- Double volume reinforced concrete pillars, brick infill, plastered and painted, under a saw tooth roof of steel trusses covered with IBR sheets. Zinc gutters and downpipes. Granolithic floors.</t>
  </si>
  <si>
    <t xml:space="preserve">Shed 2- Steel frame, brick infill and IBR cladding, under a dome shaped roof of steel beams, covered with corrugated asbestos sheets. Zinc gutters and downpipes. </t>
  </si>
  <si>
    <t>Workshop- Double volume steel frame, brick infill and asbestos cladding, plastered and painted inside, under a duo pitched roof of steel trusses covered with corrugated asbestos sheets. Steel door and window frames. Accpmmodates workshop and mezzanine floors.</t>
  </si>
  <si>
    <t xml:space="preserve">Workshop-Double volume steel frame structure, part brick infill, plastered ,under a duo pitched roof of steel trusses, covered with corrugated asbestos sheets. Steel door and window frames on the office section. </t>
  </si>
  <si>
    <t>Storeroom- Double volume reinforced concrete pillars, face brick infill, plastered and painted, under a duo pitched roof of concrete pillars covered with traffold asbestos sheets. Granolithic floors.</t>
  </si>
  <si>
    <t>Workshop- Wooden frames, cement block infill, part asbestos sheets cladding, under a duo pitched roof of timber trusses, covered with corrugated asbestos sheets. Granolithic floors.</t>
  </si>
  <si>
    <t xml:space="preserve">Workshop- Double volume steel frame structure, with 1.8 cement blocks infill, part asbestos sheets cladding, under a duo pitched roof of steel trusses covered with corrugated asbestos sheets. Steel door and window frames, granolithic floors. </t>
  </si>
  <si>
    <t>Workshop shed- Double volume steel frame,  brick infill under a part duo, part mono pitched roof of steel trusses covered with corrugated asbestos sheets. Steel door and window frames. Granolithic floors. 8 x inspection pits.</t>
  </si>
  <si>
    <t>Workshop shed- Double volume steel frame,  brick infill under a saw tooth roof of steel trusses covered with corrugated asbestos sheets. Steel window frames. Cement screed floors.</t>
  </si>
  <si>
    <t>Main Building- Double volume steel framed structure, with face brick infill, under a gabled roof of steel trusses covered with corrugated asbestos sheets. Steel window frames, double volume steel doors. Granolithic floors. Accommodates workshop.</t>
  </si>
  <si>
    <t>Workshop- Double volume reinforced concrete pillars, cement blocks infill, plastered and painted inside under a gabled roof of timber trusses covered with corrugated asbestos sheets. Steel door and window frames. Granolithic floors.</t>
  </si>
  <si>
    <t>Warehouse- Double volume steel frame, cement blocks infill, part asbestos cladding, under a duo pitched roof of steel trusses, covered with corrugated asbestos sheets. Zinc gutters and downpipes. Steel door and window frames. Cement screed floors.</t>
  </si>
  <si>
    <t xml:space="preserve">Main Building- Double volume steel frame structure, brick infill,plastered, under a duo pitched roof of steel trusses covered with corrugated asbestos sheets. Steel window frames. Cement screed floors. Needs finishes. </t>
  </si>
  <si>
    <t>Workshop- Double volume wooden frame, cement blocks infill, plastered and painted, under a duo pitched roof of timber trusses, covered with corrugated asbestos sheets. Steel window frames. Double steel door. Cement screed floors.</t>
  </si>
  <si>
    <t>Workshop shed 2- Double volume steel frame structure,part asbestos cladding part brick infill, plastered and painted, under a duo pitched roof of steel trusses, covered with corrugated asbestos sheets. Steel door and window frames. Cement screed floors.</t>
  </si>
  <si>
    <t>Perimeter fence- Fenced 4 sides with a 1.8m diamond mesh fence.</t>
  </si>
  <si>
    <t>Warehouse 1- Double volume steel framed with corrugated asbestos sheets cladding, under a dome shaped roof of steel trusses, covered with corrugated asbestos sheets. Steel window frames. Granolithic floor finish.</t>
  </si>
  <si>
    <t>Warehouse 3- Double volume brick wall, part corrugated asbestos sheets cladding, under a duo pitched roof of steel trusses covered with corrugated iron sheets. Steel window frames. Granolithic floors.</t>
  </si>
  <si>
    <t>Perimeter fence- Fenced 4 sides with diamond mesh fence.</t>
  </si>
  <si>
    <t>3 INDUSTRIAL ROAD</t>
  </si>
  <si>
    <t>Shed-Timber poles under a monopitched roof of timber beams and purlins with corrugated asbestos sheets covering, earth flooring.</t>
  </si>
  <si>
    <t>Ablution Block- common brickwall  walls plastered and painted under a mono-pitched roof of timber trusses , covered with IBR sheets, cement screed floors.</t>
  </si>
  <si>
    <t>Rest Room- Brick wall plastered and painted under a gabled roof of timber trusses, timber fascia baords and board ceiling, covered with IBR sheets. Steel door and window frames. Cement screed floors. Accommodates bathrooms and rest rooms.</t>
  </si>
  <si>
    <t xml:space="preserve">Guardroom-Brickwall plastered and painted  under monopitched  roof of timber trusses and purlins covered with corrugated asbestos sheets. Cement screed floor. </t>
  </si>
  <si>
    <t xml:space="preserve">Guardroom-Brickwall plastered and painted  under mono pitched  roof of timber trusses and purlins covered with corrugated asbestos sheets. Cement screed floor. </t>
  </si>
  <si>
    <t>Factory Shed-Steel framed  structure cladded with half height corrugated asbestos sheets  wall and part brick wall, under a gabled roof of sreel trusses and purlins with  corrugated asbestos sheets and part sand tile roof coverings . The roof is drained by galvanised gutters and down pipes.  It has steel window frames, glass panelled ,steel framed doors with steel sliding doors. The floors are cement screed floors .</t>
  </si>
  <si>
    <t xml:space="preserve">Guard room- Plastered and painted brick wall under a gabled roof of timber trusses with corrugated asbestos sheets coverings. It has steel door and window frames, glass panelled and buglar barred, cement screed floors. </t>
  </si>
  <si>
    <t xml:space="preserve">Guard Room- Plastered and painted brick wall under a gabled roof of timber beams with corrugated asbestos sheets coverings, board ceiling, steel door and window frames, glass panelled and buglar barred, cement screed floors. </t>
  </si>
  <si>
    <t>Warehouse 1-Part Double Volume and Part  Single volume of face brick , part plastered and painted brick wall with part corrugated asbestos sheets. cladding walls under a North Light roof of steel trusses with trafford sheets coverings, board ceiling.  It has steel door and window frames, glass panelled and baglar barred . The floors are ceramic floor tiles , cement screed floors. The roof is drained by galvanised gutters and down pipes. It accommodates warehouse and offices.</t>
  </si>
  <si>
    <t>Perimeter Boundary- Walled with precast concrete panels.</t>
  </si>
  <si>
    <t>Boundary Walling-The property is walled 4 sides with precast concrete panels.</t>
  </si>
  <si>
    <t>Perimeter wall- precast concrete panels on 3 sides, one side brick wall.</t>
  </si>
  <si>
    <t>Perimeter Boundary- walled 4 sides with a 1.8m precast wall.</t>
  </si>
  <si>
    <t>Perimeter Boundary- 1.8m precast concrete panels 4 sides.</t>
  </si>
  <si>
    <t>Outbuilding- precast concrete panels, under a mono pitched roof of timber beams covered with IBR sheets. Steel door and window frames. Cement screed floors.</t>
  </si>
  <si>
    <t>Office Block- precast concrete panels, under a duo pitched roof of timber trusses covered with corrugated asbestos sheets. Steel door and window frames. Cement screed floors.</t>
  </si>
  <si>
    <t xml:space="preserve">Office Block- precast concrete panels, painted, under a duo pitched roof of timber trusses, asbestos fascia boards and board ceiling, covered with traffold asbestos sheets. Zinc gutters and downpipes. Steel door and window frames. Cement screed floors. </t>
  </si>
  <si>
    <t xml:space="preserve">Office Block 2- precast concrete panels, painted, under a duo pitched roof of timber trusses, asbestos fascia boards and board ceiling, covered with traffold asbestos sheets. Zinc gutters and downpipes. Steel door and window frames. Cement screed floors. </t>
  </si>
  <si>
    <t xml:space="preserve">Office Block 3- precast concrete panels, painted, under a duo pitched roof of timber trusses, asbestos fascia boards and board ceiling, covered with traffold asbestos sheets. Zinc gutters and downpipes. Steel door and window frames. Cement screed floors. </t>
  </si>
  <si>
    <t xml:space="preserve">Office Block 4- precast concrete panels, painted, under a duo pitched roof of timber trusses, asbestos fascia boards and board ceiling, covered with traffold asbestos sheets. Zinc gutters and downpipes. Steel door and window frames. Cement screed floors. </t>
  </si>
  <si>
    <t>Guard House- precast concrete panels, painted, under a mono pitched roof of timber beams, covered with corrugated asbestos sheets. Steel door and window frames. Cement screed floors.</t>
  </si>
  <si>
    <t>Perimeter Boundary- Walled 4 sides with precast concrete panels.</t>
  </si>
  <si>
    <t>Perimeter Boundary- walled with 1.8m precast concrete panels.</t>
  </si>
  <si>
    <t>Perimeter Boundary- 1.8m precast concrete panels.</t>
  </si>
  <si>
    <t>Main Building- precast concrete panels, under a mono pitched roof of timber beams, covered with corrugated asbestos sheets. Steel door and window frames. Cement screed floors.</t>
  </si>
  <si>
    <t>Toilet- precast concrete panels, under a mono pitched roof of timber beams, covered with corrugated asbestos sheets. Steel door and window frame, cement screed floors.</t>
  </si>
  <si>
    <t>Boundary Walling- 1.8meter high , precast concrete panelled with steel sliding gate.</t>
  </si>
  <si>
    <t>Shed-Timber poles under a monopitched roof of steel trusses with corrugated asbestos sheets covering covering, granolithic flooring.</t>
  </si>
  <si>
    <t>Toilet(1)- common brick walls,plastered and painted, under a mono-pitched roof of timber trusses , covered with corrugated iron sheets,cement screed floors.</t>
  </si>
  <si>
    <t>Workshop-  Built of common brick walls,plastered and painted under a mono-pitched roof of timber trusses , covered with corrugated iron sheets,steel door and window frames,cement screed flooring,</t>
  </si>
  <si>
    <t>Boundary wall- precast wall 1.8m high on 4 sides with razor wire, half share.</t>
  </si>
  <si>
    <t>Boundary wall- precast wall 1.8m high on 1 sides, half share.</t>
  </si>
  <si>
    <t>Boundary wall- precast wall 1.8m high on 2 sides half share.</t>
  </si>
  <si>
    <t>Boundary Fencing-2 meter high precast  concrete panelled wall with  a steel sliding gate.</t>
  </si>
  <si>
    <t>Boundary Walling- precast concrete panelled walling 1.8 meter high with steel sliding gate.</t>
  </si>
  <si>
    <t xml:space="preserve">Boundary Walling- 2 meter high precast concrete panelled wall on 3 sides </t>
  </si>
  <si>
    <t>Boundary wall-1.8 metre high precast concrete panels on 3 sides.</t>
  </si>
  <si>
    <t>Ablution Block&amp; Toilet- Single storey structure of plastered and painted precast  wall under a hipped roof of timber trusses and purlins with I.B.R. sheets coverings, steel framed windows and glazed, cement screed floor. Accommodates shower cubicles and water closets .</t>
  </si>
  <si>
    <t>Effluent Plant Shed Ablution - precast concrete panelled wall plastered and painted under a gabled roof of steel trusses and purlins with corrugated asbestos sheets coverings, steel framed windows and glazed, cement screed floors.</t>
  </si>
  <si>
    <t>Carport Shed- precast panel with under mono-pitch roof of timber trusses with corrugated asbestos sheet coverings. Concrete floors.</t>
  </si>
  <si>
    <t>Perimeter Boundary- 1.8 m precast concrete panels with razor wire overhang.</t>
  </si>
  <si>
    <t>Boundary Fencing- 2.4 metres high precast concrete panels with razor wire overhang.</t>
  </si>
  <si>
    <t>Boundary Fencing- precast concrete panels 2 metres high.</t>
  </si>
  <si>
    <t>Boundary Fencing- precast concrete panels 2 metres high on two sides.</t>
  </si>
  <si>
    <t>Boundary Fencing- 1.8 metres high precast concrete panels with razor wire overhang.</t>
  </si>
  <si>
    <t>Boundary Fencing- 1.8 metres high precast concrete panels.</t>
  </si>
  <si>
    <t>Boundary fence-1.8m precast concrete panels walls and gated.</t>
  </si>
  <si>
    <t>Boundary fence-1.8m precast concrete panels on 3 sides with a 2 strand barbed wire overhang and gated.</t>
  </si>
  <si>
    <t>Office-Built of precast concrete panels, under a mono-pitched roof of timber beams and purlins and , covered with corrugated asbestos sheets,steel door and window frames,cement screed floors.</t>
  </si>
  <si>
    <t>Storeroom-Built of precast concrete panels, under a mono-pitched roof of timber beams and purlins and , covered with corrugated asbestos sheets,steel door and window frames,cement screed floors.</t>
  </si>
  <si>
    <t xml:space="preserve">Boundary Fencing-2 meter  high precast concrete panels with a steel sliding gate. </t>
  </si>
  <si>
    <t>Boundar wall-1.8metre precast concrete panels on 1 side.</t>
  </si>
  <si>
    <t>Boundary Fencing- precast concrete panels 1.6 metres high.</t>
  </si>
  <si>
    <t>Ablution Block- Single storey structure of plastered and painted precast  wall under a gabled roof of timber trusses and purlins with corrugated asbestos sheets. sheets coverings,plaster board ceiling, steel framed windows and glazed, cement screed floor. Accommodates shower cubicles and water closets .</t>
  </si>
  <si>
    <t xml:space="preserve">Boundary Fencing-1.8 meter  high precast concrete panels with steel sliding gate. </t>
  </si>
  <si>
    <t>Boundary Fencing-Built of precast concrete panels .</t>
  </si>
  <si>
    <t>Boundary wall- precast wall 2,4m high on 4 sides with razor wire on top half share.</t>
  </si>
  <si>
    <t>Boundary fencing-Fenced with 1.8m precast concrete panels and a metal sliding gate.</t>
  </si>
  <si>
    <t xml:space="preserve">Boundary walling-2 meter precast concrete panelled wall 1 side with a steel sliding gate. </t>
  </si>
  <si>
    <t>Boundary Fencing- 2 metres precast concrete panels.</t>
  </si>
  <si>
    <t xml:space="preserve">Boundary Walling-2 meter precast concrete panelled wall 1 side with a steel sliding gate. </t>
  </si>
  <si>
    <t>Boundary Fencing- 1.8 meter high , precast concrete panelled with steel sliding gate.</t>
  </si>
  <si>
    <t>Boundary Walling- 2meter high , precast concrete panelled with steel sliding gate.</t>
  </si>
  <si>
    <t>Boundary Fencing- 1.8 metres precast concrete panels.</t>
  </si>
  <si>
    <t>Boundary fence-2m precast concrete panel and gated.</t>
  </si>
  <si>
    <t>Factory - A double volume concrete framed structure cladded with common brick  walls,plastered and painted under a mono-pitched roof of steel trusses , covered with corrugated asbestos sheets,steel door and window frames,cement screed flooring,</t>
  </si>
  <si>
    <t>Carport Shed- Treated timber poles under mono-pitch roof of timber trusses with Trafford asbestos sheet coverings. Concrete floors. Accommodates 3 vehicles.</t>
  </si>
  <si>
    <t>Carport Shed- Treated timber poles under mono-pitch roof of timber trusses with corrugated asbestos sheet coverings. Concrete floors. Accommodates 3 vehicles.</t>
  </si>
  <si>
    <t>Shed- steel stanchions under flat roof of steel trusses  with IBR sheet coverings. Part IBR cladding. Concrete floors equipped with 3 inspection pits.</t>
  </si>
  <si>
    <t>Office- Unrendered face brick wall,plastered and painted internally, under a duo-pitched roof of timber trusses , covered with corrugated iron sheets,steel door and window,cement screed floors.</t>
  </si>
  <si>
    <t>Toilet- common brick wall,plastered and painted, under a mono-pitched roof of timber trusses , covered with corrugated iron sheets,cement screed floors.</t>
  </si>
  <si>
    <t>Main Building- common brick wall,plastered and painted under a duo-pitched roof of timber trusses , covered with corrugated asbestos sheets,steel door and window frames,capert tile flooring,</t>
  </si>
  <si>
    <r>
      <t xml:space="preserve">Motor winding Workshop  - A </t>
    </r>
    <r>
      <rPr>
        <b/>
        <sz val="11"/>
        <color indexed="8"/>
        <rFont val="Calibri"/>
        <family val="2"/>
      </rPr>
      <t>low cos</t>
    </r>
    <r>
      <rPr>
        <sz val="11"/>
        <color indexed="8"/>
        <rFont val="Calibri"/>
        <family val="2"/>
      </rPr>
      <t>t Steel framed structure cladded with corrugated iron sheets under a duo-pitched  roof of steel trusses, covered with corrugated asbestos sheets, steel door and window frames, granolithic flooring.</t>
    </r>
  </si>
  <si>
    <t>Shed-Timber poles under a monopitched roof of timber beams and purlins with corrugated asbestos sheets covering covering, earth flooring.</t>
  </si>
  <si>
    <t>Staff quarters- common brick wall, plastered and painted, under a mono-pitched roof of timber trusses, covered with IBR sheets, cement screed floors.</t>
  </si>
  <si>
    <t>Guard House- Cement blocks, painted, under a mono pitched roof of timber beams, covered with corrugated asbestos sheets. Steel door and window frames. Cement screed floors.</t>
  </si>
  <si>
    <t>Ablution Block- common brick wall, plastered and painted, under a mono-pitched roof of timber trusses, covered with IBR sheets, cement screed floors.</t>
  </si>
  <si>
    <t xml:space="preserve">Kosher Room- Internally plastered and painted brick wall under a mono pitched roof of steel beams with corrugated asbestos sheets coverings. It has timber cased door and window frames, glass panelled and buglar barred, cement screed floors. </t>
  </si>
  <si>
    <t xml:space="preserve">Outbuilding 1- Cement blocks, plastered and painted under a mono pitched roof of timber beams, covered with corrugated asbestos sheets. Steel door and window frames. </t>
  </si>
  <si>
    <t>Timber Shed 1- Steel frame, infilled with double volume cement blocks, part asbestos sheets cladding, under a duo pitched roof of steel trusses, covered with corrugated asbestos sheets. Granolihtic floors.</t>
  </si>
  <si>
    <t>Adminstration block -Built of face  brick, under a duo-pitched roof of timber trusses and , covered with Trafford asbestos sheets,steel door and window frames,cement vinyl tile floors.</t>
  </si>
  <si>
    <t>Shed-Concrete framed structure, under a mono-pitched roof of steel trusses with Trafford asbestos sheets covering ,tarmac.</t>
  </si>
  <si>
    <t>Boundary Fencing-Fenced with 1.8m high diamond mesh wire with 3 strand barbed wire overhang.</t>
  </si>
  <si>
    <t>Warehouse-A part double storey  concrete framed structure cladded with Industrial common bricks,plastered and painted, under a duo-pitched roof of steel trusses, covered with IBR,steel door and window frames,cement screed floors.</t>
  </si>
  <si>
    <t>Storeroom- Industrial common bricks,plastered and painted, under a mono-pitched roof of timber trusses, covered with corrugated asbestos sheets,steel door and window frames,cement screed floors.</t>
  </si>
  <si>
    <t>Factory Warehouse -Built of brick columns infilled  with face brick wall and part plastered and cem-washed  brick wall   under a gabled roof of steel trusses and purlins with  corrugated asbestos sheets roof  coverings  ,galvanised gutters and down pipes.  It has steel door  frames with steel sliding doors, cement screed floors.</t>
  </si>
  <si>
    <t>Shed- Built of treated timber poles infilled with 1/2 part brick wall plastered and painted and 1/2 part corrugated asbestos sheets.. Cladding wall under a mono-pitched roof of treated timber poles and beams with corrugated asbestos sheets roof sheets covering, galvanised gutters and down pipes, concrete floors.</t>
  </si>
  <si>
    <t>Warehouse 1- double volume structure constructed of steel columns infilled with IBR sheets walls under a gabled roof of steel trusses and beams with  IBR sheets coverings, steel sliding doors at entrances. The floors are cement screed. The roof is drained by galvanised gutters and down pipes. It accommodates warehouse.</t>
  </si>
  <si>
    <t>Warehouse 2- double volume structure constructed of steel columns infilled with IBR sheets walls under a gabled roof of steel trusses and beams with  IBR sheets coverings, steel sliding doors at entrances. The floors are cement screed. The roof is drained by galvanised gutters and down pipes. It accommodates warehouse.</t>
  </si>
  <si>
    <t>Warehouse 3- double volume structure constructed of steel columns infilled with IBR sheets walls under a gabled roof of steel trusses and beams with  IBR sheets coverings, steel sliding doors at entrances. The floors are cement screed. The roof is drained by galvanised gutters and down pipes. It accommodates warehouse.</t>
  </si>
  <si>
    <t>Warehouse 4- double volume structure constructed of steel columns infilled with IBR sheets walls under a gabled roof of steel trusses and beams with  IBR sheets coverings, steel sliding doors at entrances. The floors are cement screed. The roof is drained by galvanised gutters and down pipes. It accommodates warehouse.</t>
  </si>
  <si>
    <t>Warehouse 5- double volume structure constructed of steel columns infilled with IBR sheets walls under a gabled roof of steel trusses and beams with  IBR sheets coverings, steel sliding doors at entrances. The floors are cement screed. The roof is drained by galvanised gutters and down pipes. It accommodates warehouse.</t>
  </si>
  <si>
    <t>Shed-Steel  frame infilled partly with corrugated iron sheets cladding under a duo pitched roof of steel trusses and  purlins covered by corrugated asbestos sheets, and gravel floors.</t>
  </si>
  <si>
    <t>Shed-Steel  frame infilled partly with corrugated iron sheets cladding under a duo pitched steel truss and corrugated asbestos sheets roof, and rough screed floors.</t>
  </si>
  <si>
    <t>Factory Workshop- Steel frame infilled with part plastered and painted brick wall,part timber cladding and part IBR sheets cladding under a duo pitched roof of steel trusses and  purlins covered by corrugated asbestos sheets, with cement screed floors.</t>
  </si>
  <si>
    <t>Timber Shed- Timber frame, infilled with timber cladding, under a gabled roof of timber trusses, covered with corrugated  asbestos sheets. Granolithic floors.</t>
  </si>
  <si>
    <t xml:space="preserve">Creosote Sludge Shed-Timber frame, infilled with timber cladding, under a gabled roof of timber trusses, covered with corrugated  asbestos sheets. Granolithic floors. </t>
  </si>
  <si>
    <t>Workshop shed-tubular steel stanchions infilled with part  brick  wall and part IBR cladding on two sides with an open front under a duo pitched timber truss and corrugated asbestos sheets over cement screed floors.</t>
  </si>
  <si>
    <t>Warehouse-Part double volume and part double storey concrete columns infilled with  brick wall, under a duo pitched roof of  steel trusses with corrugated asbestos sheets covering,rain gutters and down pipes with ceramic floor tiles.Accomodates workshop floor space.</t>
  </si>
  <si>
    <t>Workshop -Single storey structure constructed of concrete reinforcement columns infilled with  plastered and painted brick wall under a gabled roof of timber trusses and purlins with corrugated asbestos sheets coverings, bison board ceiling , It has steel framed door and window frames, concrete and cement screed  floors. It accommodates offices, workshop and storerooms.</t>
  </si>
  <si>
    <t>Engineers Workshop Building-Built of steel columns structure  infilled with plastered and painted brick walls under north light roof of steel trusses and purlins with trafford asbestos sheets coverings , steel framed and glazed windows , galvanized gutters and down pipes , cement screed floors.</t>
  </si>
  <si>
    <t>Workshop-Concrete walls infilled with brick wall,under a duo pitched timber truss and corrugated asbestos sheets roof,fascia boards,rain water gutters and down pipes with granolithic floors. Accommodates workshop and offices.</t>
  </si>
  <si>
    <t>Workshop Shed and Storeroom -Built of steel tubular poles infilled with half height fabrick wall under a gabled roof of steel trusses and purlins with I.B.R. sheets coverings, steel framed glazed and buglar barred,  cement screed  floors. It accommodates  workshop and storeroom.</t>
  </si>
  <si>
    <t>Workshop-Concrete walls infilled with brick wall,under a saw tooth  roof of steel trusses with corrugated asbestos sheets covering.Accomodates workshop and offices.</t>
  </si>
  <si>
    <t>Outbuilding- Double storey structure constructed of reinforced concrete pillars, infilled with face brick walls, plastered and painted, under a gabled roof of timber trusses covered with corrugated asbestos sheets. Steel window frames, aluminium door entrance. Cement screed floors.</t>
  </si>
  <si>
    <t>Workshop Building-Part double storey and part double volume structure of concrete columns infilled with brick walls under a duo pitched roof of timber trusses and  purlins covered by corrugated asbestos sheets.Accomodates offices and workshop.</t>
  </si>
  <si>
    <t>Workshop Building-Part double storey and part double volume structure of concrete columns infilled with brick walls under a duo pitched timber truss and corrugated asbestos sheets roof. Accommodates offices and workshop.</t>
  </si>
  <si>
    <t>Warehouse-Double volume concrete columns infilled with  brick wall, under a duo pitched roof of timber trusses with corrugated asbestos sheets covering,pine wood  ceiling with cement screed floors.Accomodates offices,warehouse.</t>
  </si>
  <si>
    <t xml:space="preserve">Warehouse Building 2-Built of treated timber poles infilled with part  plastered and painted brick wall and 1/2 part corrugated asbestos sheets. cladding wall under a gabled  of roof of treated  beams and purlins with corrugated asbestos sheets roof  coverings.Galvanised gutters and down pipes   It has steel door and window frames, glass panelled and buglar barred. The floors are cement screed floors. </t>
  </si>
  <si>
    <t>Main Building - Part double storey part double volume concrete columns infilled with brick wall,under a duo-pitched pitched timber truss and corrugated asbestos sheets roof over cement screed floors on ground floor and parquet floors on 1st floor .It accommodates offices and toilets.</t>
  </si>
  <si>
    <t>Shed(1)-A  double volume steel framed structure cladded with corrugated iron sheets, under a duo-pitched roof of steel trusses, covered with corrugated iron  sheets,granolithic flooring.</t>
  </si>
  <si>
    <t>Shed(3)-A  double volume steel framed structure cladded with corrugated iron sheets, under a duo-pitched roof of steel trusses, covered with corrugated iron  sheets,granolithic flooring.</t>
  </si>
  <si>
    <t>Reservoir-Constructed of industrial common bricks plastered and painted under a concrete roof.</t>
  </si>
  <si>
    <t>Boundary  -1.8m diamond meshwire</t>
  </si>
  <si>
    <t>5182, 5183, 5184</t>
  </si>
  <si>
    <t>Pole Sales Office -Wooden structure, under a duo-pitched roof of timber trusses and , covered with corrugated asbestos sheets,steel door and window frames,cement vinyl tile floors.</t>
  </si>
  <si>
    <t xml:space="preserve"> Timber storage Shed (3)-A double volume structure constructed of Timber poles under a duo-pitched roof of timber trusses with IBR sheet covering,concrete flooring.</t>
  </si>
  <si>
    <t>Storeroom(2)-Built of precast concrete panels, under a duo-pitched roof of timber beams and purlins and , covered with corrugated asbestos sheets,steel door and window frames,cement screed flooring floors.</t>
  </si>
  <si>
    <t>Boundary Fencing-Built of precast concrete panels</t>
  </si>
  <si>
    <t>Offices -Built of  common brick bricks,plastered, under a duo-pitched roof of timber trusses  covered with Trafford asbestos sheets ,steel door and window frames, cement screed floors.</t>
  </si>
  <si>
    <t>Workshop -Built of  common brick bricks,plastered, under a duo-pitched roof of timber trusses and , covered with Trafford asbestos sheets,steel door and window frames,cement screed floors.</t>
  </si>
  <si>
    <t>Offices -Built of rustic face brick, under a duo-pitched roof of timber trusses and , covered with Trafford asbestos sheets,steel door and window frames,cement screed floors.</t>
  </si>
  <si>
    <t>Water tanks- 5000lts PVC tank on steel stand.</t>
  </si>
  <si>
    <t>Administration Office Block- Single storey structure Built of part face brick and part brick wall plastered and painted under a gabled roof of timber trusses and purlins covered with corrugated asbestos sheets roof coverings, plaster board ceiling, galvanised gutters and down pipes, steel framed windows glazed and buglar bar proofed,vinly floor tiles.</t>
  </si>
  <si>
    <t>Storeroom- Single storey structure Built of plastered brick wall under a mono-pitched roof of  timber beams and  purlins covered with corrugated asbestos sheets roof coverings, steel framed windows glazed and buglur barrred, cement screed floors.</t>
  </si>
  <si>
    <t>Toilet &amp; Changing Rooms-Single storey structure Built of plastered and cem-washed brick wall under a gabled roof of timber beams covered by corrugated asbestos sheets coverings, steel window frames glazed and buglur barred. It has cement screed floors.</t>
  </si>
  <si>
    <t>Warehouse(1)- A double volume structure Built of common brick wall, plastered and painted under a duo-pitched roof of timber trusses , covered with corrugated asbestos sheets, steel door and window frames, cement screed flooring,</t>
  </si>
  <si>
    <t>Warehouse(2)- A double volume structure Built of common brick wall, plastered and painted under a duo-pitched roof of timber trusses, covered with corrugated asbestos sheets, steel door and window frames,cement screed flooring.</t>
  </si>
  <si>
    <t>Workshop- Part double volume, brick wall, Built of face brick and cement blocks wall, partly plastered and painted, under a gabled roof of a combination of steel and timber trusses covered with corrugated asbestos and iron sheets. Steel door and window frames. Granolithic floors. (Run down and disused).</t>
  </si>
  <si>
    <t>Wholesale Shop- Double volume structure Built of steel pillars infilled with plastered and painted brick wall under a gabled roof of steel trusses and purlins with IBR sheets coverings.  It has steel  window frames, glass panelled , steel sliding doors at entrances. The floors are cement screed. The roof is drained by galvanised gutters and down pipes. It accommodates wholesale shop.</t>
  </si>
  <si>
    <t>Warehouse- Double volume structure Built of steel pillars infilled with plastered and painted brick wall under a gabled roof of timber poles trusses supported by timber beams with corrugated asbestos sheets coverings.  It has steel window frames, glass panelled , steel sliding doors at entrances. The floors are cement screed. The roof is drained by galvanised gutters and down pipes. It accommodates warehouse.</t>
  </si>
  <si>
    <t>Workshop- double volume structure Built of plastered and painted brick wall under a gabled roof of steel trusses and purlins with corrugated asbestos sheets coverings.  It has steel window frames, glass panelled , steel sliding doors at entrances. The floors are granolithic. The roof is drained by galvanised gutters and down pipes. It accommodates wholesale shop.</t>
  </si>
  <si>
    <t>Workshop 1- double volume structure Built of plastered and painted brick wall under a gabled roof of timber trusses and purlins with corrugated asbestos sheets coverings.  It has steel window frames, glass panelled , steel sliding doors at entrances. The floors are granolithic. The roof is drained by galvanised gutters and down pipes. It accommodates workshop.</t>
  </si>
  <si>
    <t>Workshop 2- double volume structure Built of plastered and painted brick wall under a gabled roof of timber trusses and purlins with corrugated iron sheets coverings.  It has steel window frames, glass panelled , steel sliding doors at entrances. The floors are granolithic. The roof is drained by galvanised gutters and down pipes. It accommodates workshop.</t>
  </si>
  <si>
    <t>Workshop Shed- double volume structure Built of steel pilars cladded with corrugated iron sheets under a gabled roof of timber beams with corrugated iron sheets coverings.  It has steel window frames, glass panelled , steel sliding doors at entrances. The floors are granolithic. The roof is drained by galvanised gutters and down pipes. It accommodates workshop shed.</t>
  </si>
  <si>
    <t>Warehouse- double volume structure Built of plastered and painted brick wall under a gabled roof of timber trusses and purlins with corrugated asbestos sheets coverings.  It has steel window frames, glass panelled , steel roller shutter doors at entrances. The floors are granolithic. The roof is drained by galvanised gutters and down pipes. It accommodates warehouse.</t>
  </si>
  <si>
    <t xml:space="preserve">Caretakers House- Single storey Built of plastered and painted brick wall under a gabled roof of timber trusses with corrugated asbestos sheets coverings, board ceiling.  It has steel door and window frames, glass panelled and buglar barred, cement screed floors. The roof is drained by galvanised gutters and down pipes. It accommodates 2 bedroomed house. </t>
  </si>
  <si>
    <t>Workshop 1- double volume structure Built of brick pillars infilled with plastered and painted brick wall under a gabled roof of timber trusses and purlins with corrugated asbestos sheets coverings.  It has steel window frames, glass panelled , steel sliding doors at entrances. The floors are cement screed and ceramic tiles. The roof is drained by galvanised gutters and down pipes. It accommodates workshop.</t>
  </si>
  <si>
    <t>Workshop 2- double volume structure Built of steel pillars infilled with cement block walls under a mono pitched roof of steel trusses and purlins with corrugated asbestos sheets coverings.  It has steel window frames, glass panelled , steel sliding doors at entrances. The floors are cement screed. The roof is drained by galvanised gutters and down pipes. It accommodates workshop.</t>
  </si>
  <si>
    <t>Workshop 3- double volume structure Built of brick pillars infilled with plastered and painted brick wall under a gabled roof of timber trusses and purlins with corrugated asbestos sheets coverings.  It has steel window frames, glass panelled , steel sliding doors at entrances. The floors are cement screed and ceramic tiles. The roof is drained by galvanised gutters and down pipes. It accommodates workshop.</t>
  </si>
  <si>
    <t>Staff Quarters- Single storey structure Built of plastered and painted parapet brick wall under a mono pitched roof of timber trusses with corrugated asbestos sheets coverings, board ceiling.  It has steel door and window frames, glass panelled and buglar barred, cement screed floors. The roof is drained by galvanised gutters and down pipes. It accommodates 2 rooms.</t>
  </si>
  <si>
    <t xml:space="preserve">Warehouse And Boiler Shed- Single storey structure, Built of reinforced concrete columns  infilled with cement blocks cem washed out only corrugated asbestos sheets. under a gabled roof of  steel trusses with corrugated asbestos sheets. sheets  coverings. Galvanised gutters and down pipes   It has steel door and window frames, glass panneled. The floors are cement screed . </t>
  </si>
  <si>
    <t>Laboratory &amp; Warehouse- Built of common brick wall,plastered and painted under a duo-pitched roof of timber trusses , covered with corrugated asbestos sheets,steel door and window frames,cement screed flooring,</t>
  </si>
  <si>
    <t>Factory shop- Built of common brick walls,plastered and painted under a mono-pitched roof of timber trusses , covered with corrugated asbestos sheets,steel door and window frames,cement screed flooring,</t>
  </si>
  <si>
    <t>Workshop 1- double volume structure Built of steel pillars cladded with corrugated iron sheets under a saw toothed roof of steel trusses and purlins with IBR sheets coverings.  It has steel window frames, glass panelled and buglar barred. The floors are cement screed. The roof is drained by galvanised gutters and down pipes. It accommodates workshop.</t>
  </si>
  <si>
    <t>Workshop 2/ Office Block- double volume structure Built of  plastered and painted brick wall under a mono pitched roof of steel trusses and purlins with IBR sheets coverings.  It has steel window frames, glass panelled and buglar barred. The floors are cement screed. The roof is drained by galvanised gutters and down pipes. It accommodates workshop and offices.</t>
  </si>
  <si>
    <t>Workshop Shed 1- double volume structure Built of steel columns cladded with IBR sheets under a gabled roof of steel trusses and purlins with IBR sheets coverings, steel sliding doors at entrance. The floors are cement screed. The roof is drained by galvanised gutters and down pipes. It accommodates workshop shed.</t>
  </si>
  <si>
    <t>Workshop Shed 2- double volume structure Built of steel columns cladded with IBR sheets under a gabled roof of steel trusses and purlins with corrugated asbestos sheets coverings, steel sliding doors at entrance. The floors are cement screed. The roof is drained by galvanised gutters and down pipes. It accommodates workshop shed.</t>
  </si>
  <si>
    <t>Workshop Shed 3- double volume structure Built of steel columns cladded with IBR sheets under a gabled roof of steel trusses and purlins with corrugated asbestos sheets coverings, steel sliding doors at entrance. The floors are cement screed. The roof is drained by galvanised gutters and down pipes. It accommodates workshop shed.</t>
  </si>
  <si>
    <t xml:space="preserve">White House- Single storey structure Built of plastered and painted brick wall under a gabled roof of timber trusses with corrugated asbestos sheets coverings, board ceiling.  It has steel door and window frames, glass panelled and buglar barred, parquet and ceramic tile floors. The roof is drained by galvanised gutters and down pipes. It accommodates a house. </t>
  </si>
  <si>
    <t xml:space="preserve">White House Office- Single storey structure Built of plastered and painted brick wall under a mono pitched roof of timber beams with corrugated asbestos sheets coverings, board ceiling.  It has steel door and window frames, glass panelled and buglar barred, cement screed floors. The roof is drained by galvanised gutters and down pipes. It accommodates a offices. </t>
  </si>
  <si>
    <t>Pulp Shed- double volume structure Built of steel pillars cladded with corrugated iron sheets under a gabled roof of steel beams and purlins with trafford asbestos sheets coverings, granolithic floors. The roof is drained by galvanised gutters and down pipes. It accommodates storage shed.</t>
  </si>
  <si>
    <t xml:space="preserve">Ablution block- Single storey structure Built of plastered and painted brick wall under a gabled roof of timber trusses with corrugated iron sheets coverings.  It has steel door and window frames, glass panelled and buglar barred, cement screed floors. It accommodates a gents and ladies sections. </t>
  </si>
  <si>
    <t xml:space="preserve">Workshop- Single storey structure Built of plastered and painted brick wall under a mono pitched roof of timber beams with corrugated iron sheets coverings. It has steel door and window frames, glass panelled and buglar barred, cement screed floors. The roof is drained by galvanised gutters and down pipes. It accommodates a workshop. </t>
  </si>
  <si>
    <t xml:space="preserve">Warehouse- Single storey double volume structure Built of plastered and painted brick wall under a gabled roof of steel trusses with corrugated iron sheets coverings. It has steel door and window frames, glass panelled and buglar barred, steel sliding door entrance, granolithic floorss. The roof is drained by galvanised gutters and down pipes. It accommodates a warehouse. </t>
  </si>
  <si>
    <t xml:space="preserve">Factory Shop- Single storey double volume structure Built of plastered and painted brick wall under a gabled roof of timber trusses with corrugated asbestos sheets coverings. It has steel door and window frames, glass panelled and buglar barred, steel sliding door entrance, cement screed floors. The roof is drained by galvanised gutters and down pipes. It accommodates a factory shop. </t>
  </si>
  <si>
    <t>Workshop- double volume structure Built of brick pillars infilled with plastered and painted brick wall under a mono pitched roof of steel trusses and purlins with IBR sheets coverings.  It has steel window frames, glass panelled and buglar barred. The floors are cement screed. The roof is drained by galvanised gutters and down pipes. It accommodates 4 bay workshop with lazyman doors.</t>
  </si>
  <si>
    <t>Office Block- Single storey structure Built of external face brick wall under a gabled roof of timber beams and purlins with IBR sheets coverings, board ceiling.  It has steel window frames, glass panelled and buglar barred. The floors are cement screed. The roof is drained by galvanised gutters and down pipes. It accommodates offices.</t>
  </si>
  <si>
    <t>Workshop- double volume structure Built of steel columns cladded with corrugated iron sheets under a gabled roof of steel trusses and purlins with IBR sheets coverings, steel sliding doors at entrance. The floors are granolithic. The roof is drained by galvanised gutters and down pipes. It accommodates workshop.</t>
  </si>
  <si>
    <t xml:space="preserve">Ablution Block- Single storey structure Built of internally plastered face brick wall under a mono pitched roof of timber beams with corrugated asbestos sheets coverings.  It has steel door and window frames, glass panelled and buglar barred, cement screed floors. The roof is drained by galvanised gutters and down pipes. It accommodates male and female toilets. </t>
  </si>
  <si>
    <t xml:space="preserve">Shed 1- double volume structure Built of timber poles under a gabled roof of timber beams with corrugated asbestos sheets coverings, earth floors. </t>
  </si>
  <si>
    <t xml:space="preserve">Shed 2- double volume structure Built of timber poles under a gabled roof of timber beams with corrugated asbestos sheets coverings, earth floors. </t>
  </si>
  <si>
    <t>Workshop 1- double volume structure Built of brick columns infilled with plastered and painted brick wall under a gabled roof of steel trusses and purlins with IBR sheets coverings, steel sliding doors at entrance. The floors are granolithic. The roof is drained by galvanised gutters and down pipes. It accommodates workshop.</t>
  </si>
  <si>
    <t>Workshop Shed- double volume structure Built of brick columns infilled with plastered and painted brick wall under a saw toothed roof of steel trusses and purlins with corrugated asbestos sheets coverings, steel sliding doors at entrance. The floors are granolithic. The roof is drained by galvanised gutters and down pipes. It accommodates workshop.</t>
  </si>
  <si>
    <t xml:space="preserve">Lean to Offices- Single storey structure Built of plastered and painted brick wall under a mono pitched roof of timber trusses with corrugated asbestos sheets coverings, board ceiling.  It has steel door and window frames, glass panelled and buglar barred, cement screed floors. The roof is drained by galvanised gutters and down pipes. It accommodates offices. </t>
  </si>
  <si>
    <t>Workshop Shed- double volume structure Built of plastered and painted brick wall under a gabled roof of timber trusses and purlins with trafford asbestos sheets coverings, steel sliding doors at entrance. The floors are granolithic. The roof is drained by galvanised gutters and down pipes. It accommodates workshop.</t>
  </si>
  <si>
    <t xml:space="preserve">Ablution Block- Single storey structure Built of plastered and painted brick wall under a gabled roof of timber trusses with corrugated asbestos sheets coverings, board ceiling.  It has steel door and window frames, glass panelled and buglar barred, cement screed floors and pvc tile floors. The roof is drained by galvanised gutters and down pipes. It accommodates ladies and gents sections. </t>
  </si>
  <si>
    <t>Workshop 1- double volume structure Built of steel pillars cladded with corrugated asbestos sheets under a saw toothed roof of steel trusses and purlins with corrugated asbetsos sheets coverings.  It has steel window frames, glass panelled and buglar barred, steel sliding door at entrance. The floors are granolithic. The roof is drained by galvanised gutters and down pipes. It accommodates workshop.</t>
  </si>
  <si>
    <t>Workshop 2- Single storey structure Built of steel pillars infilled with brick wall under a saw toothed roof of steel trusses and purlins with corrugated asbetsos sheets coverings.  It has steel window frames, glass panelled and buglar barred, steel sliding door at entrance. The floors are granolithic. The roof is drained by galvanised gutters and down pipes. It accommodates workshop.</t>
  </si>
  <si>
    <t>Workshop Shed- double volume structure Built of steel poles under a mono pitched roof of steel beams and purlins with IBR sheets coverings, granolithic floors. It accommodates workshop shed.</t>
  </si>
  <si>
    <t>Staff House-A semi-detached structure Built of common bricks,plastered and painted, under a duo-pitched roof of timber beams , covered with corrugated asbestos sheets,steel door and window frames,cement screed floors.</t>
  </si>
  <si>
    <t>Conductors Office- Single storey structure Built of plastered and painted brick wall under a gabled roof of timber trusses with corrugated asbestos sheets coverings, board ceiling.  It has steel door and window frames, glass panelled and buglar barred, cement screed floors.</t>
  </si>
  <si>
    <t>Tuckshop- Single storey structure Built of plastered and painted brick wall under a gabled roof of timber trusses with corrugated asbestos sheets coverings, board ceiling.  It has steel door and window frames, glass panelled and buglar barred, cement screed floors.</t>
  </si>
  <si>
    <t>Canteen- Single storey structure Built of plastered and painted brick wall under a gabled roof of timber trusses with corrugated asbestos sheets coverings, board ceiling.  It has steel door and window frames, glass panelled and buglar barred, cement screed floors.</t>
  </si>
  <si>
    <t>Workshop- Double volume structure Built of steel poles infilled with plastered and painted brick wall under a gabled roof of steel trusses with corrugated iron sheets coverings.  It has steel window frames with glass panes, cement screed floors. It accommodates workshop.</t>
  </si>
  <si>
    <t>Storeroom: Single storey structure Built of plastered and painted brick wall under a mono pitched roof of timber trusses with corrugated iron sheets coverings, board ceiling.  It has steel door and window frames, glass panelled and buglar barred, cement screed floors.</t>
  </si>
  <si>
    <t xml:space="preserve">Changing Rooms- Single storey structure Built of common brick wall under a gabled roof of timber beams with corrugated asbestos sheets coverings, board ceiling.  It has steel door and window frames, glass panelled and buglar barred, cement screed floors. The roof is drained by galvanised gutters and down pipes. It accommodates changing rooms and bathrooms. </t>
  </si>
  <si>
    <t>Workshop Shed- double volume structure Built of steel colimns under a gabled roof of steel beams and purlins with corrugated asbestos sheets coverings, cement screed floors. It accommodates workshop.</t>
  </si>
  <si>
    <t xml:space="preserve">Office Block- Single storey structure Built of plastered and painted brick wall under a gabled roof of timber trusses with IBR sheets coverings, board ceiling.  It has steel door and window frames, glass panelled and buglar barred, cement screed floors. The roof is drained by galvanised gutters and down pipes. It accommodates offices. </t>
  </si>
  <si>
    <t>Ablution Block- Single storey structure Built of plastered and painted brick wall under a gabled roof of timber trusses with IBR sheets coverings, board ceiling.  It has steel door and window frames, glass panelled and buglar barred, cement screed floors. The roof is drained by galvanised gutters and down pipes. It accommodates gents and ladies toilets.</t>
  </si>
  <si>
    <t xml:space="preserve">Changing Rooms- Single storey structure Built of plastered and painted brick wall under a gabled roof of timber trusses with IBR sheets coverings, board ceiling.  It has steel door and window frames, glass panelled and buglar barred, cement screed floors. The roof is drained by galvanised gutters and down pipes. </t>
  </si>
  <si>
    <t xml:space="preserve">Staff Quarters- Single storey structure Built of plastered and painted brick wall under a gabled roof of timber beams with corrugated asbestos sheets coverings, board ceiling.  It has steel door and window frames, glass panelled and buglar barred, cement screed floors. The roof is drained by galvanised gutters and down pipes. </t>
  </si>
  <si>
    <t>Central stores warehouse-Double volume structure Built of plastered and painted brick wall under a gabled roof of timber trusses and  purlins covered by corrugated asbestos sheets,bison board ceiling,rain gutters and down pipes,with  vinyl floors.</t>
  </si>
  <si>
    <t>Maintanance block offices- Part double storey Built of concrete brick wall  under a gabled roof of timber trusses and  purlins covered by corrugated asbestos sheets,fascia boards,steel door and window frames with cement screed floors.</t>
  </si>
  <si>
    <t>Warehouse-Double volume Built of cement brick  wall at roof level.</t>
  </si>
  <si>
    <t>Staff House Type 3- Semi-detached house Built of plastered and painted brick wall under a gabled roof of timber beams covered with corrugated asbestos sheets coverings, board ceiling. Steel framed and glazed windows,steel framed doors with wooden doors, cement screed floors. Accommodates 8 semi detached rooms.</t>
  </si>
  <si>
    <t>Staff House Type 4- Semi-detached house Built of plastered and painted brick wall under a gabled roof of timber beams covered with corrugated asbestos sheets coverings, board ceiling. Steel framed and glazed windows,steel framed doors with wooden doors, cement screed floors. Accommodates 8 semi detached rooms.</t>
  </si>
  <si>
    <t>Staff House Type 5- Semi-detached house Built of plastered and painted brick wall under a gabled roof of timber beams covered with corrugated asbestos sheets coverings, board ceiling. Steel framed and glazed windows,steel framed doors with wooden doors, cement screed floors. Accommodates 8 semi detached rooms.</t>
  </si>
  <si>
    <t>Staff House Type 6- Semi-detached house Built of plastered and painted brick wall under a gabled roof of timber beams covered with corrugated asbestos sheets coverings, board ceiling. Steel framed and glazed windows,steel framed doors with wooden doors, cement screed floors. Accommodates 8 semi detached rooms.</t>
  </si>
  <si>
    <t>Staff House Type 7- Semi-detached house Built of plastered and painted brick wall under a gabled roof of timber beams covered with corrugated asbestos sheets coverings, board ceiling. Steel framed and glazed windows,steel framed doors with wooden doors, cement screed floors. Accommodates 8 semi detached rooms.</t>
  </si>
  <si>
    <t>Workshop- double volume structure Built of brick columns infilled with plastered and painted brick wall under a gabled roof of timber trusses with corrugated asbestos sheets coverings, steel sliding doors at entrance. The floors are granolithic. The roof is drained by galvanised gutters and down pipes. It accommodates workshop and offices.</t>
  </si>
  <si>
    <t>Shed (1) X 2-Double Volume structure Built of reinforced concrete columns under a mono-pitched roof of concrete beams with I.B.R. sheets coverings, concrete floor.</t>
  </si>
  <si>
    <t>Workshop Extension- Single storey structure Built of plastered and painted brick walls under a gabled roof of timber trusses and beams with corrugated asbestos sheets coverings, board ceiling. The floors are cement screed. It accommodates workshop.</t>
  </si>
  <si>
    <t>Workshop- Single storey structure Built of steel frame cladded with corrugated iron sheets under a gabled roof of steel trusses with corrugated asbestos sheets coverings. The floors are granolithic. It accommodates workshop.</t>
  </si>
  <si>
    <t>Workshop 2- double volume structure Built of concrete columns infilled with plastered and painted brick wall on two sides under a gabled roof of conrete columns and beams with corrugated asbestos sheets coverings. The floors are granolithic. It accommodates workshop.</t>
  </si>
  <si>
    <t xml:space="preserve"> Workshop- Built of common bricks,plastered and painted, under a mono-pitched roof of steel trusses , covered with corrugated asbestos  sheets,steel door and window frames,granolithic flooring.</t>
  </si>
  <si>
    <t>Fuel Attendant's Office- Built of common bricks,plastered and painted, under a mono-pitched roof of timber beams and purlins , covered with corrugated asbestos  sheets,steel door and window frames,cement screed flooring.</t>
  </si>
  <si>
    <t>Guard House- Built of common bricks,plastered and painted, under a mono-pitched concrete roof ,steel door and window frames,cement screed flooring.</t>
  </si>
  <si>
    <t>Site Office- Single storey structure Built of plastered and painted brick wall under a mono-pitched roof of timber beams  with corrugated iron sheets coverings.  It has steel window frames, glass panelled and buglar barred, cement screed floors.  It accommodates 2 rooms .</t>
  </si>
  <si>
    <t>Workshop-A steel framed double volume structure Built of Industrial common bricks,cladded with corrugated asbestos sheets , under a duo-pitched roof of steel trusses , covered with IBR sheets,steel door ,granolithic  floors.</t>
  </si>
  <si>
    <t>Garage-  Built of common bricks,plastered and painted, under a duo-pitched roof of timber trusses , covered with corrugated asbestos sheets,steel door and window frames,granolithic flooring.</t>
  </si>
  <si>
    <t>Workshop (2)- Built of common bricks,plastered and painted, under a duo-pitched roof of timber trusses , covered with corrugated asbestos sheets,steel door and window frames,granolithic flooring.</t>
  </si>
  <si>
    <t>Workshop Shed- An incomplete structure Built of treated timber poles under a gabled roof of treated timber beams with partially corrugated iron sheet roof covering  at roof level. Concrete floor.</t>
  </si>
  <si>
    <t>Workshop Shed- Single storey structure Built of brick pillars under a gabled roof of timber trusses with  corrugated asbestos sheets coverings, granolithic floors.</t>
  </si>
  <si>
    <t>Sales Office- Single storey structure Built of plastered and painted brick wall under a mono pitched roof roof of timber trusses and purlins with corrugated asbestos sheets coverings, board ceiling. It has steel door and window frames, glass panelled and buglar barred, cement screed floors. It accommodates offices.</t>
  </si>
  <si>
    <t>Workshop Shed- double volume structure Built of steel poles under a gabled roof of timber trusses with  corrugated asbestos sheets coverings, granolithic floors. It accommodates workshop.</t>
  </si>
  <si>
    <t>Workshop- double volume structure Built of timber poles cladded with corrugated iron sheets under a gabled roof of treated timber poles with  corrugated asbestos sheets coverings, steel sliding doors at entrance. The floors are granolithic. It accommodates workshop.</t>
  </si>
  <si>
    <t>lean to Ablution Block- Single storey structure Built of plastered and painted brick wall under a mono pitched roof of timber beams with corrugated asbestos sheets coverings. It needs finishes.</t>
  </si>
  <si>
    <t>Workshop- double volume structure Built of brick columns infilled with plastered and painted brick wall under a gabled roof of timber trusses and purlins with  corrugated iron sheets coverings, steel door and window frames, glass panelled and buglar barred steel sliding doors at entrance. The floors are granolithic. The roof is drained by galvanised gutters and down pipes. It accommodates workshop.</t>
  </si>
  <si>
    <t>Workshop- double volume structure Built of brick wall under a saw tooth roof of timber trusses with  corrugated asbestos sheets coverings, steel sliding doors at entrance. The floors are granolithic. It accommodates workshop.</t>
  </si>
  <si>
    <t>Workshop- double volume structure Built of plastered brick wall under a mono pitched roof of timber trusses with  corrugated asbestos sheets coverings, steel sliding doors at entrance. The floors are granolithic. It accommodates workshop.</t>
  </si>
  <si>
    <t>Workshop- double volume structure Built of plastered brick wall under a gabled roof of timber trusses with corrugated asbestos sheets coverings, concrete floors.</t>
  </si>
  <si>
    <t>Administration Offices- Single storey structure Built of plastered and painted brick wall under a gabled roof of timber trusses and purlins with corrugated asbestos sheets  coverings, board ceiling.  It has steel window frames, glass panelled and buglar barred. The floors are of ceramic tiles . The roof is drained by galvanised gutters and down pipes. It accommodates classrooms and offices.</t>
  </si>
  <si>
    <t>Changing rooms- Single storey structure Built of plastered brick wall under a mono pitched roof of timber beams with corrugated asbestos sheets coverings. It has steel door and window frames, glass panelled and buglar barred, cement screed floors. It accommodates changing rooms.</t>
  </si>
  <si>
    <t>Workshop- double volume structure Built of timber poles under a gabled roof of timber beams with IBR sheets coverings, granolithic floors.</t>
  </si>
  <si>
    <t>Workshop- double volume structure Built of brick columns infilled with plastered and painted brick wall under a mono pitched roof of timber trusses and purlins with  corrugated asbestos sheets coverings, steel sliding doors at entrance. The floors are granolithic. The roof is drained by galvanised gutters and down pipes. It accommodates workshop.</t>
  </si>
  <si>
    <t>Ablution Block- Single storey structure Built of plastered and painted brick wall under a mono pitched roof of timber beams with corrugated asbestos sheets coverings. It has steel door and window frames, glass panelled and buglar barred, cement screed floors. The roof is drained by galvanised gutters and down pipes. It accommodates toilets and changing rooms.</t>
  </si>
  <si>
    <t>Changing Room- Single storey structure Built of plastered and painted brick wall under a mono pitched roof of timber beams with corrugated asbestos sheets coverings. It has steel door and window frames, glass panelled and buglar barred, cement screed floors. The roof is drained by galvanised gutters and down pipes. It accommodates storeroo  and changing room.</t>
  </si>
  <si>
    <t>Ablution block-  Built of common bricks,plastered and painted, under a mono-pitched roof of timber beams and purlins , covered with corrugated asbestos sheets,steel door and window frames,granolithic flooring.</t>
  </si>
  <si>
    <t>Test Bay-  Built of common bricks,plastered and painted, under a mono-pitched roof of timber beams and purlins , covered with corrugated asbestos sheets,steel door and window frames,granolithic flooring.</t>
  </si>
  <si>
    <t>Waden's Office- Built of common bricks,plastered and painted, under a mono-pitched roof of timber beams and purlins , covered with corrugated iron  sheets,steel door and window frames,granolithic flooring.</t>
  </si>
  <si>
    <t>PPC Office - Built of common bricks,plastered and painted, under a mono-pitched roof of timber beams and purlins , covered with corrugated iron  sheets,steel door and window frames,granolithic flooring.</t>
  </si>
  <si>
    <t xml:space="preserve"> Offices- Built of common bricks,plastered and painted, under a mono-pitched roof of timber beams and purlins , covered with corrugated iron  sheets,steel door and window frames,granolithic flooring.</t>
  </si>
  <si>
    <t>Transformer house-  Built of industrial common bricks,plastered and painted, under a duo-pitched roof of timber trusses , covered with IBR sheets,steel door and window frames,granolithic flooring.</t>
  </si>
  <si>
    <t>Industrial Workshop-Part double volume and part double storey structure Built of concrete columns infilled with brick wall,plastered inside under a saw tooth  roof of  steel trusses with corrugated asbestos sheets covering,,rain gutters and down pipes,steel door and window frames  with part parquet floor tiles and cement screed floors.Accomodates workshop on the ground floor,offices and toilets in the 1st floor.</t>
  </si>
  <si>
    <t>Main Building -Built of common  brick, under a duo-pitched roof of timber trusses and , covered with corrugated asbestos sheets,steel door and window frames,cement screed floors.</t>
  </si>
  <si>
    <t>Main Building-Single storey structure Built of plastered and painted brick wall,  under a gabled roof of timber trusses and purlins with corrugated asbestos sheets  coverings, board ceiling.  It has steel window frames, glass panelled and buglar barred. The floors are cement screed and ceramic tiles. The roof is drained by galvanised gutters and down pipes. Accommodates offices, toilets and  canteen.</t>
  </si>
  <si>
    <t>Main Building- A double storey Built of common brick wall,plastered and painted under a duo-pitched roof of timber trusses , covered with corrugated asbestos sheets,steel door and window frames,cement screed flooring,</t>
  </si>
  <si>
    <t>Main Building- brick walls plastered and painted under monopitched roof of timber trusses with corrugated asbestos and iron sheet coverings. Zinc gutters. Cement screed floors. Accommodates 1 big office, mini grocery shop, garage, male and female toilets with water closets, wash hand basins and urinary.</t>
  </si>
  <si>
    <t>Main Building-Brick wall, plastered and painted under a gabled roof of timber trusses, covered with IBR sheets. Steel door and window frames. Granolithic floors. Accommodates workshop.</t>
  </si>
  <si>
    <t xml:space="preserve">Main Building- Single storey structure Built of plastered and painted brick wall under a mono pitched roof of timber trusses and purlins with IBR sheets coverings, board ceiling.  It has steel window frames, glass panelled and buglar barred. The floors are cement screed, ceramic tiles and stone slates. The roof is drained by galvanised gutters and down pipes. It accommodates shop, offices and showroom. </t>
  </si>
  <si>
    <t>Main Building-A double volume structure Built of Industrial common bricks,plastered and painted, under a duo-pitched roof of timber trusses , covered with IBR sheets,steel door and window frames,cement screed floors.</t>
  </si>
  <si>
    <t>Main Building- Double storey structure Built of reinforced concrete pillars, face brick infill, plastered and painted inside, under a gabled roof of timber trusses,timber fascia boards and board ceiling, covered with IBR sheets. Zinc gutters and downpipes. Vinyl floor tiles. Accommodates offices.</t>
  </si>
  <si>
    <t>Main Building- Single storey structure Built of plastered and painted brick wall under a gabled roof of timber trusses with corrugated asbestos sheets coverings, board ceiling.  It has steel door and window frames, glass panelled and buglar barred, cement screed floors. (Locked based on estimates)</t>
  </si>
  <si>
    <t>Main Building- Single storey structure Built of brick columns infilled with plastered and painted brick wall under a gabled roof of timber trusses with corrugated asbestos sheets coverings, board ceiling.  It has steel door and window frames, glass panelled and buglar barred, ceramic floor tiles. (Locked based on estimates)</t>
  </si>
  <si>
    <t>Main Building-Cement brick wall, under a mono pitched  timber truss and corrugated asbestos sheets roof ,fascia boards incomplete structure.</t>
  </si>
  <si>
    <t>Main Building-Part double volume and part double storey concrete columns infilled with  brick wall, under a duo pitched roof of  steel trusses with corrugated asbestos sheets covering,rain gutters and down pipes with ceramic floor tiles.Accomodates offices,toilets and workshop floor space.</t>
  </si>
  <si>
    <t>Main Building- Double storey structure Built of facebrick walls, plastered and painted, under a hipped roof of timber trusses and board ceiling, covered with corrugated asbestos sheets. Steel door and window frames. Cement screed floors. Accommodates offices.</t>
  </si>
  <si>
    <t>Main Building- Part double volume structure, Built of brick wall, plastered and painted under a gabled roof of timber trusses, timber fascia boards, covered with corrugated asbestos sheets. Steel door and window frames. Granolithic floors. 1 x inspection pit. Accommodates workshop.</t>
  </si>
  <si>
    <t>Main Building- double volume structure Built of plastered brick wall under a saw tooth roof of steel trusses and beams with corrugated asbestos sheets coverings. Steel sliding doors on steel door frames, granolithic floors. It accommodates offices.</t>
  </si>
  <si>
    <t xml:space="preserve">Main Building- double volume structure of brick columns infilled brick walls plastered under gabled roof of corrugated asbestos sheets on timber trusses. Down pipes. Cement screed floors. steel window and door frames. Accommodates receptions, offices, workshop and toilets. </t>
  </si>
  <si>
    <t>Main Building- double volume of brick walls plastered and painted under a gabled roof of timber trusses with corrugated asbestos sheet covers. Cement screed floors. Accommodates warehouse, reception, offices and toilets with water closets.</t>
  </si>
  <si>
    <t>Main Building- brick walls plastered and painted internally under monopitched roof of timber trusses with IBR sheet covers. Concrete and cement screed floors. Accommodates 3 office oil milling factory and toilets.</t>
  </si>
  <si>
    <t>Main Building-Part double volume  structure Built of cement block wall  under a duo pitched roof of timber trusses and purlins covered with corrugated asbestos sheets,board ceiling in some parts,steel door and window frames with cement screed floors.Accomodates 6 offices,toilets and workshop.</t>
  </si>
  <si>
    <t>Main Building- Single storey structure Built of plastered and painted parapet brick wall under a gabled roof of timber trusses and purlins with sand tiles , pine ceiling  board.  It has steel window frames, glass panelled and buglar barred. The floors are stone slates and ceramic tiles. The roof is drained by galvanised gutters and down pipes. It accommodates offices .</t>
  </si>
  <si>
    <t>Main Building- Single storey structure Built of face brick wall part plastered and painted brick wall under a gabled roof of timber trusses and purlins with corrugated asbestos sheets coverings, board ceiling.  It has steel window frames, glass panelled and buglar barred. The floors are parquert ,cement screed floors . The roof is drained by galvanised gutters and down pipes. It accommodates offices.</t>
  </si>
  <si>
    <t>Main Building- Footing level, farm brick.</t>
  </si>
  <si>
    <t>Main Building- Double storey structure Built of plastered and painted parapet brick wall under a  mono-pitched roof of steel trusses and purlins with I.B.R. sheets coverings, board ceiling.  It has  steel window frames, glass panelled and buglar barred. The floors are cement screed . It accommodates offices.</t>
  </si>
  <si>
    <t>Main Building- Parapet brick wall, plastered and painted under a mono pitched roof of timber beams, covered with corrugated asbestos sheets. Steel door and window frames. Granolithic floors. Accommodates workshop.</t>
  </si>
  <si>
    <t>Main Building- Single storey structure Built of plastered  brick wall under a gabled roof of timber trusses and purlins with I.B.R sheets coverings.  It has steel window frames, glass panelled and buglar barred. The floors are cement screed floors. The roof is drained by galvanised gutters and down pipes. It accommodates  offices ad toilets.</t>
  </si>
  <si>
    <t>Main Building-   Brick wall,plastered and painted under a gabled roof of timber trusses and  purlins covered by corrugated asbestos sheets,with cement screed floors.Accomodates  workshop,offices.</t>
  </si>
  <si>
    <t>Workshop- Double volume brick wall, plastered and painted, under a mono pitched roof of timber trusses and beams, covered with corrugated asbestos sheets. Steel door and window frames. Granolithic floors.</t>
  </si>
  <si>
    <t>OutBuilding- Steel frame, brick infill, plastered and painted, under a duo pitched roof of steel and timber trusses, timber fascia boards and board ceiling, covered with corrugated asbestos sheets. Steel window frames. Granolithic floors.</t>
  </si>
  <si>
    <t>Admin Offices- Single storeyBuilding of brick walls under gabled roof of timber trusses and purlins with corrugated asbestos sheet coverings. steel window and door frames. Zinc gutters and down pipes. Bison board ceiling. Vinyl floor tiles. Accommodates reception, 2 offices, storeroom ladies and gents toilets with water closets .</t>
  </si>
  <si>
    <t>Admin Offices-  brick walls under gabled roof of timber trusses with IBR sheet coverings. Board ceiling. Zinc gutters and down pipes. Ceramic cement screed and parquet floor tiles. Accommodates 4 offices, kitchen, toilets with water closets and urinary. TheBuilding is air conditioned.</t>
  </si>
  <si>
    <t>Sales Department Offices- double volumeBuilding of steel stanchions and brick columns with brick infilll walls under gabled roof of steel and timber trusses with corrugated iron sheet coverings. Ceramic floor tiles in the offices and concrete floors on the rest. Accommodates customer service area, offices, warehouse storerooms and loading bay.</t>
  </si>
  <si>
    <t>Old Milling Department- part double storey and single storeyBuilding of brick columns with brick infilll, plastered and painted internally under gabled roof of timber trusses with corrugated iron sheets. Zinc gutters. Ceramic and parquet floor tiles. Accommodates offices and milling.</t>
  </si>
  <si>
    <t>Silo Department- 4 storeyBuilding of brick columns with brick infilll, plastered and painted under monopitched  roof of steel trusses with IBR sheet coverings. Cement screed floor tiles. Accommodates silos and machinery.</t>
  </si>
  <si>
    <t xml:space="preserve">Administration  OfficeBuilding -Single storey structure  Built of  plastered and painted  brick walls under a gabled roof of steel trusses and purlins with corrugated asbestos sheets roof coverings, galvanised gutters and down pipes, plaster board ceiling , steel framed and glazed windows. Floors are ceramic floor tiles, parquert floor tiles . </t>
  </si>
  <si>
    <t>Fire AssemblyBuilding- Single storey structure of plastered  brick wall under a mono-pitched roof of timber beams and purlins with corrugated asbestos sheets coverings, steel framed windows ,and glazed, cement screed floors.</t>
  </si>
  <si>
    <t xml:space="preserve">Administration &amp; CanteenBuilding -Single storey stuctureBuilding Built of reinforced columns infilled with face brick and part plastered and painted  brick walls under a mono-pitched  roof of steel beams and purlins with  I.B.R. roof coverings, galvanised gutters and down pipes, plaster board ceiling ,steel framed and glazed windows. Floors are ceramic floor tiles, fitted carpets. </t>
  </si>
  <si>
    <t>Compressor RoomBuilding -Single storey stuctureBuilding Built of  plastered and painted brick walls under a mono-pitched roof of timber purlins  with  corrugated asbestos sheets roof coverings, galvanised gutters and down pipes,steel framed and glazed window frames, cement screed floors.</t>
  </si>
  <si>
    <t>Pump Service WorkshopBuilding- Single storey structure Built of plastered and painted brick walls  gabled  roof of timber trusses and purlins covered with corrugated asbestos sheet coverings, galvanised gutters and down pipes,steel framed ,and glazed windows, steel framed doors with steel sliding doors, cement screed floors.</t>
  </si>
  <si>
    <t>WarehouseBuilding- Double Volume structure  Built of steel reinforced columns infilled with 1/2 height plastered and painted brick walls and 1/2 height  corrugated asbestos sheets cladding under a North- Light roof of steel trusses  and purlins with corrugated asbestos sheet coverings.The roof is drained by galvanised gutters and down pipes.  It has steel framed and glazed windows, cement screed floors.</t>
  </si>
  <si>
    <t>Power HouseBuilding- Single storey structure Built of plastered and painted brick walls under a  gabled  roof of timber trusses and purlins covered with corrugated asbestos sheet sheets coverings, galvanised gutters and down pipes, plaster board ceiling,steel framed , and glazed windows, steel framed doors with wooden  doors, cement screed floors.</t>
  </si>
  <si>
    <t>Fire PumpBuilding  - Single storey structure Built of plastered and painted brick walls under a  gabled  roof of timber trusses and purlins covered with corrugated asbestos sheet sheet coverings, galvanised gutters and down pipes, steel framed, and glazed windows, steel framed doors with wooden  doors, concrete screed floors.</t>
  </si>
  <si>
    <t>MillBuilding/ Warehouse and offices -3 Storey stuctureBuilding Built of brick wall plastered and painted  under a gabled roof of steel trusses and purlins with  corrugated asbestos sheets roof coverings, galvanised gutters and down pipes,steel framed, glazed window frames, concrete ceiling on the ground and second floors plaster board ceiling on the third floors of theBuilding.  Floors are of suspended wooden floor,  concrete floors in the warehouse. Accommodates Mill,Warehouse and offices.</t>
  </si>
  <si>
    <t>Office BlockBuilding -Single storey stuctureBuilding Built of brick plastered and painted  walls under a gabled roof of steel trusses and purlins with  corrugated asbestos sheets roof coverings, galvanised gutters and down pipes,steel framed and glazed window frames, vinly floor tiles.Building</t>
  </si>
  <si>
    <t>Weigh BridgeBuilding - Single storey structure Built of part face brick and part brick wall plastered and painted under a mono-pitched roof of timber trusses and purlins covered with corrugated asbestos sheets roof coverings, plaster board ceiling, galvanised gutters and down pipes, seel framed windows glazed and buglar bar proofed,cement screed floors.</t>
  </si>
  <si>
    <t>CanteenBuilding-single storeyBuilding Built of plastered and painted  brick wall under a gabled roof of timber trusses and purlins with corrugated asbestos sheets roof covering,plaster board ceiling, galvanised gutters and  down pipes,steel framed and glazed window and cement screed floors.</t>
  </si>
  <si>
    <t>Admin Offices- Single storeyBuilding of brick walls under hipped roof of timber trusses and purlins with corrugated asbestos sheet coverings. steel window and door frames. Zinc gutters and down pipes. Bison board ceiling. Carpeted and vinyl floors. Accommodates reception, 7 offices, kitchen, ladies and gents toilets with water closets .</t>
  </si>
  <si>
    <t>Admin Offices- Single storeyBuilding of brick walls under hipped roof of timber trusses and purlins with corrugated asbestos sheet coverings. steel window and door frames. Ceramic floor tiles. Accommodates reception, 6 offices, board room, kitchen and toilets.</t>
  </si>
  <si>
    <t>Front Offices 3-Single storeyBuilding of part face brick walls plastered and painted under concrete flat roof. steel window and door frames. Ceramic floor tiles. Accommodates offices, kitchen and toilets.</t>
  </si>
  <si>
    <t>WarehouseBuilding- Steel framed structure with part corrugated iron sheets cladding walls and part brick walls cem-washed under a gabled  roof of steel trusses and purlins covered with corrugated iron sheets roof coverings. The roof is drained by galvanised gutters and down pipes. Steel framed doors with steel sliding doors, concrete floors.</t>
  </si>
  <si>
    <t>Sales And Administration OfficeBuilding- Single storey structure constructed of plastered and painted brick wall under a gabled roof of timber trusses and purlins covered  with corrugated asbestos sheets coverings, galvanised gutters and down pipes ,plaster board ceiling  steel door frames with wooden doors,  window frames glazed and buglar barred,, cement screed floors and vinyl floor finishing. Acccommodates Offices and Toilets.</t>
  </si>
  <si>
    <t>Workers Quarters Building- Single storey structure constructed of plastered and painted brick wall under a mono pitched roof of timber beams with corrugated asbestos sheets coverings. It has wooden door and window frames, cement screed floors.</t>
  </si>
  <si>
    <t>Central StoresBuilding-Built of steel framed structure with corrugated iron sheet cladding walls under a Cap Dutch roof of steel trusses and purlins covered by corrugated asbestos sheets roof coverings.It has steel framed doors and windows. Floors are of concrete floor finishings.</t>
  </si>
  <si>
    <t>Factory WarehouseBuilding- Part double volume and part single volume structure Built of reinforced concrete beams and columns infilled with 1/2 height face brick wall, and 1/2 height corrugated asbestos sheets cladding under a Dutch capped roof of steel trusses and purlins with corrugated asbestos sheets roof coverings .  It has steel window frames, glass panelled and buglar barred. The floors are concrete floor finish. The roof is drained by galvanised gutters and down pipes. It accommodates a warehouse.</t>
  </si>
  <si>
    <t>OfficesBuilding- Single storey structure constructed of plastered and painted brick wall under a mono pitched roof of timber beams with corrugated iron sheets roof coverings. It has wooden door and window frames, cement screed floors. It accommodates 2 rooms.</t>
  </si>
  <si>
    <t>OfficeBuilding(1)- Built of common brick wall,plastered and painted under a duo-pitched roof of timber trusses , covered with corrugated asbestos sheets,steel door and window frames,cement screed flooring.</t>
  </si>
  <si>
    <t>OfficeBuilding(2)- Built of common brick wall, plastered and painted under a duo-pitched roof of timber trusses, covered with corrugated asbestos sheets, steel door and window frames, cement screed flooring.</t>
  </si>
  <si>
    <t>FactoryBuilding- A double volume structure Built of common brick wall, plastered and painted under a mono-pitched roof of timber trusses, covered with corrugated asbestos sheets, steel door and window frames, cement screed flooring.</t>
  </si>
  <si>
    <t>FactoryBuilding(2)- A steel framed structure cladded with common brick wall, plastered and painted under a mono-pitched roof of timber trusses, covered with corrugated asbestos sheets, steel door and window frames, cement screed flooring.</t>
  </si>
  <si>
    <t>EnquiriesBuilding- Brick wall, painted, under a duo pitched roof of timber trusses covered with corrugated iron sheets. Wooden door frames, steel window frames. Cement screed floors.</t>
  </si>
  <si>
    <t>OfficeBuilding- Single storey structure Built of plastered and painted brick wall under a gabled  roof of trusses and purlins with corrugated asbestos sheets. sheets coverings, plaster board ceiling.  It has steel door and window frames, glass panelled and buglar barred. The floors are cement screed. The roof is drained by galvanised gutters and down pipes. It accommodates  offices.</t>
  </si>
  <si>
    <t xml:space="preserve">Factory WarehouseBuilding-Steel poles cladded with I.B.R. sheets under a gabled roof of steel trusses and purlins with corrugated asbestos sheets sheets  coverings.Galvanised gutters and down pipes   It has steel door and window frames, glazed  and buglar barred. The floors are cement screed floors. </t>
  </si>
  <si>
    <t xml:space="preserve"> WarehouseBuilding-Part Double Volume and part double storeyBuilding which comprises of Steel reinforcement columns cladded with I.B.R. sheets under a gabled and part face brick wall plastered and painted inside under a north light roof of steel trusses and purlins with IBR  sheets  coverings. Galvanised gutters and down pipes   It has steel door and window frames, glazed  and buglar barred. The floors are cement screed floors. </t>
  </si>
  <si>
    <t>AdministrationBuilding-3  storey structure Built of reinforcement concrete columns infilled with face brick wall, plastered and painted  inside under a gabled roof of timber trusses and purlins covered with sand tiles, concrete staircorrugated asbestos sheetse with wooden hand rails and steel bullustrates.The roof is drained by galvanised gutters and down pipes, bison board ceiling.  It has steel door and window frames, glass panelled. The floors are fitted with parquert floor tiles and vinaly tiles carpets . It accommodates offices.</t>
  </si>
  <si>
    <t>WarehouseBuilding-Built of steel framed structure cladded with I.B.R. sheets under a gabled roof of steel trusses and purlins with corrugated asbestos sheets roof coverings. Cement screed floors</t>
  </si>
  <si>
    <t xml:space="preserve">FactoryBuilding- Single storey structure Built of plastered and painted brickwalls under a gabled roof of timber trusses and purlins with I.B.R. roof coverings.Plaster board ceiling,steel framed and glazed windows and doors.,cement screed floors. </t>
  </si>
  <si>
    <t xml:space="preserve">LaboratoryBuilding- Single storey structure Built of plastered and painted brickwalls under a gabled roof of timber trusses and purlins with trafford roof coverings. Plaster board ceiling,steel framed and glazed windows and doors.,cement screed floors. </t>
  </si>
  <si>
    <t xml:space="preserve">ToiletBuilding - Single storey structure constructed of painted brick wall under a mono pitched roof of timber beams with corrugated asbestos sheets coverings. It has steel framed, glazed  window frames, cement screed floors. </t>
  </si>
  <si>
    <t xml:space="preserve">StoreroomBuilding - Single storey structure constructed of painted brick wall under a mono pitched roof of timber beams with corrugated asbestos sheets coverings. It has steel framed, glazed  window frames, cement screed floors. </t>
  </si>
  <si>
    <t>WarehouseBuilding (1)- Industrial common brick walls,plastered and painted under a duo-pitched  roof of timber trusses , covered with corrugated asbestos sheets,steel door and window frames,cement screed flooring,</t>
  </si>
  <si>
    <t>WarehouseBuilding(2)- Industrial common brick walls, plastered and painted under a duo-pitched  roof of timber trusses, covered with corrugated asbestos sheets, steel door and window frames, cement screed flooring,</t>
  </si>
  <si>
    <t xml:space="preserve">AdministrationBuilding- Single storey structure Built of plastered and painted brick wall under a gabled roof of timber trusses with corrugated asbestos sheets coverings, board ceiling.  It has steel door and window frames, glass panelled and buglar barred, cement screed and ceramic tile floors. The roof is drained by galvanised gutters and down pipes. It accommodates offices. </t>
  </si>
  <si>
    <t xml:space="preserve">OfficeBuilding- Single storey structure Built of plastered and painted brick wall under a mono pitched roof of timber beams with corrugated asbestos sheets coverings.  It has steel window frames, glass panelled and buglar barred, cement screed floors. The roof is drained by galvanised gutters and down pipes. It accommodates offices. </t>
  </si>
  <si>
    <t xml:space="preserve">AdministrationBuilding- Single storey structure Built of plastered and painted brick wall under a mono pitched roof of timber trusses with corrugated asbestos sheets coverings, board ceiling.  It has steel door and window frames, glass panelled and buglar barred, cement screed and ceramic tile floors. The roof is drained by galvanised gutters and down pipes. It accommodates offices. </t>
  </si>
  <si>
    <t xml:space="preserve">OutBuilding- double volume structure Built of plastered and painted brick wall under a gabled roof of timber trusses with corrugated asbestos sheets coverings.  It has steel door and window frames, glass panelled and buglar barred, cement screed floors. The roof is drained by galvanised gutters and down pipes. It accommodates offices. </t>
  </si>
  <si>
    <t xml:space="preserve">AdministrationBuilding- Single storey structure Built of plastered and painted brick wall under a gabled roof of timber trusses with corrugated asbestos sheets coverings, board ceiling.  It has steel door and window frames, glass panelled and buglar barred, cement screed floors. The roof is drained by galvanised gutters and down pipes. It accommodates offices. </t>
  </si>
  <si>
    <t>ShopBuilding- Single storey structure Built of plastered and painted brick wall under a gabled roof of timber trusses with corrugated iron sheets coverings, board ceiling. It has steel door and window frames, glass panelled and buglar barred, cement screed floors. The roof is drained by galvanised gutters and down pipes. It accommodates shop.</t>
  </si>
  <si>
    <t xml:space="preserve">AdministrationBuilding- Single storey structure Built of plastered and painted brick wall under a gabled roof of timber trusses with corrugated asbestos sheets coverings, board ceiling.  It has steel door and window frames, glass panelled and buglar barred, cement screed floor and parquet floor tiles. The roof is drained by galvanised gutters and down pipes. It accommodates offices and workshop. </t>
  </si>
  <si>
    <t>AdministrationBuilding- Single storey structure Built of plastered and painted parapet brick wall under a mono pitched roof of timber trusses with corrugated asbestos sheets coverings, board ceiling.  It has steel door and window frames, glass panelled and buglar barred, cement screed floors. The roof is drained by galvanised gutters and down pipes. It accommodates offices and bakery.</t>
  </si>
  <si>
    <t xml:space="preserve">Administration and FactoryBuilding- double volume structure Built of plastered and painted brick wall under a gabled roof of timber trusses with corrugated asbestos sheets coverings, board ceiling.  It has steel door and window frames, glass panelled and buglar barred, cement screed floor and ceramic floor tiles. The roof is drained by galvanised gutters and down pipes. It accommodates offices on the mezzanine floor and workshop. </t>
  </si>
  <si>
    <t xml:space="preserve">FactoryBuilding 1- double volume structure Built of plastered and painted brick wall under a gabled roof of timber trusses with corrugated asbestos sheets coverings, board ceiling.  It has steel door and window frames, glass panelled and buglar barred, cement screed floor and ceramic floor tiles. The roof is drained by galvanised gutters and down pipes. It accommodates clothing factory. </t>
  </si>
  <si>
    <t xml:space="preserve">FactoryBuilding 2- double volume structure Built of plastered and painted brick wall under a gabled roof of timber trusses with corrugated asbestos sheets coverings, board ceiling.  It has steel door and window frames, glass panelled and buglar barred, cement screed floor and ceramic floor tiles. The roof is drained by galvanised gutters and down pipes. It accommodates clothing factory. </t>
  </si>
  <si>
    <t xml:space="preserve">WarehouseBuilding 1-Part double storey, part double volume structure, Built of reinforced concrete columns and lintos  infilled with corrugated asbestos sheets. cladding walls under a North light roof of  steel trusses with corrugated asbestos sheets. sheets  coverings. Galvanised gutters and down pipes   It has steel door and window frames, glass panneled. The floors are concrete . </t>
  </si>
  <si>
    <t>AdministrationBuilding- Single storey structure Built of plastered and paintedcement blocks  wall under a gabled  roof of timber trusses and purlins with sand tiles ,plaster board ceiling.  It has  steel window frames, glass panelled and buglar barred. The floors are ceramic tiles and parquert tiles. The roof is drained by galvanised gutters and down pipes. It accommodates offices.</t>
  </si>
  <si>
    <t xml:space="preserve">Warehouse And Boiler HouseBuilding -Built of cement block wall with 1/2 part corrugated asbestos sheets. cladding wall under a North Light roof of  roof of  steel trusses with corrugated asbestos sheets. sheets  coverings.Galvanised gutters and down pipes.  It has steel door and window frames, glass panneled. The floors are concrete . </t>
  </si>
  <si>
    <t>Workshop And StoresBuilding- Single storey structure Built ofsteel frame with 1/2  plastered and painted  brick wall ,corrugated asbestos sheets. cladded wall under a mono-pitched roof of steel  trusses and purlins with corrugated asbestos sheets coverings.It has steel framed windows glazed . The floors are concrete floor finishings . Accommodates workshop and storerooms.</t>
  </si>
  <si>
    <t xml:space="preserve">WarehouseBuilding 2-Double Volume structure, steel framed columns cladded with corrugated asbestos sheets walls under a gabled roof of  steel trusses and purlins with corrugated asbestos sheets roof coverings. Galvanised gutters and down pipes   It has steel door and window frames, glass panneled. The floors are concrete . </t>
  </si>
  <si>
    <t>Fire ExtinguisherBuilding- Single storey structure of plastered and painted brick wall under a gabled roof of timber beams and purlins with corrugated asbestos sheets coverings, galvanised gutters and down pipes, steel framed windows and glazed, cement screed  floors.</t>
  </si>
  <si>
    <t>CanteenBuilding- Single storey structure Built of plastered and painted  brick wall under a gabled roof of timber trusses and purlins with sand tiles, plaster board ceiling.  It has steel door and window frames, glass panelled. The floors are cement screed . The roof is drained by galvanised gutters and down pipes. It accommodates a eating area and kitchen.</t>
  </si>
  <si>
    <t>WarehouseBuilding- common brick wall,plastered and painted under a duo-pitched roof of timber trusses , covered with corrugated iron sheets,steel door and window frames,cement screed flooring,</t>
  </si>
  <si>
    <t>PPC WarehouseBuilding  - Steel framed buliding cladded with corrugated iron sheets under a duo-pitched  roof of steel beams , covered with corrugated asbestos sheets,steel door and window frames,cement screed flooring.</t>
  </si>
  <si>
    <t>Building (1)  - Steel framed structure cladded with Industrial common brick wall,plastered and painted under a duo-pitched  roof of steel beams , covered with corrugated asbestos sheets,steel door and window frames,cement screed flooring,</t>
  </si>
  <si>
    <t>GymBuilding-A double volume concrete framed structure cladded with common brick  walls,plastered and painted under a duo-pitched roof of timber trusses , covered with corrugated asbestos sheets, steel door and window frames,cement screed flooring,</t>
  </si>
  <si>
    <t>StoresBuilding- A double volume structure common bricks,plastered and painted, under a duo-pitched roof of timber trusses , covered with corrugated asbestos  sheets,cement screed floors.</t>
  </si>
  <si>
    <t>Thermal Power StationBuilding- A steel framed tripple volume structure wholly cladded with corrugated iron sheets under a duo-pitched roof of timber trusses , covered with IBR sheets,steel door and window frames,cement screed flooring,</t>
  </si>
  <si>
    <t>Thermal Power StationBuilding Extension- A steel framed double storey structure cladded with unrendered industrial common bricks under a duo-pitched roof of steel trusses , covered with corrugated iron sheets,steel door and window frames,concrete flooring,</t>
  </si>
  <si>
    <t>Old Thermal Power StationBuilding- A steel framed tripple volume structure wholly cladded with corrugated iron sheets under a duo-pitched roof of steel trusses , covered with corrugated iron sheets,steel door and window frames,concrete  flooring,</t>
  </si>
  <si>
    <t xml:space="preserve">AdministrationBuilding- Single storey structure Built of plastered and painted brick wall under a mono pitched roof of timber trusses with corrugated asbestos sheets coverings, board ceiling.  It has steel door and window frames, glass panelled and buglar barred, cement screed floors. The roof is drained by galvanised gutters and down pipes. It accommodates offices. </t>
  </si>
  <si>
    <t>Administration and FactoryBuilding- double volume structure Built of steel columns cladded with steel sheets under a gabled roof of steel trusses and purlins with IBR sheets coverings, pvc ceiling, aluminium windows and sliding door at the entrance. The floors are cement screed and ceramic tiles. The roof is drained by galvanised gutters and down pipes. It accommodates offices and bakery factory workshop shed.</t>
  </si>
  <si>
    <t xml:space="preserve">ShopBuilding- double volume structure Built of plastered and painted brick wall under a mono pitched roof of timber trusses with corrugated iron sheets coverings.  It has steel door and window frames, glass panelled and buglar barred, cement screed floors. The roof is drained by galvanised gutters and down pipes. It accommodates shop. </t>
  </si>
  <si>
    <t>AdminBuilding- common brick wall,plastered and painted under a duo-pitched roof of timber trusses , covered with corrugated iron sheets,steel door and window frames,capert tile flooring.</t>
  </si>
  <si>
    <t>WorkshopBuilding  - Industrial common brick wall,plastered and painted under a duo-pitched  roof of steel beams, covered with corrugated asbestos sheets, steel door and window frames ,cement screed flooring.</t>
  </si>
  <si>
    <t>WarehouseBuilding-  common brick wall, plastered and painted under a saw toothed  roof of steel trusses, covered with corrugated iron sheets, steel door and window frames, cement screed flooring.</t>
  </si>
  <si>
    <t>WholesaleBuilding- Industrial common brick wall, plastered and painted under a duo-pitched  roof of steel trusses, covered with IBR sheets, steel door and window frames, cement screed flooring.</t>
  </si>
  <si>
    <t>ReceivingBuilding- A double volume constructed of Industrial common brick wall, plastered and painted under a duo-pitched  roof of steel trusses, covered with IBR sheets, steel door and window frames, cement screed flooring.</t>
  </si>
  <si>
    <t>HardwareBuilding- Industrial common brick wall, plastered and painted under a duo-pitched  roof of steel trusses, covered with IBR sheets, steel door and window frames, cement screed flooring.</t>
  </si>
  <si>
    <t xml:space="preserve">AdministrationBuilding- Single storey structure Built of plastered and painted brick wall under a hipped roof of timber trusses with corrugated asbestos sheets coverings, board ceiling.  It has steel door and window frames, glass panelled and buglar barred, carpeted floors, cement screed floors and ceramic tile floors. The roof is drained by galvanised gutters and down pipes. It accommodates offices. </t>
  </si>
  <si>
    <t xml:space="preserve">LaundryBuilding- Single storey structure Built of plastered and painted brick wall under a mono pitched roof of timber beams with corrugated asbestos sheets coverings. It has steel door and window frames, glass panelled and buglar barred, cement screed floors. The roof is drained by galvanised gutters and down pipes. It accommodates a laundry rooms. </t>
  </si>
  <si>
    <t>PlantBuilding- double volume structure Built of internally plastered and painted brick wall under a saw tooth roof of timber trusses and purlins with corrugated iron  sheets coverings.  It has steel window frames, glass panelled and buglar barred. The floors are granolithic and cement screed. The roof is drained by galvanised gutters and down pipes. It accommodates factory.</t>
  </si>
  <si>
    <t xml:space="preserve">Weigh BridgeBuilding- Single storey structure Built of plastered and painted brick wall under a mono pitched roof of timber beams with trafford asbestos sheets coverings. It has steel door and window frames, glass panelled and buglar barred, cement screed floors. The roof is drained by galvanised gutters and down pipes. It accommodates office. </t>
  </si>
  <si>
    <t xml:space="preserve">StoresBuilding- Single storey structure Built of plastered and painted brick wall under a gabled roof of timber trusses with trafford asbestos sheets coverings, steel columns supporting the roof. It has steel door and window frames, glass panelled and buglar barred, cement screed floors. The roof is drained by galvanised gutters and down pipes. It accommodates stores rooms. </t>
  </si>
  <si>
    <t xml:space="preserve">Clinic/HRBuilding- Single storey structure Built of plastered and painted brick wall under a mono pitched roof of timber trusses with corrugated iron sheets coverings, board ceiling. It has steel door and window frames, glass panelled and buglar barred, cement screed floors and pvc tiles. The roof is drained by galvanised gutters and down pipes. It accommodates offices and treatment rooms. </t>
  </si>
  <si>
    <t xml:space="preserve">LaboratoryBuilding- Single storey structure Built of plastered and painted brick wall under a gabled roof of timber trusses with corrugated iron sheets coverings, board ceiling. It has steel door and window frames, glass panelled and buglar barred, cement screed floors and pvc tiles. The roof is drained by galvanised gutters and down pipes. It accommodates labs and offices. </t>
  </si>
  <si>
    <t>CanteenBuilding- Single storey structure Built of plastered and painted brick wall under a mono pitched roof of timber trusses with IBR sheets coverings, board ceiling. It has steel door and window frames, glass panelled and buglar barred, cement screed floors and pvc tiles. The roof is drained by galvanised gutters and down pipes. It accommodates canteen and toilets.</t>
  </si>
  <si>
    <t xml:space="preserve">Administration and WorkshopBuilding- double volume structure Built of plastered and painted brick wall under a saw toothed roof of timber trusses with corrugated iron sheets coverings.  It has steel door and window frames, glass panelled and buglar barred, steel sliding doors at entrance, cement screed floors. The roof is drained by galvanised gutters and down pipes. It accommodates offices and workshop. </t>
  </si>
  <si>
    <t>HRBuilding and Canteen- Industrial common bricks,plastered and painted, under a duo-pitched roof of timber trusses , covered with corrugated asbestos sheets,steel door and window frames,quary tile floors.</t>
  </si>
  <si>
    <t xml:space="preserve">AdministrationBuilding 1- Single storey structure Built of plastered and painted brick wall under a gabled roof of timber trusses with corrugated asbestos sheets coverings, board ceiling.  It has steel door and window frames, glass panelled and buglar barred, cement screed floors. The roof is drained by galvanised gutters and down pipes. It accommodates offices. </t>
  </si>
  <si>
    <t xml:space="preserve">OfficeBuilding 2- Single storey structure Built of plastered and painted brick wall under a gabled roof of timber trusses with corrugated asbestos sheets coverings, board ceiling.  It has steel door and window frames, glass panelled and buglar barred, cement screed floors. The roof is drained by galvanised gutters and down pipes. It accommodates offices. </t>
  </si>
  <si>
    <t xml:space="preserve">OfficeBuilding 3- Single storey structure Built of plastered and painted brick wall under a mono pitched roof of timber trusses with corrugated asbestos sheets coverings.  It has steel door and window frames, glass panelled and buglar barred, cement screed floors. The roof is drained by galvanised gutters and down pipes. It accommodates offices. </t>
  </si>
  <si>
    <t xml:space="preserve">AdministrationBuilding- Single storey structure Built of plastered and painted brick wall under a mono pitched roof of timber trusses with sand tile coverings, board ceiling.  It has wooden door and window frames, glass panelled and buglar barred, cement screed floors. The roof is drained by galvanised gutters and down pipes. It accommodates offices. </t>
  </si>
  <si>
    <t xml:space="preserve">OfficeBuilding 2- Single storey structure Built of plastered and painted brick wall under a mono pitched roof of timber trusses with sand tile coverings, board ceiling.  It has wooden door and window frames, glass panelled and buglar barred, cement screed floors. The roof is drained by galvanised gutters and down pipes. It accommodates offices. </t>
  </si>
  <si>
    <t xml:space="preserve">AdministrationBuilding- Single storey structure Built of plastered and painted brick wall under a saw tooth roof of timber trusses with corrugated asbestos sheets coverings, board ceiling.  It has steel door and window frames, glass panelled and buglar barred, cement screed floors and pvc tile floors. The roof is drained by galvanised gutters and down pipes. It accommodates offices. </t>
  </si>
  <si>
    <t xml:space="preserve">OfficeBuilding 1- Double storey structure Built of plastered and painted brick wall under a gabled roof of timber trusses with corrugated iron sheets coverings, board ceiling.  It has steel door and window frames, glass panelled and buglar barred, cement screed floors. The roof is drained by galvanised gutters and down pipes. It accommodates offices. </t>
  </si>
  <si>
    <t xml:space="preserve">Sales OfficeBuilding- Single storey structure Built of plastered and painted brick wall under a mono pitched roof of timber trusses with corrugated asbestos sheets coverings, board ceiling.  It has steel door and window frames, glass panelled and buglar barred, cement screed floors and pvc tile floors. The roof is drained by galvanised gutters and down pipes. It accommodates offices. </t>
  </si>
  <si>
    <t>Administration and WorkshopBuilding- double volume structure Built of steel columns infilled with plastered and painted brick wall under a gabled roof of steel trusses and purlins with corrugated iron sheets coverings, board ceiling on office section, steel sliding doors at entrance. The floors are granolithic. The roof is drained by galvanised gutters and down pipes. It accommodates workshop and offices.</t>
  </si>
  <si>
    <t>AdministrationBuilding- Single storey structure Built of plastered and painted brick wall under a gabled roof of timber trusses with corrugated asbestos sheets coverings, board ceiling.  It has steel door and window frames, glass panelled and buglar barred, cement screed floors and ceramic floor tiles. It accommodates offices.</t>
  </si>
  <si>
    <t>WorkshopBuilding- Double volume structure Built of plastered and painted brick wall under a gabled roof of timber trusses with corrugated asbestos sheets coverings.  It has steel window frames with glass panes, cement screed floors and ceramic floor tiles. It has lean toBuildings with mono pitched roofs. It accommodates workshop and offices.</t>
  </si>
  <si>
    <t>WorkshopBuilding 2- Double volume structure Built of plastered and painted brick wall under a gabled roof of steel trusses with corrugated asbestos sheets coverings.  It has steel window frames with glass panes, cement screed floors. It accommodates workshop.</t>
  </si>
  <si>
    <t>OfficeBuilding- Single storey structure Built of plastered and painted brick wall under a gabled roof of timber trusses with corrugated asbestos sheets coverings, board ceiling.  It has steel door and window frames, glass panelled and buglar barred, cement screed floors and ceramic floor tiles. It accommodates offices.</t>
  </si>
  <si>
    <t>WorkshopBuilding- Double volume structure Built of plastered and painted brick wall under a gabled roof of timber trusses with corrugated asbestos sheets coverings.  It has steel window frames with glass panes, cement screed floors. It accommodates workshop.</t>
  </si>
  <si>
    <t xml:space="preserve">AdministrationBuilding- Single storey structure Built of part treated timber walls part  plastered and painted brick wall under a gabled roof of timber trusses with corrugated asbestos sheets coverings, pinewood  ceiling.  It has steel door and window frames, glass panelled and buglar barred, parquet floor tiles. The roof is drained by galvanised gutters and down pipes. It accommodates offices. </t>
  </si>
  <si>
    <t xml:space="preserve">OfficeBuilding 2- Treated timber walls with board plastering under a gabled roof of timber trusses with asbestos tiles sheets coverings, board  ceiling.  It has steel door and window frames, glass panelled and buglar barred, parquet floor tiles. The roof is drained by galvanised gutters and down pipes. It accommodates offices. </t>
  </si>
  <si>
    <t xml:space="preserve">Archives GoalBuilding- Treated timber walls with board plastering under a gabled roof of timber trusses with asbestos tiles sheets coverings, board  ceiling.  It has steel door and window frames, glass panelled and buglar barred, parquet floor tiles. The roof is drained by galvanised gutters and down pipes. It accommodates offices. </t>
  </si>
  <si>
    <t xml:space="preserve">OfficeBuilding 3- Single storey structure Built of part treated timber walls part  plastered and painted brick wall under a gabled roof of timber trusses with corrugated asbestos sheets coverings, pinewood  ceiling.  It has steel door and window frames, glass panelled and buglar barred, parquet floor tiles. The roof is drained by galvanised gutters and down pipes. It accommodates offices. </t>
  </si>
  <si>
    <t xml:space="preserve">StoreroomBuilding- Single storey structure Built of plastered and painted brick wall under a gabled roof of timber trusses with corrugated asbestos sheets coverings.  It has steel door and window frames, glass panelled and buglar barred, cement screed floors. It accommodates storerooms. </t>
  </si>
  <si>
    <t xml:space="preserve">StoreroomBuilding- Treated timber walls with board plastering under a gabled roof of timber trusses with asbestos tiles sheets coverings, board  ceiling.  It has steel door and window frames, glass panelled and buglar barred, parquet floor tiles. The roof is drained by galvanised gutters and down pipes. It accommodates offices. </t>
  </si>
  <si>
    <t xml:space="preserve">Loss Control Office Building- Treated timber walls with board plastering under a gabled roof of timber trusses with asbestos tiles sheets coverings, board  ceiling.  It has steel door and window frames, glass panelled and buglar barred, parquet floor tiles. The roof is drained by galvanised gutters and down pipes. It accommodates offices. </t>
  </si>
  <si>
    <t xml:space="preserve">Marketing OfficeBuilding- Single storey structure Built of plastered and painted brick wall under a gabled roof of timber trusses with sand tile coverings, board ceiling.  It has steel door and window frames, glass panelled and buglar barred, quarry floor tiles. The roof is drained by galvanised gutters and down pipes. It accommodates offices. </t>
  </si>
  <si>
    <t xml:space="preserve">AdministrationBuilding- Single storey structure Built of common brick wall under a gabled roof of timber beams with corrugated asbestos sheets coverings, board ceiling.  It has steel door and window frames, glass panelled and buglar barred, cement screed floors. The roof is drained by galvanised gutters and down pipes. It accommodates offices. </t>
  </si>
  <si>
    <t xml:space="preserve">OutBuilding- Single storey structure Built of common brick wall under a doom shaped roof of timber beams with corrugated asbestos sheets coverings, board ceiling.  It has steel door and window frames, glass panelled and buglar barred, cement screed floors. The roof is drained by galvanised gutters and down pipes. It accommodates storerooms. </t>
  </si>
  <si>
    <t xml:space="preserve">AdministrationBuilding- Single storey structure Built of plastered and painted brick wall under a gabled roof of timber trusses with IBR sheets coverings, board ceiling.  It has steel door and window frames, glass panelled and buglar barred, ceramic floor tiles. The roof is drained by galvanised gutters and down pipes. It accommodates offices. </t>
  </si>
  <si>
    <t xml:space="preserve">WorkshopBuilding- Single storey structure Built of internally plastered industrial common brick wall under a gabled roof of timber trusses with IBR sheets coverings, board ceiling.  It has steel window frames, glass panelled and buglar barred, steel sliding door, cement screed floors. The roof is drained by galvanised gutters and down pipes. It accommodates workshop. </t>
  </si>
  <si>
    <t xml:space="preserve">OfficeBuilding- Single storey structure Built of plastered and painted brick wall under a gabled roof of timber trusses with IBR sheets coverings, board ceiling.  It has steel door and window frames, glass panelled and buglar barred, cement screed floors. The roof is drained by galvanised gutters and down pipes. It accommodates an office. </t>
  </si>
  <si>
    <t>Office Building-Brick wall ,cem washed under a duo pitched roof of timber trusses and purlins covered by Marley tiles,steel door and window frames with brick tile floors.Accomodates offices.</t>
  </si>
  <si>
    <t>Administration Building-Brick wall ,rough cast plastering under a duo pitched roof of timber trusses and purlins covered by corrugated asbestos sheets,steel door and window frames with cement screed floors.Accomodates offices,kitchen,dining and toilet.</t>
  </si>
  <si>
    <t>Office Building-Built of  cement blocks,plastered and painted, under a mono-pitched roof of timber trusses and , covered with concrete tiles,steel door and window frames,cement screed floors.</t>
  </si>
  <si>
    <t>Ware houseBuilding1-  Single storeyBuilding Built of steel columns infilled with part cement blocks wall part corrugated asbestos sheets. cladding wals aunder a North Light roof of steel trusses and purlins with corrugated asbestos sheets. sheets coverings,  It has steel windows glazed  and buglar barred, The floors are ceramic tiles, cement screed and parquert floors on the Administration block.. The roof is drained by pvc gutters and down pipes. It accommodates warehouse  and  offices.</t>
  </si>
  <si>
    <t>Local Content StoresBuilding- A Double Volume structure constructed of steel framed columns infilled with part face brick wall , part corrugated asbestos sheets.cladding wall brick wall  under a gabled roof of steel trusses and purlins  with corrugated asbestos sheets. sheets coverings, galvanized gutters and down pipes. It has steel framed door and window frames to the rest of theBuilding, cement screed floor.</t>
  </si>
  <si>
    <t xml:space="preserve">Sales OfficeBuilding-Single storey structure constructed of steel columns infilled with chip boards under a gabled  roof of timber trusses and purlins with corrugated asbestos sheets coverings, board ceiling. It has steel framed door and window frames, cement screed floors.  </t>
  </si>
  <si>
    <t>WarehouseBuilding-Single storey structure constructed of plastered and painted brick wall under a hipped roof of timber trusses with corrugated asbestos sheets coverings, board ceiling. It has steel framed door and window frames, cement screed floors. It accommodates offices and warehouse.</t>
  </si>
  <si>
    <t>Administration Building-Brick wall,plastered inside  under a gabled roof of  timber trusses with corrugated asbestos sheets covering,bison board ceiling,rain waters and gutters,steel door and window frames and cement screed floors.Accomodates offices,boardroom and toilets.</t>
  </si>
  <si>
    <t>Main Building-Built of  cement blocks,plastered and painted, under a mono-pitched roof of timber trusses and , covered with IBR sheets,steel door and window frames,cement screed floors.</t>
  </si>
  <si>
    <t>OutBuilding- Single storey structure Built of plastered and painted brick wall under a hipped roof of trusses and purlins with sand tile, plaster board ceiling.  It has steel door and window frames, glass panelled ,cement screed floors.</t>
  </si>
  <si>
    <t>Office Building-Built of  cement bricks,plastered and painted, under a duo-pitched roof of timber trusses and , covered with corrugated asbestos sheets,steel door and window frames,cement screed floors.</t>
  </si>
  <si>
    <t>KioskBuilding- Built of face brick wall, plastered and painted inside, under a gabled roof of timber trusses and board ceiling, covered with corrugated iron sheets. Zinc gutters and down pipes. Steel door and window frames. Cement screed floors .</t>
  </si>
  <si>
    <t xml:space="preserve">OutBuilding- brick walls unrendered under gabled roof of timber trusses with corrugated asbestos sheet coverings. Cement screed floors. </t>
  </si>
  <si>
    <t>Storeroom 1Building- Single storey structure constructed of steel framed structure infilled with corrugated asbestos sheeets cladding wall under a gabled roof of steel trusses and purlins with corrugated asbestos sheets coverings, galvanized gutters and down pipes. It has steel framed door and window frames, glass panelled and buglar barred,steel sliding doors with steel sliding doors , concrete floor .</t>
  </si>
  <si>
    <t>Soap Plant Refinery Shed- tripple volumeBuilding of concrete pillars with brick infilll walls plastered and painted under gabled roof of concrete beams and steel trusses with IBR sheet coverings. Cement screed floors. Accommodates refinery plant.</t>
  </si>
  <si>
    <t>Soap Plant Shed- double volumeBuilding of concrete pillars with brick infilll walls plastered and painted under gabled roof of concrete beams and steel trusses with IBR sheet coverings. Cement screed floors. Accommodates refinery plant.</t>
  </si>
  <si>
    <t>Ware house Building2-  Single storey Building Built of steel columns infilled with part cement blocks wallpart I.B.R. under a North Light roof of steel trusses and purlins with I.B.R. sheets coverings. The floors are  cement screed floors. The roof is drained by pvc gutters and down pipes. It accommodates warehouse.</t>
  </si>
  <si>
    <t>Ware house Building3-  Single storey Building Built of steel columns infilled with part cement blocks wall , part corrugated iron sheets. under a North Light roof of steel trusses and purlins with corrugated iron sheets sheets coverings. The floors are  cement screed floors. The roof is drained by pvc gutters and down pipes. It accommodates warehouse.</t>
  </si>
  <si>
    <t>Storeroom 1- Single storey structure which consisits of face brick wall part plastered and painted  brick wall under a flat roof of  concrete deck, steel framed ,glazed and buglar barred,cement screed floor.</t>
  </si>
  <si>
    <t xml:space="preserve"> CanteenBuilding- Single storey structure Built of plastered and painted brick wall under a mono pitched roof of timber trusses and purlins with corrugated iron sheets coverings, board ceiling.  It has steel door and window frames, glass panelled and buglard, The roof is drained by galvanized gutters and down pipes, cement screed floors. </t>
  </si>
  <si>
    <t>Storeroom 2- Single storey structure which consisits of cement blocks wall cem-washed  under a gabled roof of timber trusses and purlins with corrugated asbestos sheets. sheets coverings, steel framed ,glazed and buglar barred,cement screed floor.</t>
  </si>
  <si>
    <t>Warehouse 2- Single storey structure constructed of concrete reinforcement columns infilled with facebrick wall  plastered and painted inside under a gabled roof of steel trusses and purlins with corrugated asbestos sheets coverings,steel framed window glazed and baglar barred,cement screed floor. It accommodates warehouse.</t>
  </si>
  <si>
    <t xml:space="preserve">Workshop Buildings-Built of reinforcement concrete columns infilled face brick wall, with plastered and painted walls under a gabled roof of steel trusses and purlins with I.B.R.sheets coverings,steel framed windows glazed and buglar proofed,cement screed floors. </t>
  </si>
  <si>
    <t>Canteen Office - Single storey structure constructed of plastered and painted brick wall under a gabled roof of timber trusses with trafford  sheets coverings,plaster board ceiling , It has steel framed door and window frames, cement screed floors. It accommodates seating room and kitchen .</t>
  </si>
  <si>
    <t>Administration Building- Double storey structure Built of  part plastered and painted brick wall part face brick wall under a flat roof of concrete deck , concrete ceiling on ground floor and plaster board ceiling on the 1st floor.  It has steel window frames, glass panelled and buglar barred. The floors are fitted with carperts, ceramic tiles and cement screed. The roof is drained by galvanised gutters and down pipes. It accommodates offices.</t>
  </si>
  <si>
    <t>Workshop Building- Single storey structure Built of reinforced concrete columns infilled with plastered and painted brick wall and partI.B.R  cladding walls iunder a gabled roof of steel trusses and purlins with I.B.R. sheets coverings.It has steel framed windows glazed and buglar barred. The floors are concrete . Accommodates workshop and storerooms.</t>
  </si>
  <si>
    <t>Workshop Shed 2- Built of steel columns under a gabled roof of steel trusses and purlins with corrugated iron sheets coverings.Floors are concrete screed floors.</t>
  </si>
  <si>
    <t>Workshop Shed 1- Built of steel columns under a gabled roof of steel trusses and purlins with corrugated iron sheets coverings.Floors are concrete screed floors.</t>
  </si>
  <si>
    <t xml:space="preserve">Warehouse Building- Single storey structure, Built of reinforced steel columns  cladded with corrugated iron sheets under a gabled roof of  steel trusses with corrugated iron sheets  coverings. Galvanised gutters and down pipes   It has steel door and window frames, glass panneled. The floors are concrete floors  . </t>
  </si>
  <si>
    <t>Storeroom 2- Single storey structure constructed of steel column frame infilled with part face brick , part plastered and painted brick wall inside under a gabled  roof of steel trusses and purlins with corrugated asbestos sheets coverings, galvanized gutters and down pipes. It has steel framed door and window frames glazed, concrete floors. It accommodates 2 storerooms.</t>
  </si>
  <si>
    <t>Storeroom 1- Single storey structure constructed ofcement blocks,cem-washed  wall under a gabled roof of timber beams with corrugated asbestos sheets coverings, galvanised gutters and down pipes.  It has steel framed door and window frames, cement screed floors. It accommodates  storeroom.</t>
  </si>
  <si>
    <t>Change room Building  -Built of  plastered and painted brick wall under a mono-pitched roof of timber beam and purlins covered with corrugated asbestos sheets coverings,  galvanized gutters and down pipes , steel framed and glazed windows,cement screed floors.</t>
  </si>
  <si>
    <t>Car Shed-Steel tubular poles under a mono-pitched roof of steel  beams with transluscent pvc  roof coverings. Concrete floors. Accommodates 4 Bays.</t>
  </si>
  <si>
    <t xml:space="preserve"> Shed 1-Steel framed structure cladded with corrugated iron sheets under a gabled roof of steel trusses and purlins  with corrugated iron sheets roof coverings, steel framed and glazed windows Cement screed floors.</t>
  </si>
  <si>
    <t xml:space="preserve"> Shed 2-Steel framed structure cladded with corrugated iron sheets under a gabled roof of steel trusses and purlins  with corrugated iron sheets roof coverings, steel framed and glazed windows Cement screed floors.</t>
  </si>
  <si>
    <t>Administration Block- Single storey structure constructed of part face brick wall part plastered and painted parapet brick wall under a gabled roof of timber trusses and purlins with c.a s. sheets coverings, suspended board ceiling,galvanized gutters and down pipes on wooden fascia board,overhead fan, It has steel framed door and window frames to the rest of the Building, aluminium plate glass at the front,floors are parquert tiles ,ceramic floor tiles. It accommodates offices.</t>
  </si>
  <si>
    <t>Factory Assembly Plant-A Double Volume structure constructed of reinforced concrete columns infilled with cem-washed brick wall  under a North Light roof of steel trusses and purlins  with trafford sheets coverings, galvanized gutters and down pipes. It has steel framed door and window frames to the rest of the Building, cement screed floor.</t>
  </si>
  <si>
    <t>Bonded WarehouseBuilding- A Single Volume structure constructed of steel  columns infilled with part face brick wall , part cladded with corrugated asbestos sheets under a gabled roof of steel trusses and purlins  with corrugated asbestos sheets. sheets coverings, galvanized gutters and down pipes. It has steel framed door and window frames, cement screed floor.</t>
  </si>
  <si>
    <t>Consumable Stores Building -Built of steel columns cladded with I.B.R. wall  under a doom shaped roof of steel trusses and purlins with corrugated asbestos sheets coverings, steel framed glazed and buglar barred,  cement screed  floors. It accommodates  storeroom.</t>
  </si>
  <si>
    <t>Trade Entrance Guard room-Built of face brick wall plastered and painted internally under a mono-pitched roof of timber trusses and purlins with corrugated asbestos sheets. sheets coverings, plaster board ceiling, steel framed and glazed windows,cement screed floors.</t>
  </si>
  <si>
    <t>Wooden Cabin- Wooden cabin, under a duo pitched roof of timber trusses and board ceiling, covered with corrugated asbestos sheets. Steel door and window frames. Cement screed floors.</t>
  </si>
  <si>
    <t>Changing Room- Brick wall, plastered and painted, under a gabled roof of timber trusses, asbestos fascia boards and board ceiling, covered with corrugated asbestos sheets. Steel door and window frames. Cement screed floors.</t>
  </si>
  <si>
    <t xml:space="preserve">Outbuilding 1- brick wall plastered and painted under mono pitched roof of corrugated asbestos sheets on timber beams. Cement screed floors. </t>
  </si>
  <si>
    <t>Workshop-Concrete walls infilled with brick wall,under a duo pitched timber truss and corrugated iron sheets roof ,fascia boards,rain gutters and down pipes with granolithic floors. Accommodates workshop and offices.</t>
  </si>
  <si>
    <t xml:space="preserve">Administration Building- Single storey structure Built of plastered and painted brick wall under a gabled roof of timber trusses and beams with corrugated asbestos sheets coverings, board ceiling.  It has steel door and window frames, glass panelled and buglar barred, cement screed floors. The roof is drained by galvanised gutters and down pipes. It accommodates offices. </t>
  </si>
  <si>
    <t>Perimeter Boundary- 2 sides precast wall</t>
  </si>
  <si>
    <t>Perimeter Boundary-  2 sides diamond mesh wire.</t>
  </si>
  <si>
    <t>1 TAMESIDE CLOSE</t>
  </si>
  <si>
    <t>5179 TAMESIDE CLOSE</t>
  </si>
  <si>
    <t>Office Building And Workshop Building- Double Volume with mezzaine floor , Built of reinforced concrete beams and columns  infilled with face brick wall ,plastered and painted inside under a gabled roof of steel trusses and purlins with I.B.R. sheets coverings, board ceiling, galvanized gutters and down pipes. It has steel framed door and window frames.Floors are cement screed floors.</t>
  </si>
  <si>
    <t>Boundary wall- precast concrete panels on 2 side.</t>
  </si>
  <si>
    <t>Main Building- Double volume steel frame structure, brick infill,plastered, under a duo pitched roof of steel trusses covered with corrugated asbestos sheets. Steel window frames. Granolithic floors.</t>
  </si>
  <si>
    <t>Perimeter Boundary- 1 side precast panels</t>
  </si>
  <si>
    <t>Perimeter Boundary-  3 sides diamond mesh fence.</t>
  </si>
  <si>
    <t>Office Building- Double storey structure Built of plastered brick wall under a mono pitched roof roof of timber trusses with corrugated asbestos sheets coverings. It has steel door and window frames, glass panelled, cement screed floors. It accommodates offices.</t>
  </si>
  <si>
    <t>Administration Building- Single storey structure Built of plastered and painted brick wall under a gabled roof of timber trusses with corrugated asbestos sheets coverings, board ceiling. The floors are parquet and cement screed. It accommodates offices.</t>
  </si>
  <si>
    <t>Reception Building- Single storey structure Built of plastered and painted brick wall under a mono pitched roof roof of timber beams with corrugated asbestos sheets coverings. It has steel door and window frames, glass panelled, cement screed floors. It accommodates offices.</t>
  </si>
  <si>
    <t>Administration and Workshop Building- double volume structure Built of concrete columns at the workshop section,  plastered and painted brick wall infilll at the office section under a gabled roof of conrete columns and beams with corrugated asbestos sheets coverings, board ceiling on office section. The floors are cement screed and granolithic. It accommodates workshop and offices section.</t>
  </si>
  <si>
    <t>Lean to Office Building- Single storey structure Built of plastered brick wall under a mono pitched roof roof of timber beams with corrugated asbestos sheets coverings. It has steel door and window frames, glass panelled, cement screed floors. It accommodates offices.</t>
  </si>
  <si>
    <t>Office Building- Single storey structure Built of timber walls board internally with part plastered brick wall under a gabled roof roof of timber trusses with corrugated asbestos sheets coverings. It has steel door and window frames, glass panelled, suspended wooden strip floors. It accommodates offices.</t>
  </si>
  <si>
    <t>Office Block-Built of industrial common bricks partly cladded with stone work,plastered and painted, under a heaped-pitched roof of timber trusses and  covered with concrete tiles,steel door and window frames,paquet floors.</t>
  </si>
  <si>
    <t>Boundary Fencing-Built of farm brick plastered.</t>
  </si>
  <si>
    <t>Workshop- Farm bricks,plastered and painted, under a duo-pitched roof of timber trusses , covered with corrugated asbestos sheets,roller shutters,granolithic  flooring.</t>
  </si>
  <si>
    <t>Administration Building- Double storey structure Built of reinforcement concrete columns infilled with  plastered and painted  brick wall under a concrete roof of conctrete deck , board ceiling.  It has steel door and window frames, glass panelled and buglar barred. The floors are of fitted carpets from 1st floor to the ground floors. The roof is drained by galvanised gutters and down pipes. It accommodates offices.</t>
  </si>
  <si>
    <t>Printing and Distribution Building- Single storey structure Built of reinforced steel columns, infilled with plastered and painted brick wall under a gabled  roof of steel trusses and purlins with trafford  sheets coverings, plaster board ceiling.  It has steel door and window frames, glass panelled and buglar barred. The floors are suspended wooden floor slab, ceramic floor tiles. The roof is drained by galvanised gutters and down pipes. It accommodates  distribution offices amd storerooms.</t>
  </si>
  <si>
    <t xml:space="preserve">Warehouse Building 1-Part Double storey,part 3 storeyBuilding and single storeyBuilding  plastered and painted under gabled roof of timber  trusses and purlins with I,B,R, sheets  coverings. Galvanised gutters and down pipes, concrete ceiling on 2nd floor and plaster board ceiling on the 3 rd floor.   It has steel door and window frames, glass panelled . The floors are cement screed floors. </t>
  </si>
  <si>
    <t>Waiting Shed-Steel tubular poles cladded with corrugated iron sheets under a mono-pitched roof of steel beams and purlins with corrugated iron sheets roof coverings,concrete floor.</t>
  </si>
  <si>
    <t>Shed-Steel tubular poles cladded with corrugated iron sheets under a mono-pitched roof of steel beams and purlins with corrugated iron sheets roof coverings,concrete floor.</t>
  </si>
  <si>
    <t>Main Building- Double volume Building of steel stanchions infilled with brick walls under gabled roof of steel trusses with IBR sheet coverings. Cement screed floors. Accommodates 2 offices, waiting area,cold room,freezer room, cutting room, canteen and toilets with water closets and shower rooms.</t>
  </si>
  <si>
    <t>Boundary Walling- precast concrete panels with razor wire and steel  gate.</t>
  </si>
  <si>
    <t>BoundaryWalling -1.5 precast concrete panels walling.</t>
  </si>
  <si>
    <t>Workshop Building- Single storey structure Built of cement block wall under a gabled roof of timber trusses and purlins with corrugated asbestos sheets.Incomplete structure needs ceiling and plasteing outside.</t>
  </si>
  <si>
    <t>Toilet Building- Single storey structure constructed of cement bricks plastered  under a mono pitched roof of timber beams with corrugated asbestos sheets coverings. cement screed floors. In complete structure needs finishes no window panes and doors.</t>
  </si>
  <si>
    <t>Main Building- Double volume Building of brick walls under monopitched roof of timber trusses with corrugated asbestos sheet coverings. Cement screed floors. Accommodates offices, storerooms and toilets with water closets.</t>
  </si>
  <si>
    <t xml:space="preserve">Workshop- timber tubular poles under monopitched roof of corrugated asbestos sheets on timber trusses. Concrete floors. </t>
  </si>
  <si>
    <t>Staff Quarters- Brick walls cem washed under gabled roof of timber trusses with corrugated asbestos sheet coverings. Cement screed floors. Accommodates 3 rooms, toilet with water closet and bath with shower point.</t>
  </si>
  <si>
    <t>R/E OF 5974</t>
  </si>
  <si>
    <t>10705 MUTARE T/SHIP OF 5974 MUTARE T/SHIP</t>
  </si>
  <si>
    <t>10706 MUTARE T/SHIP OF 5974 MUTARE T/SHIP</t>
  </si>
  <si>
    <t>Building 2- Single storey structure Built offace brick wall and part plastered and painted brick wall under a gabled roof of timber trusses and purlins with corrugated asbestos sheets coverings, board ceiling.  It has steel window frames, glass panelled and buglar barred. The floors are cement screed floor. The roof is drained by galvanised gutters and down pipes. It accommodates offices.</t>
  </si>
  <si>
    <t>Building 3- Single storey structure Built of face brick wall and part plastered and painted brick wall under a gabled roof of timber trusses and purlins with corrugated asbestos sheets coverings, board ceiling.  It has steel window frames, glass panelled and buglar barred. The floors are cement screed floor. The roof is drained by galvanised gutters and down pipes. It accommodates offices.</t>
  </si>
  <si>
    <t>Main Building-A double volume structure constructed of part brick wall and part corrugated asbestos sheets cladding under a gabled  timber truss and zinc iron sheets roof,rain water  gutters and down pipes.Steel door and window frames, cement screed floor finish. Accommodates offices,kitchen ,and storeroom.</t>
  </si>
  <si>
    <t>Workshop Building- Single storey structure Built of plastered and painted brick wall under a gabled roof of timber trusses and purlins with corrugated asbestos sheets coverings.It has steel framed windows glazed and buglar barred. The floors are concrete floor finishings.Accommodates workshop and offices.</t>
  </si>
  <si>
    <t>Workshop Building- Single storey structure Built of unplastered brick wall under a mono-pitched roof of timber beams and purlins with corrugated asbestos sheets coverings.It has steel framed windows glazed and buglar barred,steel framed doors with steel sliding gates. The floors are concrete floor finishings. Accommodates workshop and offices.</t>
  </si>
  <si>
    <t>Shed- Built of treated timber poles infilled with 1/2 part brick wall plastered and painted and 1/2 part corrugated asbestos sheets Cladding under a mono-pitched roof of treated timber poles and beams with corrugated asbestos sheets roof sheets covering, galvanised gutters and down pipes, concrete floors.</t>
  </si>
  <si>
    <t>Main Building- Single storey structure Built of plastered and painted brick wall under a hipped roof of steel trusses and purlins with I.B.R. sheets coverings. It has steel window frames, glass panelled and buglar barred. The floors are stone slates and cement screed . The roof is drained by galvanised gutters and down pipes. It accommodates Bakery, warehouse storage rooms and offices.</t>
  </si>
  <si>
    <t>Lean to Office Building2- Single storey structure Built of plastered brick wall under a mono pitched roof roof of timber trusses and purlins with corrugated asbestos sheets coverings. It has steel door and window frames, glass panelled, cement screed floors. It accommodates offices.</t>
  </si>
  <si>
    <t>Office Building- Single storey structure Built of plastered and painted brick wall under a gabled roof roof of timber trusses and purlins with corrugated asbestos sheets coverings, board ceiling. It has steel door and window frames, glass panelled and buglar barred, pvc floor tiles. It accommodates offices.</t>
  </si>
  <si>
    <t>Administration and Factory Building- Part double storey, part single storey structure Built of internally plastered and painted face brick wall under a gabled roof of timber trusses and purlins with corrugated asbestos sheets coverings. It has steel door and window frames, glass panelled and buglar barred, ceramic floor tiles and cement screed floors. It accommodates offices and clothing factory.</t>
  </si>
  <si>
    <t>Computer Room Building- Single storey structure Built of plastered and painted brick wall under a gabled  roof of timber trusses and purlins with corrugated asbestos sheets roof coverings, plaster board ceiling , steel door and window frames, glass panelled and buglar barred , vinaly floor tiles. The roof is drained by galvanised gutters and down pipes. It accommodates computer  offices and a canteen room.</t>
  </si>
  <si>
    <t>Lean to Office Building- Single storey structure Built of plastered and painted brick wall under a mono pitched roof of timber trusses and purlins with corrugated asbestos sheets coverings. It has steel door and window frames, glass panelled and buglar barred, cement screed floors. It accommodates offices.</t>
  </si>
  <si>
    <t>Ablution Block Building- Single storey structure Built of plastered and painted brick wall under a mono-pitched  roof of timber beams and purlins with corrugated asbestos sheets coverings.  It has steel window frames, glass panelled. The floors are cement screed. It accommodates  2 bathrooms with shower cubicles and 2 toilets .</t>
  </si>
  <si>
    <t>Office Building- single storey structure Built of plastered and painted parapet brick wall under a gabled  roof of timber trusses and purlins with corrugated asbestos sheets coverings,pine board ceiling.  It has  steel window frames, glass panelled and buglar barred. The floors are ceramic tiles. The roof is drained by galvanised gutters and down pipes. It accommodates offices.</t>
  </si>
  <si>
    <t>Workshop Building- Single storey structure Built of plastered and white washed brick wall under a gabled roof of steel  trusses and purlins with corrugated asbestos sheets coverings.It has steel framed windows glazed and buglar barred. The floors are concrete floor finishings.Accommodates workshop and offices.</t>
  </si>
  <si>
    <t>Canteen Building- Single storey structure Built of plastered and painted  brick wall under a gabled roof of timber trusses and purlins with sand tiles, pinewood board ceiling.  It has steel door and window frames, glass panelled. The floors are ceramic tiles. The roof is drained by galvanised gutters and down pipes. It accommodates eating area and kitchen.</t>
  </si>
  <si>
    <t>Managers Residence Building- Single storey structure Built of plastered and painted  brick wall under a gabled roof of timber trusses and purlins with sand tiles, pinewood board ceiling.  It has steel door and window frames, glass panelled. The floors are ceramic tiles. The roof is drained by galvanised gutters and down pipes. It accommodates 3 bedrooms livingroom kitchen toilets and bathroom.</t>
  </si>
  <si>
    <t xml:space="preserve">Main Building- Brick wall, plastered, under a duo pitched roof of timber trusses covered with IBR sheets. Steel door and window frames. Rough concrete floor finish. </t>
  </si>
  <si>
    <t>Outbuilding 2- precast concrete panels under a mono pitched roof of timber beams, covered with corrugated asbestos sheets. Steel door and window frames. Cement screed floors.</t>
  </si>
  <si>
    <t>Lean to Building- Single storey structure Built of common brick wall under a mono pitched roof of timber beams with corrugated asbestos sheets coverings. It has steel door and window frames, glass panelled and buglar barred, cement screed floors . It accommodates offices.</t>
  </si>
  <si>
    <t>Lean to Building- Single storey structure Built of plastered and painted brick wall under a mono pitched roof of timber beams with corrugated asbestos sheets coverings. It has steel door and window frames, glass panelled and buglar barred, cement screed floors . It accommodates offices.</t>
  </si>
  <si>
    <t>Workshop Building- Single storey structure Built of reinforced concrete columns infilled with plastered and painted brick wall and partI.B.R  cladding under a gabled roof of steel trusses and purlins with I.B.R. sheets coverings.It has steel framed windows glazed and buglar barred. The floors are concrete . Accommodates workshop and storerooms.</t>
  </si>
  <si>
    <t>TAMESIDE ROAD</t>
  </si>
  <si>
    <t>TAMESIDE /CHIMANIMANI ROAD</t>
  </si>
  <si>
    <t>Office Building- Single storey structure Built of plastered brick wall under a gabled roof of timber trusses with corrugated asbestos sheets coverings, partly pine wood ceiling. It has steel door and window frames, glass panelled and buglar barred, cement screed floors. It accommodates offices.</t>
  </si>
  <si>
    <t>Office Building- Single storey structure Built of plastered and painted brick wall under a mono pitched roof of timber purlins with corrugated asbestos sheets coverings. It has aluminium door and window frames, glass panelled, cement screed floors. It accommodates offices.</t>
  </si>
  <si>
    <t>Tank Shed- Still under construction, brick walled on three sides concrete floors.</t>
  </si>
  <si>
    <t>Workshop Building- Single storey structure Built of reinforced steel columns infilled with plastered and painted brick wall under a gabled roof of steel trusses and purlins with corrugated asbestos sheets coverings.It has steel framed windows glazed and buglar barred. The floors are cement screed.Accommodates workshop and storerooms.</t>
  </si>
  <si>
    <t>Administration Building- Single storey structure Built of plastered and painted brick wall under a gabled roof of timber trusses and purlins with corrugated asbestos sheets coverings, board ceiling. It has steel door and window frames, glass panelled and buglar barred, cement screed floors. The roof is drained by galvanised gutters and down pipes. It accommodates offices.</t>
  </si>
  <si>
    <t>Administration Building- Single storey structure Built of internally plastered and painted brick wall under a heaped roof of timber trusses and purlins with sand tile coverings, board ceiling. It has aluminium corrugated asbestos sheetsed door and window frames, glass panelled, ceramic floor tiles. The roof is drained by galvanised gutters and down pipes. It accommodates offices.</t>
  </si>
  <si>
    <t>Workshop- brick walls plastered and painted  under monopitched roof of IBR sheets on timber trusses. Combination of ceramic and cement screed floors. Accommodates reception, workshop and 3 offices.</t>
  </si>
  <si>
    <t>Administration Building- Double storey structure Built of face brick wall, plastered and painted inside, under a hipped roof of timber trusses and board ceiling, covered with sand tiles. Zinc gutters and down pipes. Steel door and window frames. Cement screed floors and suspended wooden strip floors.</t>
  </si>
  <si>
    <t>Office Building 1- Part double storey, part single storeyBuilding Built of face brick wall, plastered and painted inside, under a gabled roof of timber trusses and board ceiling, covered with corrugated asbestos sheets. Zinc gutters and down pipes. Steel door and window frames. Cement screed floors .</t>
  </si>
  <si>
    <t>Time office Building-brick wall, plastered and painted under a gabled roof of timber trusses and purlins with corrugated asbestos sheets roof coverings. Steel framed and glassed. The floor finish is cement screed floor.</t>
  </si>
  <si>
    <t>Personal Branch Building-face brick wall, plastered and painted inside under a gabled roof of timber trusses and purlins with corrugated iron sheets roof coverings. It has plaster board ceiling. Steel framed and glassed. The floor finish is vinyl floor tiles.</t>
  </si>
  <si>
    <t>Administration office-a double storey Built of plastered and painted under a mono-pitched roof of timber trusses and purlins with IBR roof coverings. Steel framed, glassed and burglar bar proofed and parquet floor finish.</t>
  </si>
  <si>
    <t>Production office-a single storey Built of plastered and painted under a mono-pitched roof of timber trusses and purlins with IBR roof coverings. Steel framed, glassed and burglar bar proofed and parquet floor finish.</t>
  </si>
  <si>
    <t>Outbuilding-a single storey Built of plastered and painted under a mono-pitched roof of timber trusses and purlins with IBR roof coverings. Steel framed, glassed and burglar bar proofed and parquet floor finish.</t>
  </si>
  <si>
    <t>Storeroom- timber poles, corrugated iron sheets clading under a gabled roof of timber trusses and purlins with corrugated iron sheets. It has wooden framed and glassed. The roof is drained by galvanised gutters and down pipes on wooden facia boards.</t>
  </si>
  <si>
    <t>Electrical Engineering Building - A double volume structure Built of industrial common bricks,plastered and painted, under a duo-pitched roof of steel trusses , covered with corrugated asbestos  sheets,steel door and window frames,granolithic flooring.</t>
  </si>
  <si>
    <t>Administration Building- Single storey structure Built of plastered and painted brick wall, under a hipped roof of timber trusses covered with sand tiles, and board ceiling. Zinc gutters and down pipes. Steel door and window frames, carpeted floors.</t>
  </si>
  <si>
    <t>Industrial Workshop-Part double volume and part double storey structure Built of concrete columns infilled with brick wall,plastered inside under a saw tooth  roof of  steel trusses with corrugated asbestos sheets covering, rain gutters and down pipes,steel door and window frames  with part parquet floor tiles and cement screed floors.Accomodates workshop on the ground floor,offices and toilets in the 1st floor.</t>
  </si>
  <si>
    <t>Merchant Mill Building- double volume structure of steel stanchions with corrugated iron sheet cladding under gabled roof of steel trusses with corrugated iron sheet coverings. Concrete floors.</t>
  </si>
  <si>
    <t>Upholstery shed  - A low cost Steel framed structure cladded with corrugated iron sheets under a duo-pitched  roof of steel trusses, covered with corrugated asbestos sheets, steel door and window frames, granolithic flooring.</t>
  </si>
  <si>
    <t>MELSETTER ROAD</t>
  </si>
  <si>
    <t xml:space="preserve">6 BVUMBA ROAD </t>
  </si>
  <si>
    <t>STEWARD AND LLOYDS (L.MUGABE)</t>
  </si>
  <si>
    <t>1451-1452-1453-1454</t>
  </si>
  <si>
    <t xml:space="preserve">Perimeter Boundary-  1 side diamond mesh fence. </t>
  </si>
  <si>
    <t xml:space="preserve">Perimeter Boundary- Walled 3 sides with precast concrete panels. </t>
  </si>
  <si>
    <t xml:space="preserve">Boundary Fencing-2 meter high precast concrete panelled wall on 2 sides of the stand </t>
  </si>
  <si>
    <t>1-3 NEWCASTLE ROAD</t>
  </si>
  <si>
    <t xml:space="preserve">Factory- Doom shaped structure constructed of concrete columns under a doom shaped roof with concrete  coverings, granolithic floors, steel sliding doors at entrance. It accommodates factory.(Dilapidated) </t>
  </si>
  <si>
    <t>Boundary fence-1.8m precast concrete panels on 3 sides.</t>
  </si>
  <si>
    <t>Boundary fence-1.8m diamond mesh wire on 1 side and gated.</t>
  </si>
  <si>
    <t>Perimeter Boundary- Cement blocks 3 sides.</t>
  </si>
  <si>
    <t>Perimeter Boundary- 1 side pallisade fencing.</t>
  </si>
  <si>
    <t xml:space="preserve">Stores and Finger Joining Building- part brick walls cem washed and part wood cabin under gabled roof of steel trusses with corrugated asbestos sheet coverings. Concrete floors. </t>
  </si>
  <si>
    <t>SHED</t>
  </si>
  <si>
    <t>VACANT</t>
  </si>
  <si>
    <t>TOTAL VALUE (USD)</t>
  </si>
  <si>
    <t>INDUSTRIAL</t>
  </si>
  <si>
    <t>CARS (PVT) LTD</t>
  </si>
  <si>
    <t>CALTEX OIL ZIM</t>
  </si>
  <si>
    <t>ZIMBA AGENCIES (PVT)LTD</t>
  </si>
  <si>
    <t>955 &amp;956</t>
  </si>
  <si>
    <t>DA SILVA MARIA DELL</t>
  </si>
  <si>
    <t>OFF NEW-CASTLE R.D</t>
  </si>
  <si>
    <t>MUBARE.M</t>
  </si>
  <si>
    <t>ANTRIM ENGINEERING P/L</t>
  </si>
  <si>
    <t>MOROL INVESTMENTS</t>
  </si>
  <si>
    <t>S.G.I PROPERTIES P/L</t>
  </si>
  <si>
    <t>2513A</t>
  </si>
  <si>
    <t>PETRO TRADE P/L</t>
  </si>
  <si>
    <t>NOCZIM</t>
  </si>
  <si>
    <t>MANI CALANY FORESTRY</t>
  </si>
  <si>
    <t>AYAN TRADING P/L</t>
  </si>
  <si>
    <t>MANYEMWE.C</t>
  </si>
  <si>
    <t>N.D IMPORT &amp; EXPORT P/L</t>
  </si>
  <si>
    <t>NJUNGA.J.A</t>
  </si>
  <si>
    <t>CADOLITE INVESTMENTS P/L</t>
  </si>
  <si>
    <t>WILL SEE INVEST P/L</t>
  </si>
  <si>
    <t>SHATO GRAM P/L</t>
  </si>
  <si>
    <t>EVERLITE ELECTRICAL</t>
  </si>
  <si>
    <t>SANDO .T</t>
  </si>
  <si>
    <t>GIBBIES PROPERTIES</t>
  </si>
  <si>
    <t>NAYEE BROTHERS</t>
  </si>
  <si>
    <t>MANICA ROAD HAULAGE</t>
  </si>
  <si>
    <t>VIRGIN TIMBER PRODUCER</t>
  </si>
  <si>
    <t>MOTO IND FIRE</t>
  </si>
  <si>
    <t>VOLTMAS INVESTMENTS</t>
  </si>
  <si>
    <t>WHITBREAD INVESTMENTS</t>
  </si>
  <si>
    <t>URBAN PLANNERS NETWORKS</t>
  </si>
  <si>
    <t>EASTERN BREEZE GEFRIC</t>
  </si>
  <si>
    <t>FALSEL SERVICES</t>
  </si>
  <si>
    <t>EDGE HOUSE INVESTMENTS</t>
  </si>
  <si>
    <t>MAWADZA .G</t>
  </si>
  <si>
    <t>MAFANA .J.S</t>
  </si>
  <si>
    <t>MUKUSHU AGRIPPA</t>
  </si>
  <si>
    <t>MAKAHANANA OTTO. T</t>
  </si>
  <si>
    <t>11349 OF 5641</t>
  </si>
  <si>
    <t>11358 OF 5641</t>
  </si>
  <si>
    <t>R/E OF ORANGE FERUKA R.D</t>
  </si>
  <si>
    <t>LOT 1 OF HILLANDA OFF FERUKA ROA.D</t>
  </si>
  <si>
    <t>R/E OF HILLANDA RD</t>
  </si>
  <si>
    <t xml:space="preserve">LOT E OF HILLANDA SOUTH RUWARE </t>
  </si>
  <si>
    <t>KENTUCKY PORT OFF DORA RD</t>
  </si>
  <si>
    <t>OLD MUTUAL</t>
  </si>
  <si>
    <t xml:space="preserve">OFF FERUKA RD  WEIRMOUTH </t>
  </si>
  <si>
    <t>RATE</t>
  </si>
  <si>
    <t xml:space="preserve">VALUATION AND REPORT ON   UNDEVELOPED HEAVY INDUSRIAL  </t>
  </si>
  <si>
    <t>STANDS : MUTARE VALUATION ROLL</t>
  </si>
  <si>
    <t>Stand 5645 - Improvements- DS Timbers</t>
  </si>
  <si>
    <t>2. Stand 5646 - Improvements- Victory Motors</t>
  </si>
  <si>
    <t>3. Stand 5647 -Vacant- Gamunorwa</t>
  </si>
  <si>
    <t>4. Stand 5648 -Vacant- Nashcrystal Motors</t>
  </si>
  <si>
    <t>5. Stand 7552 -Improvements- Manyuchi- 7100 sqm</t>
  </si>
  <si>
    <t>6  Stand 7754- Improvements- TDA Enterprises</t>
  </si>
  <si>
    <t>7. Stand 7583 - Vacant- Mashezha- 11420 sqm</t>
  </si>
  <si>
    <t>VICTORY MOTORS</t>
  </si>
  <si>
    <t xml:space="preserve">   </t>
  </si>
  <si>
    <t>CITY OF MUTARE</t>
  </si>
  <si>
    <t>MILLING CITY OF MUTAREPANY</t>
  </si>
  <si>
    <t>INCOMPLETE</t>
  </si>
  <si>
    <t>WORKSHOP &amp; OFFICES</t>
  </si>
  <si>
    <t>TOTAL</t>
  </si>
  <si>
    <t>ACC NO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</si>
</sst>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_(* #,##0_);_(* \(#,##0\);_(* &quot;-&quot;??_);_(@_)"/>
    <numFmt numFmtId="166" formatCode="0;[Red]0"/>
  </numFmts>
  <fonts count="36" x14ac:knownFonts="1">
    <font>
      <sz val="11"/>
      <color theme="1"/>
      <name val="Calibri"/>
      <family val="2"/>
      <scheme val="minor"/>
    </font>
    <font>
      <b/>
      <sz val="11"/>
      <color indexed="8"/>
      <name val="Calibri"/>
      <family val="2"/>
    </font>
    <font>
      <sz val="11"/>
      <color indexed="8"/>
      <name val="Calibri"/>
      <family val="2"/>
    </font>
    <font>
      <sz val="12"/>
      <name val="Arial"/>
      <family val="2"/>
    </font>
    <font>
      <b/>
      <sz val="12"/>
      <color indexed="8"/>
      <name val="Calibri"/>
      <family val="2"/>
    </font>
    <font>
      <b/>
      <sz val="11"/>
      <name val="Calibri"/>
      <family val="2"/>
    </font>
    <font>
      <sz val="11"/>
      <name val="Calibri"/>
      <family val="2"/>
    </font>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sz val="12"/>
      <color theme="1"/>
      <name val="Calibri"/>
      <family val="2"/>
    </font>
    <font>
      <b/>
      <sz val="12"/>
      <color theme="1"/>
      <name val="Calibri"/>
      <family val="2"/>
    </font>
    <font>
      <b/>
      <sz val="12"/>
      <color theme="1"/>
      <name val="Calibri"/>
      <family val="2"/>
      <scheme val="minor"/>
    </font>
    <font>
      <sz val="12"/>
      <color theme="1"/>
      <name val="Calibri"/>
      <family val="2"/>
      <scheme val="minor"/>
    </font>
    <font>
      <sz val="10"/>
      <color rgb="FF222222"/>
      <name val="Arial"/>
      <family val="2"/>
    </font>
    <font>
      <b/>
      <u/>
      <sz val="16"/>
      <color theme="1"/>
      <name val="Calibri"/>
      <family val="2"/>
      <scheme val="minor"/>
    </font>
    <font>
      <sz val="16"/>
      <color theme="1"/>
      <name val="Calibri"/>
      <family val="2"/>
      <scheme val="minor"/>
    </font>
    <font>
      <b/>
      <sz val="16"/>
      <color theme="1"/>
      <name val="Calibri"/>
      <family val="2"/>
      <scheme val="minor"/>
    </font>
    <font>
      <b/>
      <sz val="11"/>
      <color theme="1"/>
      <name val="Calibri"/>
      <family val="2"/>
    </font>
    <font>
      <sz val="11"/>
      <color theme="1"/>
      <name val="Calibri"/>
      <family val="2"/>
    </font>
    <font>
      <u/>
      <sz val="11"/>
      <color theme="1"/>
      <name val="Calibri"/>
      <family val="2"/>
    </font>
    <font>
      <sz val="11"/>
      <color rgb="FFFF0000"/>
      <name val="Calibri"/>
      <family val="2"/>
    </font>
    <font>
      <b/>
      <sz val="11"/>
      <color theme="0" tint="-0.14999847407452621"/>
      <name val="Calibri"/>
      <family val="2"/>
    </font>
    <font>
      <sz val="11"/>
      <color theme="0" tint="-0.14999847407452621"/>
      <name val="Calibri"/>
      <family val="2"/>
    </font>
    <font>
      <sz val="11"/>
      <color theme="0" tint="-4.9989318521683403E-2"/>
      <name val="Calibri"/>
      <family val="2"/>
    </font>
    <font>
      <b/>
      <sz val="11"/>
      <color theme="0"/>
      <name val="Calibri"/>
      <family val="2"/>
    </font>
    <font>
      <b/>
      <sz val="11"/>
      <color theme="0" tint="-4.9989318521683403E-2"/>
      <name val="Calibri"/>
      <family val="2"/>
    </font>
    <font>
      <sz val="11"/>
      <name val="Calibri"/>
      <family val="2"/>
      <scheme val="minor"/>
    </font>
    <font>
      <b/>
      <sz val="11"/>
      <name val="Calibri"/>
      <family val="2"/>
      <scheme val="minor"/>
    </font>
    <font>
      <sz val="11"/>
      <color theme="0"/>
      <name val="Calibri"/>
      <family val="2"/>
    </font>
    <font>
      <b/>
      <u/>
      <sz val="11"/>
      <color theme="1"/>
      <name val="Calibri"/>
      <family val="2"/>
    </font>
    <font>
      <sz val="12"/>
      <color theme="1"/>
      <name val="Arial"/>
      <family val="2"/>
    </font>
    <font>
      <sz val="11"/>
      <color indexed="8"/>
      <name val="Calibri"/>
      <family val="2"/>
      <scheme val="minor"/>
    </font>
    <font>
      <b/>
      <sz val="14"/>
      <color theme="1"/>
      <name val="Calibri"/>
      <family val="2"/>
      <scheme val="minor"/>
    </font>
    <font>
      <b/>
      <sz val="11"/>
      <color rgb="FFFF0000"/>
      <name val="Calibri"/>
      <family val="2"/>
      <scheme val="minor"/>
    </font>
  </fonts>
  <fills count="8">
    <fill>
      <patternFill patternType="none"/>
    </fill>
    <fill>
      <patternFill patternType="gray125"/>
    </fill>
    <fill>
      <patternFill patternType="solid">
        <fgColor rgb="FFA5A5A5"/>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7">
    <border>
      <left/>
      <right/>
      <top/>
      <bottom/>
      <diagonal/>
    </border>
    <border>
      <left style="double">
        <color indexed="64"/>
      </left>
      <right style="double">
        <color indexed="64"/>
      </right>
      <top style="double">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8" fillId="2" borderId="6" applyNumberFormat="0" applyAlignment="0" applyProtection="0"/>
    <xf numFmtId="164" fontId="7" fillId="0" borderId="0" applyFont="0" applyFill="0" applyBorder="0" applyAlignment="0" applyProtection="0"/>
    <xf numFmtId="164" fontId="1" fillId="0" borderId="0" applyFont="0" applyFill="0" applyBorder="0" applyAlignment="0" applyProtection="0"/>
  </cellStyleXfs>
  <cellXfs count="342">
    <xf numFmtId="0" fontId="0" fillId="0" borderId="0" xfId="0"/>
    <xf numFmtId="0" fontId="0" fillId="0" borderId="0" xfId="0" applyFont="1"/>
    <xf numFmtId="0" fontId="0" fillId="0" borderId="0" xfId="0" applyFill="1"/>
    <xf numFmtId="0" fontId="9" fillId="0" borderId="0" xfId="0" applyFont="1" applyBorder="1"/>
    <xf numFmtId="0" fontId="11" fillId="0" borderId="0" xfId="0" applyFont="1" applyBorder="1"/>
    <xf numFmtId="0" fontId="4" fillId="0" borderId="0" xfId="0" applyFont="1" applyFill="1" applyBorder="1"/>
    <xf numFmtId="0" fontId="4" fillId="0" borderId="0" xfId="0" applyFont="1" applyFill="1" applyBorder="1" applyAlignment="1">
      <alignment horizontal="right"/>
    </xf>
    <xf numFmtId="0" fontId="4" fillId="0" borderId="0" xfId="0" applyFont="1" applyFill="1" applyBorder="1" applyAlignment="1">
      <alignment horizontal="left" wrapText="1"/>
    </xf>
    <xf numFmtId="0" fontId="0" fillId="0" borderId="0" xfId="0" applyAlignment="1">
      <alignment wrapText="1"/>
    </xf>
    <xf numFmtId="0" fontId="0" fillId="0" borderId="0" xfId="0" applyAlignment="1">
      <alignment horizontal="right"/>
    </xf>
    <xf numFmtId="0" fontId="12" fillId="0" borderId="0" xfId="0" applyFont="1" applyBorder="1" applyAlignment="1">
      <alignment horizontal="left"/>
    </xf>
    <xf numFmtId="0" fontId="11" fillId="0" borderId="0" xfId="0" applyFont="1" applyFill="1" applyBorder="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Font="1" applyAlignment="1">
      <alignment wrapText="1"/>
    </xf>
    <xf numFmtId="0" fontId="0" fillId="3" borderId="0" xfId="0" applyFill="1" applyAlignment="1">
      <alignment horizontal="left"/>
    </xf>
    <xf numFmtId="0" fontId="4" fillId="3" borderId="0" xfId="0" applyFont="1" applyFill="1" applyBorder="1" applyAlignment="1">
      <alignment horizontal="left" wrapText="1"/>
    </xf>
    <xf numFmtId="0" fontId="4" fillId="3" borderId="0" xfId="0" applyFont="1" applyFill="1" applyBorder="1"/>
    <xf numFmtId="0" fontId="4" fillId="3" borderId="0" xfId="0" applyFont="1" applyFill="1" applyBorder="1" applyAlignment="1">
      <alignment horizontal="right"/>
    </xf>
    <xf numFmtId="165" fontId="11" fillId="3" borderId="0" xfId="2" applyNumberFormat="1" applyFont="1" applyFill="1" applyBorder="1" applyAlignment="1">
      <alignment horizontal="right"/>
    </xf>
    <xf numFmtId="165" fontId="11" fillId="0" borderId="0" xfId="2" applyNumberFormat="1" applyFont="1" applyFill="1" applyBorder="1" applyAlignment="1">
      <alignment horizontal="right"/>
    </xf>
    <xf numFmtId="165" fontId="7" fillId="0" borderId="0" xfId="2" applyNumberFormat="1" applyFont="1"/>
    <xf numFmtId="0" fontId="13" fillId="0" borderId="0" xfId="0" applyFont="1"/>
    <xf numFmtId="0" fontId="14" fillId="0" borderId="0" xfId="0" applyFont="1"/>
    <xf numFmtId="165" fontId="12" fillId="0" borderId="0" xfId="2" applyNumberFormat="1" applyFont="1" applyBorder="1" applyAlignment="1" applyProtection="1">
      <alignment horizontal="center" wrapText="1"/>
    </xf>
    <xf numFmtId="0" fontId="15" fillId="0" borderId="0" xfId="0" applyFont="1"/>
    <xf numFmtId="0" fontId="16" fillId="4" borderId="0" xfId="0" applyFont="1" applyFill="1" applyBorder="1"/>
    <xf numFmtId="0" fontId="17" fillId="4" borderId="0" xfId="0" applyFont="1" applyFill="1" applyBorder="1"/>
    <xf numFmtId="0" fontId="18" fillId="4" borderId="0" xfId="0" applyFont="1" applyFill="1" applyBorder="1"/>
    <xf numFmtId="0" fontId="18" fillId="4" borderId="0" xfId="0" applyFont="1" applyFill="1" applyBorder="1" applyAlignment="1">
      <alignment horizontal="center"/>
    </xf>
    <xf numFmtId="164" fontId="17" fillId="4" borderId="0" xfId="2" applyFont="1" applyFill="1" applyBorder="1"/>
    <xf numFmtId="0" fontId="0" fillId="4" borderId="0" xfId="0" applyFill="1" applyBorder="1"/>
    <xf numFmtId="0" fontId="16" fillId="0" borderId="0" xfId="0" applyFont="1" applyFill="1" applyBorder="1"/>
    <xf numFmtId="0" fontId="17" fillId="0" borderId="0" xfId="0" applyFont="1" applyFill="1" applyBorder="1"/>
    <xf numFmtId="0" fontId="18" fillId="0" borderId="0" xfId="0" applyFont="1" applyFill="1" applyBorder="1"/>
    <xf numFmtId="0" fontId="18" fillId="0" borderId="0" xfId="0" applyFont="1" applyFill="1" applyBorder="1" applyAlignment="1">
      <alignment horizontal="center"/>
    </xf>
    <xf numFmtId="164" fontId="17" fillId="0" borderId="0" xfId="2" applyFont="1" applyFill="1" applyBorder="1"/>
    <xf numFmtId="0" fontId="0" fillId="0" borderId="0" xfId="0" applyFill="1" applyBorder="1"/>
    <xf numFmtId="0" fontId="0" fillId="0" borderId="0" xfId="0" applyBorder="1"/>
    <xf numFmtId="0" fontId="19" fillId="0" borderId="0" xfId="0" applyFont="1" applyBorder="1"/>
    <xf numFmtId="0" fontId="20" fillId="0" borderId="0" xfId="0" applyFont="1" applyBorder="1"/>
    <xf numFmtId="0" fontId="20" fillId="0" borderId="0" xfId="0" applyFont="1" applyBorder="1" applyAlignment="1">
      <alignment horizontal="center"/>
    </xf>
    <xf numFmtId="164" fontId="20" fillId="0" borderId="0" xfId="2" applyFont="1" applyBorder="1"/>
    <xf numFmtId="0" fontId="2" fillId="4" borderId="0" xfId="0" applyFont="1" applyFill="1" applyBorder="1"/>
    <xf numFmtId="0" fontId="1" fillId="4" borderId="0" xfId="0" applyFont="1" applyFill="1" applyBorder="1"/>
    <xf numFmtId="0" fontId="2" fillId="4" borderId="0" xfId="0" applyFont="1" applyFill="1" applyBorder="1" applyAlignment="1">
      <alignment horizontal="center" wrapText="1"/>
    </xf>
    <xf numFmtId="0" fontId="1" fillId="4" borderId="0" xfId="0" applyFont="1" applyFill="1" applyBorder="1" applyAlignment="1"/>
    <xf numFmtId="0" fontId="19" fillId="4" borderId="0" xfId="0" applyFont="1" applyFill="1" applyBorder="1"/>
    <xf numFmtId="164" fontId="20" fillId="4" borderId="0" xfId="2" applyFont="1" applyFill="1" applyBorder="1"/>
    <xf numFmtId="0" fontId="2" fillId="0" borderId="0" xfId="0" applyFont="1" applyBorder="1" applyAlignment="1">
      <alignment wrapText="1"/>
    </xf>
    <xf numFmtId="0" fontId="2" fillId="0" borderId="0" xfId="0" applyFont="1" applyBorder="1" applyAlignment="1">
      <alignment horizontal="center" wrapText="1"/>
    </xf>
    <xf numFmtId="0" fontId="2" fillId="0" borderId="0" xfId="0" applyFont="1" applyBorder="1"/>
    <xf numFmtId="164" fontId="2" fillId="0" borderId="0" xfId="2" applyFont="1" applyBorder="1"/>
    <xf numFmtId="0" fontId="20" fillId="0" borderId="0" xfId="0" applyFont="1" applyBorder="1" applyAlignment="1">
      <alignment wrapText="1"/>
    </xf>
    <xf numFmtId="0" fontId="20" fillId="0" borderId="0" xfId="0" applyFont="1" applyBorder="1" applyAlignment="1">
      <alignment horizontal="center" wrapText="1"/>
    </xf>
    <xf numFmtId="9" fontId="20" fillId="0" borderId="0" xfId="0" applyNumberFormat="1" applyFont="1" applyBorder="1"/>
    <xf numFmtId="2" fontId="20" fillId="0" borderId="0" xfId="0" applyNumberFormat="1" applyFont="1" applyBorder="1" applyAlignment="1">
      <alignment horizontal="center" wrapText="1"/>
    </xf>
    <xf numFmtId="0" fontId="19" fillId="0" borderId="0" xfId="0" applyFont="1" applyBorder="1" applyAlignment="1">
      <alignment wrapText="1"/>
    </xf>
    <xf numFmtId="164" fontId="19" fillId="0" borderId="0" xfId="2" applyFont="1" applyBorder="1"/>
    <xf numFmtId="0" fontId="19" fillId="0" borderId="0" xfId="0" applyFont="1" applyBorder="1" applyAlignment="1">
      <alignment horizontal="center" wrapText="1"/>
    </xf>
    <xf numFmtId="0" fontId="20" fillId="4" borderId="0" xfId="0" applyFont="1" applyFill="1" applyBorder="1"/>
    <xf numFmtId="0" fontId="21" fillId="0" borderId="0" xfId="0" applyFont="1" applyFill="1" applyBorder="1"/>
    <xf numFmtId="0" fontId="1" fillId="4" borderId="0" xfId="0" applyFont="1" applyFill="1" applyBorder="1" applyAlignment="1">
      <alignment horizontal="left" wrapText="1"/>
    </xf>
    <xf numFmtId="1" fontId="20" fillId="4" borderId="0" xfId="0" applyNumberFormat="1" applyFont="1" applyFill="1" applyBorder="1"/>
    <xf numFmtId="0" fontId="2" fillId="0" borderId="0" xfId="0" applyFont="1" applyBorder="1" applyAlignment="1">
      <alignment horizontal="left" wrapText="1"/>
    </xf>
    <xf numFmtId="1" fontId="2" fillId="0" borderId="0" xfId="0" applyNumberFormat="1" applyFont="1" applyBorder="1"/>
    <xf numFmtId="0" fontId="20" fillId="0" borderId="0" xfId="0" applyFont="1" applyFill="1" applyBorder="1" applyAlignment="1">
      <alignment horizontal="left" wrapText="1"/>
    </xf>
    <xf numFmtId="0" fontId="20" fillId="5" borderId="0" xfId="0" applyFont="1" applyFill="1" applyBorder="1" applyAlignment="1">
      <alignment horizontal="center" wrapText="1"/>
    </xf>
    <xf numFmtId="1" fontId="20" fillId="0" borderId="0" xfId="0" applyNumberFormat="1" applyFont="1" applyBorder="1"/>
    <xf numFmtId="0" fontId="10" fillId="5" borderId="0" xfId="0" applyFont="1" applyFill="1" applyBorder="1"/>
    <xf numFmtId="0" fontId="19" fillId="0" borderId="0" xfId="0" applyFont="1" applyBorder="1" applyAlignment="1">
      <alignment horizontal="left" wrapText="1"/>
    </xf>
    <xf numFmtId="1" fontId="19" fillId="0" borderId="0" xfId="0" applyNumberFormat="1" applyFont="1" applyBorder="1"/>
    <xf numFmtId="3" fontId="1" fillId="4" borderId="0" xfId="0" applyNumberFormat="1" applyFont="1" applyFill="1" applyBorder="1" applyAlignment="1">
      <alignment horizontal="left" wrapText="1"/>
    </xf>
    <xf numFmtId="0" fontId="1" fillId="4" borderId="0" xfId="0" applyFont="1" applyFill="1" applyBorder="1" applyAlignment="1">
      <alignment horizontal="center" wrapText="1"/>
    </xf>
    <xf numFmtId="9" fontId="2" fillId="0" borderId="0" xfId="0" applyNumberFormat="1" applyFont="1" applyBorder="1"/>
    <xf numFmtId="0" fontId="22" fillId="0" borderId="0" xfId="0" applyFont="1" applyBorder="1" applyAlignment="1">
      <alignment wrapText="1"/>
    </xf>
    <xf numFmtId="0" fontId="22" fillId="0" borderId="0" xfId="0" applyFont="1" applyBorder="1" applyAlignment="1">
      <alignment horizontal="center" wrapText="1"/>
    </xf>
    <xf numFmtId="0" fontId="23" fillId="4" borderId="0" xfId="0" applyFont="1" applyFill="1" applyBorder="1"/>
    <xf numFmtId="3" fontId="19" fillId="4" borderId="0" xfId="0" applyNumberFormat="1" applyFont="1" applyFill="1" applyBorder="1" applyAlignment="1">
      <alignment horizontal="left" wrapText="1"/>
    </xf>
    <xf numFmtId="0" fontId="19" fillId="4" borderId="0" xfId="0" applyFont="1" applyFill="1" applyBorder="1" applyAlignment="1">
      <alignment wrapText="1"/>
    </xf>
    <xf numFmtId="0" fontId="23" fillId="4" borderId="0" xfId="0" applyFont="1" applyFill="1" applyBorder="1" applyAlignment="1">
      <alignment horizontal="center" wrapText="1"/>
    </xf>
    <xf numFmtId="164" fontId="23" fillId="4" borderId="0" xfId="2" applyFont="1" applyFill="1" applyBorder="1"/>
    <xf numFmtId="0" fontId="20" fillId="5" borderId="0" xfId="0" applyFont="1" applyFill="1" applyBorder="1" applyAlignment="1">
      <alignment wrapText="1"/>
    </xf>
    <xf numFmtId="0" fontId="20" fillId="5" borderId="0" xfId="0" applyFont="1" applyFill="1" applyBorder="1"/>
    <xf numFmtId="9" fontId="20" fillId="5" borderId="0" xfId="0" applyNumberFormat="1" applyFont="1" applyFill="1" applyBorder="1"/>
    <xf numFmtId="164" fontId="20" fillId="5" borderId="0" xfId="2" applyFont="1" applyFill="1" applyBorder="1"/>
    <xf numFmtId="0" fontId="1" fillId="4" borderId="0" xfId="0" applyFont="1" applyFill="1" applyBorder="1" applyAlignment="1">
      <alignment wrapText="1"/>
    </xf>
    <xf numFmtId="0" fontId="6" fillId="0" borderId="0" xfId="0" applyFont="1" applyBorder="1"/>
    <xf numFmtId="0" fontId="6" fillId="0" borderId="0" xfId="0" applyFont="1" applyBorder="1" applyAlignment="1">
      <alignment horizontal="center" wrapText="1"/>
    </xf>
    <xf numFmtId="9" fontId="6" fillId="0" borderId="0" xfId="0" applyNumberFormat="1" applyFont="1" applyBorder="1"/>
    <xf numFmtId="164" fontId="6" fillId="0" borderId="0" xfId="2" applyFont="1" applyBorder="1"/>
    <xf numFmtId="0" fontId="20" fillId="0" borderId="0" xfId="0" applyNumberFormat="1" applyFont="1" applyBorder="1" applyAlignment="1">
      <alignment horizontal="center" wrapText="1"/>
    </xf>
    <xf numFmtId="0" fontId="1" fillId="4" borderId="0" xfId="0" applyFont="1" applyFill="1" applyBorder="1" applyAlignment="1">
      <alignment horizontal="left"/>
    </xf>
    <xf numFmtId="0" fontId="22" fillId="0" borderId="0" xfId="0" applyFont="1" applyBorder="1"/>
    <xf numFmtId="164" fontId="19" fillId="4" borderId="0" xfId="3" applyFont="1" applyFill="1" applyBorder="1"/>
    <xf numFmtId="0" fontId="19" fillId="4" borderId="0" xfId="0" applyFont="1" applyFill="1" applyBorder="1" applyAlignment="1">
      <alignment horizontal="left" wrapText="1"/>
    </xf>
    <xf numFmtId="0" fontId="19" fillId="4" borderId="0" xfId="0" applyFont="1" applyFill="1" applyBorder="1" applyAlignment="1">
      <alignment horizontal="center"/>
    </xf>
    <xf numFmtId="1" fontId="19" fillId="4" borderId="0" xfId="0" applyNumberFormat="1" applyFont="1" applyFill="1" applyBorder="1"/>
    <xf numFmtId="164" fontId="19" fillId="4" borderId="0" xfId="2" applyFont="1" applyFill="1" applyBorder="1"/>
    <xf numFmtId="0" fontId="2" fillId="0" borderId="0" xfId="0" applyFont="1" applyBorder="1" applyAlignment="1">
      <alignment horizontal="left"/>
    </xf>
    <xf numFmtId="0" fontId="0" fillId="0" borderId="0" xfId="0" applyFont="1" applyBorder="1"/>
    <xf numFmtId="0" fontId="2" fillId="5" borderId="0" xfId="0" applyFont="1" applyFill="1" applyBorder="1"/>
    <xf numFmtId="0" fontId="2" fillId="0" borderId="0" xfId="0" applyFont="1" applyFill="1" applyBorder="1" applyAlignment="1">
      <alignment horizontal="left" wrapText="1"/>
    </xf>
    <xf numFmtId="0" fontId="19" fillId="0" borderId="0" xfId="0" applyFont="1" applyBorder="1" applyAlignment="1">
      <alignment horizontal="left"/>
    </xf>
    <xf numFmtId="0" fontId="20" fillId="0" borderId="0" xfId="0" applyFont="1" applyBorder="1" applyAlignment="1">
      <alignment horizontal="left"/>
    </xf>
    <xf numFmtId="0" fontId="19" fillId="0" borderId="0" xfId="0" applyFont="1" applyBorder="1" applyAlignment="1">
      <alignment horizontal="center"/>
    </xf>
    <xf numFmtId="164" fontId="1" fillId="0" borderId="0" xfId="2" applyFont="1" applyBorder="1"/>
    <xf numFmtId="0" fontId="1" fillId="0" borderId="0" xfId="0" applyFont="1" applyBorder="1" applyAlignment="1">
      <alignment wrapText="1"/>
    </xf>
    <xf numFmtId="0" fontId="1" fillId="0" borderId="0" xfId="0" applyFont="1" applyBorder="1" applyAlignment="1">
      <alignment horizontal="center" wrapText="1"/>
    </xf>
    <xf numFmtId="0" fontId="1" fillId="0" borderId="0" xfId="0" applyFont="1" applyBorder="1"/>
    <xf numFmtId="0" fontId="20" fillId="0" borderId="0" xfId="0" applyFont="1" applyFill="1" applyBorder="1" applyAlignment="1">
      <alignment wrapText="1"/>
    </xf>
    <xf numFmtId="0" fontId="2" fillId="4" borderId="0" xfId="0" applyFont="1" applyFill="1" applyBorder="1" applyAlignment="1">
      <alignment horizontal="center"/>
    </xf>
    <xf numFmtId="0" fontId="2" fillId="0" borderId="0" xfId="0" applyFont="1" applyBorder="1" applyAlignment="1">
      <alignment horizontal="center"/>
    </xf>
    <xf numFmtId="0" fontId="20" fillId="0" borderId="0" xfId="0" applyFont="1" applyFill="1" applyBorder="1"/>
    <xf numFmtId="0" fontId="1" fillId="0" borderId="0" xfId="0" applyFont="1" applyFill="1" applyBorder="1" applyAlignment="1">
      <alignment horizontal="left"/>
    </xf>
    <xf numFmtId="0" fontId="2" fillId="0" borderId="0" xfId="0" applyFont="1" applyFill="1" applyBorder="1"/>
    <xf numFmtId="0" fontId="2" fillId="0" borderId="0" xfId="0" applyFont="1" applyFill="1" applyBorder="1" applyAlignment="1">
      <alignment horizontal="center"/>
    </xf>
    <xf numFmtId="1" fontId="2" fillId="0" borderId="0" xfId="0" applyNumberFormat="1" applyFont="1" applyFill="1" applyBorder="1"/>
    <xf numFmtId="164" fontId="1" fillId="0" borderId="0" xfId="2" applyFont="1" applyFill="1" applyBorder="1"/>
    <xf numFmtId="0" fontId="19" fillId="4" borderId="0" xfId="0" applyFont="1" applyFill="1" applyBorder="1" applyAlignment="1"/>
    <xf numFmtId="0" fontId="1" fillId="0" borderId="0" xfId="0" applyFont="1" applyBorder="1" applyAlignment="1">
      <alignment horizontal="left"/>
    </xf>
    <xf numFmtId="0" fontId="1" fillId="0" borderId="0" xfId="0" applyFont="1" applyBorder="1" applyAlignment="1">
      <alignment horizontal="center"/>
    </xf>
    <xf numFmtId="1" fontId="1" fillId="0" borderId="0" xfId="0" applyNumberFormat="1" applyFont="1" applyBorder="1"/>
    <xf numFmtId="0" fontId="2" fillId="0" borderId="0" xfId="0" applyFont="1" applyBorder="1" applyAlignment="1">
      <alignment horizontal="right"/>
    </xf>
    <xf numFmtId="2" fontId="0" fillId="0" borderId="0" xfId="0" applyNumberFormat="1" applyBorder="1"/>
    <xf numFmtId="0" fontId="1" fillId="4" borderId="0" xfId="0" applyFont="1" applyFill="1" applyBorder="1" applyAlignment="1">
      <alignment horizontal="center"/>
    </xf>
    <xf numFmtId="0" fontId="0" fillId="5" borderId="0" xfId="0" applyFill="1" applyBorder="1"/>
    <xf numFmtId="0" fontId="19" fillId="0" borderId="0" xfId="0" applyFont="1" applyFill="1" applyBorder="1"/>
    <xf numFmtId="0" fontId="1" fillId="0" borderId="0" xfId="0" applyFont="1" applyFill="1" applyBorder="1" applyAlignment="1">
      <alignment horizontal="left" wrapText="1"/>
    </xf>
    <xf numFmtId="0" fontId="1" fillId="0" borderId="0" xfId="0" applyFont="1" applyFill="1" applyBorder="1" applyAlignment="1">
      <alignment wrapText="1"/>
    </xf>
    <xf numFmtId="0" fontId="1" fillId="0" borderId="0" xfId="0" applyFont="1" applyFill="1" applyBorder="1" applyAlignment="1">
      <alignment horizontal="center" wrapText="1"/>
    </xf>
    <xf numFmtId="0" fontId="1" fillId="0" borderId="0" xfId="0" applyFont="1" applyFill="1" applyBorder="1"/>
    <xf numFmtId="1" fontId="1" fillId="0" borderId="0" xfId="0" applyNumberFormat="1" applyFont="1" applyFill="1" applyBorder="1"/>
    <xf numFmtId="0" fontId="20" fillId="0" borderId="0" xfId="0" applyFont="1" applyFill="1" applyBorder="1" applyAlignment="1">
      <alignment horizontal="center" wrapText="1"/>
    </xf>
    <xf numFmtId="1" fontId="20" fillId="0" borderId="0" xfId="0" applyNumberFormat="1" applyFont="1" applyFill="1" applyBorder="1"/>
    <xf numFmtId="9" fontId="20" fillId="0" borderId="0" xfId="0" applyNumberFormat="1" applyFont="1" applyFill="1" applyBorder="1"/>
    <xf numFmtId="164" fontId="20" fillId="0" borderId="0" xfId="2" applyFont="1" applyFill="1" applyBorder="1"/>
    <xf numFmtId="0" fontId="24" fillId="4" borderId="0" xfId="0" applyFont="1" applyFill="1" applyBorder="1"/>
    <xf numFmtId="0" fontId="19" fillId="4" borderId="0" xfId="0" applyFont="1" applyFill="1" applyBorder="1" applyAlignment="1">
      <alignment horizontal="center" wrapText="1"/>
    </xf>
    <xf numFmtId="3" fontId="5" fillId="4" borderId="0" xfId="0" applyNumberFormat="1" applyFont="1" applyFill="1" applyBorder="1" applyAlignment="1">
      <alignment horizontal="left" wrapText="1"/>
    </xf>
    <xf numFmtId="0" fontId="5" fillId="4" borderId="0" xfId="0" applyFont="1" applyFill="1" applyBorder="1"/>
    <xf numFmtId="0" fontId="5" fillId="4" borderId="0" xfId="0" applyFont="1" applyFill="1" applyBorder="1" applyAlignment="1">
      <alignment horizontal="center" wrapText="1"/>
    </xf>
    <xf numFmtId="0" fontId="6" fillId="4" borderId="0" xfId="0" applyFont="1" applyFill="1" applyBorder="1"/>
    <xf numFmtId="164" fontId="6" fillId="4" borderId="0" xfId="2" applyFont="1" applyFill="1" applyBorder="1"/>
    <xf numFmtId="0" fontId="20" fillId="0" borderId="0" xfId="0" applyFont="1" applyBorder="1" applyAlignment="1">
      <alignment horizontal="left" wrapText="1"/>
    </xf>
    <xf numFmtId="2" fontId="20" fillId="0" borderId="0" xfId="0" applyNumberFormat="1" applyFont="1" applyBorder="1" applyAlignment="1">
      <alignment horizontal="center"/>
    </xf>
    <xf numFmtId="0" fontId="20" fillId="5" borderId="0" xfId="0" applyFont="1" applyFill="1" applyBorder="1" applyAlignment="1">
      <alignment horizontal="center"/>
    </xf>
    <xf numFmtId="0" fontId="1" fillId="0" borderId="0" xfId="0" applyFont="1" applyBorder="1" applyAlignment="1">
      <alignment horizontal="left" wrapText="1"/>
    </xf>
    <xf numFmtId="3" fontId="1" fillId="4" borderId="0" xfId="0" applyNumberFormat="1" applyFont="1" applyFill="1" applyBorder="1" applyAlignment="1">
      <alignment wrapText="1"/>
    </xf>
    <xf numFmtId="0" fontId="1" fillId="4" borderId="0" xfId="2" applyNumberFormat="1" applyFont="1" applyFill="1" applyBorder="1" applyAlignment="1">
      <alignment wrapText="1"/>
    </xf>
    <xf numFmtId="0" fontId="20" fillId="0" borderId="0" xfId="0" applyFont="1" applyFill="1" applyBorder="1" applyAlignment="1">
      <alignment horizontal="center"/>
    </xf>
    <xf numFmtId="0" fontId="20" fillId="0" borderId="0" xfId="0" applyFont="1" applyBorder="1" applyProtection="1"/>
    <xf numFmtId="0" fontId="20" fillId="6" borderId="0" xfId="0" applyFont="1" applyFill="1" applyBorder="1"/>
    <xf numFmtId="0" fontId="20" fillId="6" borderId="0" xfId="0" applyFont="1" applyFill="1" applyBorder="1" applyAlignment="1">
      <alignment horizontal="center"/>
    </xf>
    <xf numFmtId="164" fontId="20" fillId="6" borderId="0" xfId="2" applyFont="1" applyFill="1" applyBorder="1"/>
    <xf numFmtId="0" fontId="19" fillId="6" borderId="0" xfId="0" applyFont="1" applyFill="1" applyBorder="1"/>
    <xf numFmtId="0" fontId="20" fillId="4" borderId="0" xfId="0" applyFont="1" applyFill="1" applyBorder="1" applyAlignment="1">
      <alignment horizontal="center"/>
    </xf>
    <xf numFmtId="165" fontId="19" fillId="0" borderId="0" xfId="2" applyNumberFormat="1" applyFont="1" applyBorder="1"/>
    <xf numFmtId="0" fontId="5" fillId="4" borderId="0" xfId="0" applyFont="1" applyFill="1" applyBorder="1" applyAlignment="1">
      <alignment horizontal="left" wrapText="1"/>
    </xf>
    <xf numFmtId="0" fontId="5" fillId="0" borderId="0" xfId="0" applyFont="1" applyBorder="1"/>
    <xf numFmtId="0" fontId="5" fillId="0" borderId="0" xfId="0" applyFont="1" applyBorder="1" applyAlignment="1">
      <alignment wrapText="1"/>
    </xf>
    <xf numFmtId="0" fontId="5" fillId="0" borderId="0" xfId="0" applyFont="1" applyBorder="1" applyAlignment="1">
      <alignment horizontal="center" wrapText="1"/>
    </xf>
    <xf numFmtId="164" fontId="5" fillId="0" borderId="0" xfId="2" applyFont="1" applyBorder="1"/>
    <xf numFmtId="0" fontId="6" fillId="0" borderId="0" xfId="0" applyFont="1" applyBorder="1" applyAlignment="1">
      <alignment wrapText="1"/>
    </xf>
    <xf numFmtId="0" fontId="6" fillId="0" borderId="0" xfId="0" applyNumberFormat="1" applyFont="1" applyBorder="1" applyAlignment="1">
      <alignment horizontal="center" wrapText="1"/>
    </xf>
    <xf numFmtId="0" fontId="19" fillId="0" borderId="0" xfId="0" applyFont="1" applyBorder="1" applyProtection="1"/>
    <xf numFmtId="0" fontId="19" fillId="0" borderId="0" xfId="0" applyFont="1" applyBorder="1" applyAlignment="1" applyProtection="1">
      <alignment wrapText="1"/>
    </xf>
    <xf numFmtId="0" fontId="19" fillId="0" borderId="0" xfId="0" applyFont="1" applyBorder="1" applyAlignment="1" applyProtection="1">
      <alignment horizontal="center"/>
    </xf>
    <xf numFmtId="164" fontId="19" fillId="0" borderId="0" xfId="2" applyFont="1" applyBorder="1" applyProtection="1"/>
    <xf numFmtId="2" fontId="20" fillId="0" borderId="0" xfId="0" applyNumberFormat="1" applyFont="1" applyBorder="1"/>
    <xf numFmtId="2" fontId="19" fillId="0" borderId="0" xfId="0" applyNumberFormat="1" applyFont="1" applyBorder="1"/>
    <xf numFmtId="0" fontId="20" fillId="0" borderId="0" xfId="0" applyFont="1" applyFill="1" applyBorder="1" applyProtection="1"/>
    <xf numFmtId="2" fontId="20" fillId="0" borderId="0" xfId="0" applyNumberFormat="1" applyFont="1" applyFill="1" applyBorder="1" applyAlignment="1">
      <alignment horizontal="center"/>
    </xf>
    <xf numFmtId="0" fontId="20" fillId="0" borderId="0" xfId="0" applyFont="1" applyBorder="1" applyAlignment="1" applyProtection="1">
      <alignment wrapText="1"/>
    </xf>
    <xf numFmtId="0" fontId="20" fillId="0" borderId="0" xfId="0" applyFont="1" applyBorder="1" applyAlignment="1" applyProtection="1">
      <alignment horizontal="center"/>
    </xf>
    <xf numFmtId="164" fontId="20" fillId="0" borderId="0" xfId="2" applyFont="1" applyBorder="1" applyProtection="1"/>
    <xf numFmtId="0" fontId="19" fillId="4" borderId="0" xfId="0" applyFont="1" applyFill="1" applyBorder="1" applyAlignment="1">
      <alignment horizontal="left"/>
    </xf>
    <xf numFmtId="0" fontId="19" fillId="0" borderId="0" xfId="0" applyFont="1" applyBorder="1" applyAlignment="1" applyProtection="1">
      <alignment horizontal="left"/>
    </xf>
    <xf numFmtId="1" fontId="19" fillId="0" borderId="0" xfId="0" applyNumberFormat="1" applyFont="1" applyBorder="1" applyProtection="1"/>
    <xf numFmtId="0" fontId="19" fillId="5" borderId="0" xfId="0" applyFont="1" applyFill="1" applyBorder="1"/>
    <xf numFmtId="0" fontId="1" fillId="4" borderId="0" xfId="0" applyNumberFormat="1" applyFont="1" applyFill="1" applyBorder="1" applyAlignment="1">
      <alignment horizontal="left" wrapText="1"/>
    </xf>
    <xf numFmtId="166" fontId="1" fillId="4" borderId="0" xfId="0" applyNumberFormat="1" applyFont="1" applyFill="1" applyBorder="1" applyAlignment="1">
      <alignment horizontal="left" wrapText="1"/>
    </xf>
    <xf numFmtId="0" fontId="5" fillId="4" borderId="0" xfId="0" applyNumberFormat="1" applyFont="1" applyFill="1" applyBorder="1" applyAlignment="1">
      <alignment horizontal="left" wrapText="1"/>
    </xf>
    <xf numFmtId="0" fontId="0" fillId="7" borderId="0" xfId="0" applyFill="1" applyBorder="1"/>
    <xf numFmtId="0" fontId="25" fillId="4" borderId="0" xfId="0" applyFont="1" applyFill="1" applyBorder="1"/>
    <xf numFmtId="1" fontId="26" fillId="4" borderId="0" xfId="1" applyNumberFormat="1" applyFont="1" applyFill="1" applyBorder="1"/>
    <xf numFmtId="0" fontId="10" fillId="0" borderId="0" xfId="0" applyFont="1" applyFill="1" applyBorder="1"/>
    <xf numFmtId="166" fontId="5" fillId="4" borderId="0" xfId="0" applyNumberFormat="1" applyFont="1" applyFill="1" applyBorder="1" applyAlignment="1">
      <alignment horizontal="left" wrapText="1"/>
    </xf>
    <xf numFmtId="0" fontId="9" fillId="5" borderId="0" xfId="0" applyFont="1" applyFill="1" applyBorder="1"/>
    <xf numFmtId="0" fontId="27" fillId="4" borderId="0" xfId="0" applyFont="1" applyFill="1" applyBorder="1"/>
    <xf numFmtId="164" fontId="5" fillId="4" borderId="0" xfId="2" applyFont="1" applyFill="1" applyBorder="1"/>
    <xf numFmtId="0" fontId="5" fillId="4" borderId="0" xfId="0" applyFont="1" applyFill="1" applyBorder="1" applyAlignment="1">
      <alignment horizontal="left"/>
    </xf>
    <xf numFmtId="0" fontId="6" fillId="4" borderId="0" xfId="0" applyFont="1" applyFill="1" applyBorder="1" applyAlignment="1">
      <alignment horizontal="center"/>
    </xf>
    <xf numFmtId="0" fontId="5" fillId="0" borderId="0" xfId="0" applyFont="1" applyBorder="1" applyProtection="1"/>
    <xf numFmtId="0" fontId="5" fillId="0" borderId="0" xfId="0" applyFont="1" applyBorder="1" applyAlignment="1" applyProtection="1">
      <alignment wrapText="1"/>
    </xf>
    <xf numFmtId="0" fontId="5" fillId="0" borderId="0" xfId="0" applyFont="1" applyBorder="1" applyAlignment="1" applyProtection="1">
      <alignment horizontal="center"/>
    </xf>
    <xf numFmtId="164" fontId="5" fillId="0" borderId="0" xfId="2" applyFont="1" applyBorder="1" applyProtection="1"/>
    <xf numFmtId="0" fontId="6" fillId="0" borderId="0" xfId="0" applyFont="1" applyBorder="1" applyAlignment="1">
      <alignment horizontal="center"/>
    </xf>
    <xf numFmtId="0" fontId="6" fillId="0" borderId="0" xfId="0" applyFont="1" applyFill="1" applyBorder="1"/>
    <xf numFmtId="0" fontId="5" fillId="0" borderId="0" xfId="0" applyFont="1" applyBorder="1" applyAlignment="1">
      <alignment horizontal="center"/>
    </xf>
    <xf numFmtId="0" fontId="6" fillId="5" borderId="0" xfId="0" applyFont="1" applyFill="1" applyBorder="1" applyAlignment="1">
      <alignment horizontal="center"/>
    </xf>
    <xf numFmtId="2" fontId="6" fillId="0" borderId="0" xfId="0" applyNumberFormat="1" applyFont="1" applyBorder="1"/>
    <xf numFmtId="2" fontId="5" fillId="0" borderId="0" xfId="0" applyNumberFormat="1" applyFont="1" applyBorder="1"/>
    <xf numFmtId="0" fontId="20" fillId="0" borderId="0" xfId="0" applyFont="1" applyBorder="1" applyAlignment="1"/>
    <xf numFmtId="0" fontId="28" fillId="4" borderId="0" xfId="0" applyFont="1" applyFill="1" applyBorder="1"/>
    <xf numFmtId="0" fontId="29" fillId="0" borderId="0" xfId="0" applyFont="1" applyBorder="1"/>
    <xf numFmtId="0" fontId="28" fillId="0" borderId="0" xfId="0" applyFont="1" applyBorder="1"/>
    <xf numFmtId="0" fontId="20" fillId="4" borderId="0" xfId="0" applyFont="1" applyFill="1" applyBorder="1" applyAlignment="1">
      <alignment horizontal="left"/>
    </xf>
    <xf numFmtId="0" fontId="30" fillId="4" borderId="0" xfId="1" applyFont="1" applyFill="1" applyBorder="1"/>
    <xf numFmtId="0" fontId="9" fillId="4" borderId="0" xfId="0" applyFont="1" applyFill="1" applyBorder="1"/>
    <xf numFmtId="0" fontId="5" fillId="4" borderId="0" xfId="0" applyFont="1" applyFill="1" applyBorder="1" applyAlignment="1">
      <alignment wrapText="1"/>
    </xf>
    <xf numFmtId="0" fontId="0" fillId="0" borderId="0" xfId="0" applyNumberFormat="1" applyBorder="1"/>
    <xf numFmtId="0" fontId="2" fillId="4" borderId="0" xfId="0" applyNumberFormat="1" applyFont="1" applyFill="1" applyBorder="1"/>
    <xf numFmtId="0" fontId="19" fillId="4" borderId="0" xfId="0" applyFont="1" applyFill="1" applyBorder="1" applyAlignment="1">
      <alignment horizontal="right"/>
    </xf>
    <xf numFmtId="0" fontId="5" fillId="4" borderId="0" xfId="0" applyFont="1" applyFill="1" applyBorder="1" applyAlignment="1">
      <alignment horizontal="center"/>
    </xf>
    <xf numFmtId="164" fontId="20" fillId="0" borderId="0" xfId="3" applyFont="1" applyBorder="1"/>
    <xf numFmtId="0" fontId="2" fillId="4"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xf numFmtId="164" fontId="19" fillId="0" borderId="0" xfId="2" applyFont="1" applyFill="1" applyBorder="1"/>
    <xf numFmtId="0" fontId="19" fillId="0" borderId="0" xfId="0" applyFont="1" applyFill="1" applyBorder="1" applyAlignment="1"/>
    <xf numFmtId="0" fontId="31" fillId="0" borderId="0" xfId="0" applyFont="1" applyFill="1" applyBorder="1"/>
    <xf numFmtId="0" fontId="19" fillId="0" borderId="0" xfId="0" applyFont="1" applyFill="1" applyBorder="1" applyAlignment="1">
      <alignment horizontal="center"/>
    </xf>
    <xf numFmtId="0" fontId="32" fillId="0" borderId="0" xfId="0" applyFont="1" applyFill="1" applyBorder="1" applyAlignment="1">
      <alignment wrapText="1"/>
    </xf>
    <xf numFmtId="0" fontId="9" fillId="0" borderId="0" xfId="0" applyFont="1" applyFill="1" applyBorder="1" applyAlignment="1">
      <alignment wrapText="1"/>
    </xf>
    <xf numFmtId="0" fontId="9" fillId="0" borderId="0" xfId="0" applyFont="1" applyFill="1" applyBorder="1"/>
    <xf numFmtId="0" fontId="9" fillId="0" borderId="0" xfId="0" applyFont="1" applyFill="1" applyBorder="1" applyAlignment="1">
      <alignment horizontal="center" wrapText="1"/>
    </xf>
    <xf numFmtId="164" fontId="9" fillId="0" borderId="0" xfId="2" applyFont="1" applyFill="1" applyBorder="1"/>
    <xf numFmtId="0" fontId="3" fillId="0" borderId="0" xfId="0" applyFont="1" applyFill="1" applyBorder="1"/>
    <xf numFmtId="3" fontId="29" fillId="0" borderId="0" xfId="0" applyNumberFormat="1" applyFont="1" applyFill="1" applyBorder="1" applyAlignment="1">
      <alignment horizontal="left" wrapText="1"/>
    </xf>
    <xf numFmtId="0" fontId="29" fillId="0" borderId="0" xfId="0" applyFont="1" applyFill="1" applyBorder="1"/>
    <xf numFmtId="0" fontId="29" fillId="0" borderId="0" xfId="0" applyFont="1" applyFill="1" applyBorder="1" applyAlignment="1">
      <alignment horizontal="center" wrapText="1"/>
    </xf>
    <xf numFmtId="0" fontId="28" fillId="0" borderId="0" xfId="0" applyFont="1" applyFill="1" applyBorder="1"/>
    <xf numFmtId="164" fontId="28" fillId="0" borderId="0" xfId="2" applyFont="1" applyFill="1" applyBorder="1"/>
    <xf numFmtId="0" fontId="32" fillId="0" borderId="0" xfId="0" applyFont="1" applyFill="1" applyBorder="1"/>
    <xf numFmtId="0" fontId="33" fillId="0" borderId="0" xfId="0" applyFont="1" applyFill="1" applyBorder="1" applyAlignment="1">
      <alignment wrapText="1"/>
    </xf>
    <xf numFmtId="0" fontId="33" fillId="0" borderId="0" xfId="0" applyFont="1" applyFill="1" applyBorder="1" applyAlignment="1">
      <alignment horizontal="center" wrapText="1"/>
    </xf>
    <xf numFmtId="0" fontId="33" fillId="0" borderId="0" xfId="0" applyFont="1" applyFill="1" applyBorder="1"/>
    <xf numFmtId="164" fontId="33" fillId="0" borderId="0" xfId="2" applyFont="1" applyFill="1" applyBorder="1"/>
    <xf numFmtId="0" fontId="2" fillId="0" borderId="0" xfId="0" applyFont="1" applyFill="1" applyBorder="1" applyAlignment="1">
      <alignment wrapText="1"/>
    </xf>
    <xf numFmtId="164" fontId="2" fillId="0" borderId="0" xfId="2" applyFont="1" applyFill="1" applyBorder="1"/>
    <xf numFmtId="0" fontId="0" fillId="0" borderId="0" xfId="0" applyFill="1" applyBorder="1" applyAlignment="1">
      <alignment wrapText="1"/>
    </xf>
    <xf numFmtId="0" fontId="0" fillId="0" borderId="0" xfId="0" applyFont="1" applyFill="1" applyBorder="1"/>
    <xf numFmtId="0" fontId="0" fillId="0" borderId="0" xfId="0" applyNumberFormat="1" applyFont="1" applyFill="1" applyBorder="1" applyAlignment="1">
      <alignment horizontal="center" wrapText="1"/>
    </xf>
    <xf numFmtId="9" fontId="0" fillId="0" borderId="0" xfId="0" applyNumberFormat="1" applyFont="1" applyFill="1" applyBorder="1"/>
    <xf numFmtId="164" fontId="7" fillId="0" borderId="0" xfId="2" applyFont="1" applyFill="1" applyBorder="1"/>
    <xf numFmtId="0" fontId="0" fillId="0" borderId="0" xfId="0" applyFont="1" applyFill="1" applyBorder="1" applyAlignment="1">
      <alignment horizontal="center" wrapText="1"/>
    </xf>
    <xf numFmtId="0" fontId="32" fillId="0" borderId="0" xfId="0" applyFont="1" applyBorder="1" applyAlignment="1">
      <alignment wrapText="1"/>
    </xf>
    <xf numFmtId="0" fontId="34" fillId="0" borderId="0" xfId="0" applyFont="1" applyBorder="1" applyAlignment="1">
      <alignment wrapText="1"/>
    </xf>
    <xf numFmtId="0" fontId="9" fillId="0" borderId="0" xfId="0" applyFont="1" applyBorder="1" applyAlignment="1">
      <alignment horizontal="center" wrapText="1"/>
    </xf>
    <xf numFmtId="164" fontId="9" fillId="0" borderId="0" xfId="2" applyFont="1" applyBorder="1"/>
    <xf numFmtId="0" fontId="32" fillId="0" borderId="0" xfId="0" applyFont="1" applyBorder="1"/>
    <xf numFmtId="0" fontId="0" fillId="0" borderId="0" xfId="0" applyFont="1" applyBorder="1" applyAlignment="1">
      <alignment horizontal="center" wrapText="1"/>
    </xf>
    <xf numFmtId="164" fontId="7" fillId="0" borderId="0" xfId="2" applyFont="1" applyBorder="1"/>
    <xf numFmtId="0" fontId="0" fillId="0" borderId="0" xfId="0" applyBorder="1" applyAlignment="1">
      <alignment horizontal="center"/>
    </xf>
    <xf numFmtId="165" fontId="20" fillId="0" borderId="0" xfId="2" applyNumberFormat="1" applyFont="1" applyBorder="1"/>
    <xf numFmtId="0" fontId="0" fillId="5" borderId="0" xfId="0" applyFill="1"/>
    <xf numFmtId="0" fontId="9" fillId="0" borderId="1" xfId="0" applyFont="1" applyBorder="1" applyAlignment="1">
      <alignment horizontal="left" wrapText="1"/>
    </xf>
    <xf numFmtId="0" fontId="12" fillId="0" borderId="1" xfId="0" applyFont="1" applyBorder="1" applyAlignment="1" applyProtection="1">
      <alignment horizontal="left" wrapText="1"/>
    </xf>
    <xf numFmtId="0" fontId="12" fillId="0" borderId="1" xfId="0" applyFont="1" applyBorder="1" applyAlignment="1" applyProtection="1">
      <alignment horizontal="center" wrapText="1"/>
    </xf>
    <xf numFmtId="164" fontId="12" fillId="0" borderId="1" xfId="2" applyFont="1" applyBorder="1" applyAlignment="1" applyProtection="1">
      <alignment horizontal="center" wrapText="1"/>
    </xf>
    <xf numFmtId="165" fontId="12" fillId="0" borderId="1" xfId="2" applyNumberFormat="1" applyFont="1" applyBorder="1" applyAlignment="1" applyProtection="1">
      <alignment horizontal="center" wrapText="1"/>
    </xf>
    <xf numFmtId="0" fontId="0" fillId="0" borderId="2" xfId="0" applyBorder="1" applyAlignment="1">
      <alignment horizontal="left"/>
    </xf>
    <xf numFmtId="0" fontId="0" fillId="0" borderId="2" xfId="0" applyBorder="1"/>
    <xf numFmtId="0" fontId="0" fillId="0" borderId="2" xfId="0" applyBorder="1" applyAlignment="1">
      <alignment wrapText="1"/>
    </xf>
    <xf numFmtId="165" fontId="7" fillId="0" borderId="2" xfId="2" applyNumberFormat="1" applyFont="1" applyBorder="1"/>
    <xf numFmtId="0" fontId="0" fillId="0" borderId="3" xfId="0" applyBorder="1" applyAlignment="1">
      <alignment horizontal="left"/>
    </xf>
    <xf numFmtId="0" fontId="0" fillId="0" borderId="3" xfId="0" applyFont="1" applyBorder="1" applyAlignment="1">
      <alignment wrapText="1"/>
    </xf>
    <xf numFmtId="0" fontId="0" fillId="0" borderId="3" xfId="0" applyBorder="1" applyAlignment="1">
      <alignment wrapText="1"/>
    </xf>
    <xf numFmtId="0" fontId="0" fillId="0" borderId="3" xfId="0" applyFont="1" applyBorder="1" applyAlignment="1">
      <alignment horizontal="right"/>
    </xf>
    <xf numFmtId="165" fontId="7" fillId="0" borderId="3" xfId="2" applyNumberFormat="1" applyFont="1" applyBorder="1"/>
    <xf numFmtId="0" fontId="0" fillId="0" borderId="3" xfId="0" applyBorder="1" applyAlignment="1">
      <alignment horizontal="right"/>
    </xf>
    <xf numFmtId="3" fontId="0" fillId="0" borderId="3" xfId="0" applyNumberFormat="1" applyBorder="1" applyAlignment="1">
      <alignment horizontal="left"/>
    </xf>
    <xf numFmtId="3" fontId="28" fillId="0" borderId="3" xfId="0" applyNumberFormat="1" applyFont="1" applyBorder="1" applyAlignment="1">
      <alignment horizontal="left"/>
    </xf>
    <xf numFmtId="0" fontId="28" fillId="0" borderId="3" xfId="0" applyFont="1" applyBorder="1" applyAlignment="1">
      <alignment wrapText="1"/>
    </xf>
    <xf numFmtId="0" fontId="28" fillId="0" borderId="3" xfId="0" applyFont="1" applyBorder="1" applyAlignment="1">
      <alignment horizontal="right"/>
    </xf>
    <xf numFmtId="165" fontId="28" fillId="0" borderId="3" xfId="2" applyNumberFormat="1" applyFont="1" applyBorder="1"/>
    <xf numFmtId="0" fontId="0" fillId="0" borderId="3" xfId="0" applyBorder="1" applyAlignment="1">
      <alignment horizontal="left" wrapText="1"/>
    </xf>
    <xf numFmtId="3" fontId="0" fillId="0" borderId="3" xfId="0" applyNumberFormat="1" applyBorder="1" applyAlignment="1">
      <alignment horizontal="left" wrapText="1"/>
    </xf>
    <xf numFmtId="0" fontId="0" fillId="0" borderId="3" xfId="0" applyFont="1" applyBorder="1" applyAlignment="1">
      <alignment horizontal="left" wrapText="1"/>
    </xf>
    <xf numFmtId="0" fontId="0" fillId="0" borderId="3" xfId="0" applyFont="1" applyBorder="1" applyAlignment="1">
      <alignment horizontal="left"/>
    </xf>
    <xf numFmtId="0" fontId="34" fillId="0" borderId="3" xfId="0" applyFont="1" applyBorder="1" applyAlignment="1">
      <alignment horizontal="left"/>
    </xf>
    <xf numFmtId="0" fontId="10" fillId="0" borderId="3" xfId="0" applyFont="1" applyBorder="1" applyAlignment="1">
      <alignment horizontal="left" wrapText="1"/>
    </xf>
    <xf numFmtId="0" fontId="10" fillId="0" borderId="3" xfId="0" applyFont="1" applyBorder="1" applyAlignment="1">
      <alignment wrapText="1"/>
    </xf>
    <xf numFmtId="0" fontId="10" fillId="0" borderId="3" xfId="0" applyFont="1" applyBorder="1" applyAlignment="1">
      <alignment horizontal="right"/>
    </xf>
    <xf numFmtId="165" fontId="10" fillId="0" borderId="3" xfId="2" applyNumberFormat="1" applyFont="1" applyBorder="1"/>
    <xf numFmtId="0" fontId="9" fillId="0" borderId="3" xfId="0" applyFont="1" applyBorder="1" applyAlignment="1"/>
    <xf numFmtId="0" fontId="28" fillId="0" borderId="3" xfId="0" applyFont="1" applyBorder="1" applyAlignment="1">
      <alignment horizontal="left"/>
    </xf>
    <xf numFmtId="0" fontId="28" fillId="0" borderId="3" xfId="0" applyFont="1" applyBorder="1" applyAlignment="1">
      <alignment horizontal="left" wrapText="1"/>
    </xf>
    <xf numFmtId="2" fontId="0" fillId="0" borderId="3" xfId="0" applyNumberFormat="1" applyBorder="1" applyAlignment="1">
      <alignment wrapText="1"/>
    </xf>
    <xf numFmtId="2" fontId="0" fillId="0" borderId="3" xfId="0" applyNumberFormat="1" applyBorder="1" applyAlignment="1">
      <alignment horizontal="right"/>
    </xf>
    <xf numFmtId="166" fontId="0" fillId="0" borderId="3" xfId="0" applyNumberFormat="1" applyBorder="1" applyAlignment="1">
      <alignment horizontal="left" wrapText="1"/>
    </xf>
    <xf numFmtId="0" fontId="9" fillId="0" borderId="3" xfId="0" applyFont="1" applyBorder="1" applyAlignment="1">
      <alignment wrapText="1"/>
    </xf>
    <xf numFmtId="0" fontId="9" fillId="0" borderId="3" xfId="0" applyFont="1" applyBorder="1" applyAlignment="1">
      <alignment horizontal="right"/>
    </xf>
    <xf numFmtId="166" fontId="0" fillId="0" borderId="3" xfId="0" applyNumberFormat="1" applyBorder="1" applyAlignment="1">
      <alignment wrapText="1"/>
    </xf>
    <xf numFmtId="166" fontId="0" fillId="0" borderId="3" xfId="0" applyNumberFormat="1" applyBorder="1" applyAlignment="1">
      <alignment horizontal="right"/>
    </xf>
    <xf numFmtId="166" fontId="0" fillId="0" borderId="3" xfId="0" applyNumberFormat="1" applyBorder="1" applyAlignment="1">
      <alignment horizontal="left"/>
    </xf>
    <xf numFmtId="0" fontId="0" fillId="0" borderId="3" xfId="0" applyBorder="1"/>
    <xf numFmtId="0" fontId="0" fillId="0" borderId="3" xfId="0" applyFont="1" applyBorder="1"/>
    <xf numFmtId="1" fontId="0" fillId="0" borderId="3" xfId="0" applyNumberFormat="1" applyBorder="1" applyAlignment="1">
      <alignment horizontal="right"/>
    </xf>
    <xf numFmtId="0" fontId="0" fillId="0" borderId="3" xfId="0" applyFont="1" applyBorder="1" applyAlignment="1">
      <alignment horizontal="right" wrapText="1"/>
    </xf>
    <xf numFmtId="0" fontId="29" fillId="0" borderId="3" xfId="0" applyFont="1" applyBorder="1" applyAlignment="1">
      <alignment horizontal="left"/>
    </xf>
    <xf numFmtId="0" fontId="9" fillId="0" borderId="3" xfId="0" applyFont="1" applyBorder="1" applyAlignment="1">
      <alignment horizontal="left" wrapText="1"/>
    </xf>
    <xf numFmtId="0" fontId="0" fillId="4" borderId="4" xfId="0" applyFill="1" applyBorder="1" applyAlignment="1">
      <alignment horizontal="left"/>
    </xf>
    <xf numFmtId="0" fontId="9" fillId="4" borderId="4" xfId="0" applyFont="1" applyFill="1" applyBorder="1" applyAlignment="1">
      <alignment horizontal="left" wrapText="1"/>
    </xf>
    <xf numFmtId="0" fontId="0" fillId="4" borderId="4" xfId="0" applyFont="1" applyFill="1" applyBorder="1" applyAlignment="1">
      <alignment wrapText="1"/>
    </xf>
    <xf numFmtId="0" fontId="0" fillId="4" borderId="4" xfId="0" applyFill="1" applyBorder="1" applyAlignment="1">
      <alignment wrapText="1"/>
    </xf>
    <xf numFmtId="0" fontId="0" fillId="4" borderId="4" xfId="0" applyFill="1" applyBorder="1" applyAlignment="1">
      <alignment horizontal="right"/>
    </xf>
    <xf numFmtId="165" fontId="9" fillId="4" borderId="4" xfId="2" applyNumberFormat="1" applyFont="1" applyFill="1" applyBorder="1"/>
    <xf numFmtId="0" fontId="0" fillId="0" borderId="4" xfId="0" applyBorder="1"/>
    <xf numFmtId="164" fontId="12" fillId="0" borderId="5" xfId="2" applyFont="1" applyBorder="1" applyAlignment="1" applyProtection="1">
      <alignment horizontal="center" wrapText="1"/>
    </xf>
    <xf numFmtId="1" fontId="0" fillId="0" borderId="3" xfId="0" applyNumberFormat="1" applyBorder="1"/>
    <xf numFmtId="0" fontId="0" fillId="0" borderId="3" xfId="0" applyFill="1" applyBorder="1"/>
    <xf numFmtId="1" fontId="0" fillId="0" borderId="3" xfId="0" applyNumberFormat="1" applyFill="1" applyBorder="1"/>
    <xf numFmtId="0" fontId="0" fillId="5" borderId="3" xfId="0" applyFill="1" applyBorder="1"/>
    <xf numFmtId="0" fontId="9" fillId="4" borderId="4" xfId="0" applyFont="1" applyFill="1" applyBorder="1"/>
    <xf numFmtId="0" fontId="4" fillId="3" borderId="0" xfId="0" applyNumberFormat="1" applyFont="1" applyFill="1" applyBorder="1"/>
    <xf numFmtId="0" fontId="12" fillId="0" borderId="0" xfId="0" applyNumberFormat="1" applyFont="1" applyBorder="1" applyAlignment="1">
      <alignment horizontal="left"/>
    </xf>
    <xf numFmtId="0" fontId="12" fillId="0" borderId="1" xfId="0" applyNumberFormat="1" applyFont="1" applyBorder="1" applyAlignment="1" applyProtection="1">
      <alignment horizontal="left" wrapText="1"/>
    </xf>
    <xf numFmtId="0" fontId="9" fillId="0" borderId="3" xfId="0" applyNumberFormat="1" applyFont="1" applyBorder="1" applyAlignment="1">
      <alignment horizontal="left" wrapText="1"/>
    </xf>
    <xf numFmtId="0" fontId="9" fillId="4" borderId="4" xfId="0" applyNumberFormat="1" applyFont="1" applyFill="1" applyBorder="1" applyAlignment="1">
      <alignment horizontal="left" wrapText="1"/>
    </xf>
    <xf numFmtId="0" fontId="12" fillId="0" borderId="0" xfId="0" applyNumberFormat="1" applyFont="1" applyFill="1" applyBorder="1" applyAlignment="1">
      <alignment horizontal="left"/>
    </xf>
    <xf numFmtId="0" fontId="9" fillId="0" borderId="2" xfId="0" applyNumberFormat="1" applyFont="1" applyBorder="1" applyAlignment="1">
      <alignment horizontal="left"/>
    </xf>
    <xf numFmtId="0" fontId="9" fillId="0" borderId="3" xfId="0" applyNumberFormat="1" applyFont="1" applyBorder="1" applyAlignment="1">
      <alignment horizontal="left"/>
    </xf>
    <xf numFmtId="0" fontId="29" fillId="0" borderId="3" xfId="0" applyNumberFormat="1" applyFont="1" applyBorder="1" applyAlignment="1">
      <alignment horizontal="left"/>
    </xf>
    <xf numFmtId="0" fontId="35" fillId="0" borderId="3" xfId="0" applyNumberFormat="1" applyFont="1" applyBorder="1" applyAlignment="1">
      <alignment horizontal="left" wrapText="1"/>
    </xf>
    <xf numFmtId="0" fontId="29" fillId="0" borderId="3" xfId="0" applyNumberFormat="1" applyFont="1" applyBorder="1" applyAlignment="1">
      <alignment horizontal="left" wrapText="1"/>
    </xf>
    <xf numFmtId="0" fontId="9" fillId="0" borderId="0" xfId="0" applyNumberFormat="1" applyFont="1" applyAlignment="1">
      <alignment horizontal="left" wrapText="1"/>
    </xf>
    <xf numFmtId="0" fontId="9" fillId="0" borderId="0" xfId="0" applyNumberFormat="1" applyFont="1" applyAlignment="1">
      <alignment horizontal="left"/>
    </xf>
    <xf numFmtId="164" fontId="12" fillId="3" borderId="0" xfId="2" applyFont="1" applyFill="1" applyBorder="1" applyAlignment="1">
      <alignment horizontal="right"/>
    </xf>
    <xf numFmtId="164" fontId="12" fillId="0" borderId="0" xfId="2" applyFont="1" applyFill="1" applyBorder="1" applyAlignment="1">
      <alignment horizontal="right"/>
    </xf>
    <xf numFmtId="164" fontId="9" fillId="0" borderId="2" xfId="2" applyFont="1" applyBorder="1"/>
    <xf numFmtId="164" fontId="9" fillId="0" borderId="3" xfId="2" applyFont="1" applyBorder="1"/>
    <xf numFmtId="164" fontId="29" fillId="0" borderId="3" xfId="2" applyFont="1" applyBorder="1"/>
    <xf numFmtId="164" fontId="35" fillId="0" borderId="3" xfId="2" applyFont="1" applyBorder="1"/>
    <xf numFmtId="164" fontId="9" fillId="4" borderId="4" xfId="2" applyFont="1" applyFill="1" applyBorder="1"/>
    <xf numFmtId="164" fontId="9" fillId="0" borderId="0" xfId="2" applyFont="1"/>
    <xf numFmtId="0" fontId="9" fillId="0" borderId="2" xfId="0" applyFont="1" applyBorder="1"/>
    <xf numFmtId="0" fontId="9" fillId="0" borderId="3" xfId="0" applyFont="1" applyBorder="1"/>
    <xf numFmtId="0" fontId="9" fillId="0" borderId="0" xfId="0" applyFont="1"/>
    <xf numFmtId="3" fontId="0" fillId="0" borderId="0" xfId="0" applyNumberFormat="1"/>
    <xf numFmtId="166" fontId="0" fillId="0" borderId="0" xfId="0" applyNumberFormat="1"/>
  </cellXfs>
  <cellStyles count="4">
    <cellStyle name="Check Cell" xfId="1" builtinId="23"/>
    <cellStyle name="Comma" xfId="2" builtinId="3"/>
    <cellStyle name="Comma 2" xf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206"/>
  <sheetViews>
    <sheetView tabSelected="1" workbookViewId="0">
      <selection activeCell="B2982" sqref="B2982"/>
    </sheetView>
  </sheetViews>
  <sheetFormatPr defaultColWidth="9.109375" defaultRowHeight="14.4" x14ac:dyDescent="0.3"/>
  <cols>
    <col min="1" max="1" width="9.109375" style="38"/>
    <col min="2" max="2" width="42.5546875" style="38" customWidth="1"/>
    <col min="3" max="3" width="11.5546875" style="38" customWidth="1"/>
    <col min="4" max="4" width="10.33203125" style="254" customWidth="1"/>
    <col min="5" max="5" width="13.5546875" style="38" customWidth="1"/>
    <col min="6" max="6" width="14.77734375" style="38" customWidth="1"/>
    <col min="7" max="7" width="9.109375" style="38"/>
    <col min="8" max="8" width="19.21875" style="253" customWidth="1"/>
    <col min="9" max="16384" width="9.109375" style="38"/>
  </cols>
  <sheetData>
    <row r="2" spans="1:10" s="31" customFormat="1" ht="21" x14ac:dyDescent="0.4">
      <c r="A2" s="26" t="s">
        <v>12</v>
      </c>
      <c r="B2" s="27"/>
      <c r="C2" s="28"/>
      <c r="D2" s="29"/>
      <c r="E2" s="26" t="s">
        <v>13</v>
      </c>
      <c r="F2" s="28"/>
      <c r="G2" s="28"/>
      <c r="H2" s="30"/>
    </row>
    <row r="3" spans="1:10" ht="21" x14ac:dyDescent="0.4">
      <c r="A3" s="32"/>
      <c r="B3" s="33"/>
      <c r="C3" s="34"/>
      <c r="D3" s="35"/>
      <c r="E3" s="32"/>
      <c r="F3" s="34"/>
      <c r="G3" s="34"/>
      <c r="H3" s="36"/>
      <c r="I3" s="37"/>
    </row>
    <row r="4" spans="1:10" x14ac:dyDescent="0.3">
      <c r="A4" s="39" t="s">
        <v>17</v>
      </c>
      <c r="B4" s="40"/>
      <c r="C4" s="40"/>
      <c r="D4" s="41"/>
      <c r="E4" s="40"/>
      <c r="F4" s="40"/>
      <c r="G4" s="40"/>
      <c r="H4" s="42"/>
    </row>
    <row r="5" spans="1:10" x14ac:dyDescent="0.3">
      <c r="A5" s="40"/>
      <c r="B5" s="40"/>
      <c r="C5" s="40"/>
      <c r="D5" s="41"/>
      <c r="E5" s="40"/>
      <c r="F5" s="40"/>
      <c r="G5" s="40"/>
      <c r="H5" s="42"/>
    </row>
    <row r="6" spans="1:10" x14ac:dyDescent="0.3">
      <c r="A6" s="39" t="s">
        <v>1304</v>
      </c>
      <c r="B6" s="40"/>
      <c r="C6" s="40"/>
      <c r="D6" s="41"/>
      <c r="E6" s="40"/>
      <c r="F6" s="40"/>
      <c r="G6" s="40"/>
      <c r="H6" s="42"/>
    </row>
    <row r="7" spans="1:10" x14ac:dyDescent="0.3">
      <c r="A7" s="39"/>
      <c r="B7" s="40"/>
      <c r="C7" s="40"/>
      <c r="D7" s="41"/>
      <c r="E7" s="40"/>
      <c r="F7" s="40"/>
      <c r="G7" s="40"/>
      <c r="H7" s="42"/>
    </row>
    <row r="8" spans="1:10" s="31" customFormat="1" x14ac:dyDescent="0.3">
      <c r="A8" s="43"/>
      <c r="B8" s="44" t="s">
        <v>714</v>
      </c>
      <c r="C8" s="44" t="s">
        <v>715</v>
      </c>
      <c r="D8" s="45"/>
      <c r="E8" s="46" t="s">
        <v>1929</v>
      </c>
      <c r="F8" s="47"/>
      <c r="G8" s="47"/>
      <c r="H8" s="48"/>
    </row>
    <row r="9" spans="1:10" x14ac:dyDescent="0.3">
      <c r="A9" s="40"/>
      <c r="B9" s="49" t="s">
        <v>10</v>
      </c>
      <c r="C9" s="49" t="s">
        <v>1</v>
      </c>
      <c r="D9" s="50" t="s">
        <v>2</v>
      </c>
      <c r="E9" s="51" t="s">
        <v>3</v>
      </c>
      <c r="F9" s="51" t="s">
        <v>4</v>
      </c>
      <c r="G9" s="51" t="s">
        <v>5</v>
      </c>
      <c r="H9" s="52" t="s">
        <v>6</v>
      </c>
    </row>
    <row r="10" spans="1:10" ht="100.8" x14ac:dyDescent="0.3">
      <c r="A10" s="40">
        <v>1</v>
      </c>
      <c r="B10" s="53" t="s">
        <v>1674</v>
      </c>
      <c r="C10" s="40">
        <v>1</v>
      </c>
      <c r="D10" s="54">
        <v>114.56</v>
      </c>
      <c r="E10" s="40">
        <v>450</v>
      </c>
      <c r="F10" s="40">
        <f>C10*D10*E10</f>
        <v>51552</v>
      </c>
      <c r="G10" s="55">
        <v>0.4</v>
      </c>
      <c r="H10" s="42">
        <f>F10*(1-G10)</f>
        <v>30931.199999999997</v>
      </c>
    </row>
    <row r="11" spans="1:10" ht="57.6" x14ac:dyDescent="0.3">
      <c r="A11" s="40">
        <v>2</v>
      </c>
      <c r="B11" s="53" t="s">
        <v>1354</v>
      </c>
      <c r="C11" s="40">
        <v>1</v>
      </c>
      <c r="D11" s="56">
        <v>49.47</v>
      </c>
      <c r="E11" s="40">
        <v>200</v>
      </c>
      <c r="F11" s="40">
        <f>C11*D11*E11</f>
        <v>9894</v>
      </c>
      <c r="G11" s="55">
        <v>0.4</v>
      </c>
      <c r="H11" s="42">
        <f>F11*(1-G11)</f>
        <v>5936.4</v>
      </c>
    </row>
    <row r="12" spans="1:10" ht="43.2" x14ac:dyDescent="0.3">
      <c r="A12" s="40">
        <v>3</v>
      </c>
      <c r="B12" s="53" t="s">
        <v>1355</v>
      </c>
      <c r="C12" s="40">
        <v>1</v>
      </c>
      <c r="D12" s="54">
        <v>386</v>
      </c>
      <c r="E12" s="40">
        <v>150</v>
      </c>
      <c r="F12" s="40">
        <f>C12*D12*E12</f>
        <v>57900</v>
      </c>
      <c r="G12" s="55">
        <v>0.5</v>
      </c>
      <c r="H12" s="42">
        <f>F12*(1-G12)</f>
        <v>28950</v>
      </c>
    </row>
    <row r="13" spans="1:10" ht="28.8" x14ac:dyDescent="0.3">
      <c r="A13" s="40">
        <v>4</v>
      </c>
      <c r="B13" s="53" t="s">
        <v>716</v>
      </c>
      <c r="C13" s="40">
        <v>1</v>
      </c>
      <c r="D13" s="54">
        <v>445.13</v>
      </c>
      <c r="E13" s="40">
        <v>25</v>
      </c>
      <c r="F13" s="40">
        <f>C13*D13*E13*0.5</f>
        <v>5564.125</v>
      </c>
      <c r="G13" s="55">
        <v>0.5</v>
      </c>
      <c r="H13" s="42">
        <f>F13*(1-G13)</f>
        <v>2782.0625</v>
      </c>
    </row>
    <row r="14" spans="1:10" x14ac:dyDescent="0.3">
      <c r="A14" s="40"/>
      <c r="B14" s="57" t="s">
        <v>7</v>
      </c>
      <c r="C14" s="40"/>
      <c r="D14" s="54"/>
      <c r="E14" s="40"/>
      <c r="F14" s="40"/>
      <c r="G14" s="55"/>
      <c r="H14" s="58">
        <f>SUM(H10:H13)</f>
        <v>68599.662500000006</v>
      </c>
    </row>
    <row r="15" spans="1:10" x14ac:dyDescent="0.3">
      <c r="A15" s="40">
        <v>5</v>
      </c>
      <c r="B15" s="57" t="s">
        <v>8</v>
      </c>
      <c r="C15" s="40">
        <v>1</v>
      </c>
      <c r="D15" s="54">
        <v>21040</v>
      </c>
      <c r="E15" s="40">
        <v>8</v>
      </c>
      <c r="F15" s="40">
        <f>(10000*8)+(10000*0.75*E15)+(1040*5*E15)</f>
        <v>181600</v>
      </c>
      <c r="G15" s="55">
        <v>0</v>
      </c>
      <c r="H15" s="58">
        <f>(1-G15)*F15</f>
        <v>181600</v>
      </c>
      <c r="J15" s="37"/>
    </row>
    <row r="16" spans="1:10" x14ac:dyDescent="0.3">
      <c r="A16" s="51"/>
      <c r="B16" s="57" t="s">
        <v>9</v>
      </c>
      <c r="C16" s="39"/>
      <c r="D16" s="59"/>
      <c r="E16" s="39"/>
      <c r="F16" s="39"/>
      <c r="G16" s="39"/>
      <c r="H16" s="58">
        <f>H14+H15</f>
        <v>250199.66250000001</v>
      </c>
    </row>
    <row r="17" spans="1:8" x14ac:dyDescent="0.3">
      <c r="A17" s="51"/>
      <c r="B17" s="57"/>
      <c r="C17" s="39"/>
      <c r="D17" s="59"/>
      <c r="E17" s="39"/>
      <c r="F17" s="39"/>
      <c r="G17" s="39"/>
      <c r="H17" s="58"/>
    </row>
    <row r="18" spans="1:8" x14ac:dyDescent="0.3">
      <c r="A18" s="43"/>
      <c r="B18" s="44" t="s">
        <v>717</v>
      </c>
      <c r="C18" s="44" t="s">
        <v>718</v>
      </c>
      <c r="D18" s="45"/>
      <c r="E18" s="46"/>
      <c r="F18" s="47" t="s">
        <v>719</v>
      </c>
      <c r="G18" s="60"/>
      <c r="H18" s="48"/>
    </row>
    <row r="19" spans="1:8" x14ac:dyDescent="0.3">
      <c r="A19" s="40"/>
      <c r="B19" s="49" t="s">
        <v>10</v>
      </c>
      <c r="C19" s="49" t="s">
        <v>1</v>
      </c>
      <c r="D19" s="50" t="s">
        <v>2</v>
      </c>
      <c r="E19" s="51" t="s">
        <v>3</v>
      </c>
      <c r="F19" s="51" t="s">
        <v>4</v>
      </c>
      <c r="G19" s="51" t="s">
        <v>5</v>
      </c>
      <c r="H19" s="52" t="s">
        <v>6</v>
      </c>
    </row>
    <row r="20" spans="1:8" ht="100.8" x14ac:dyDescent="0.3">
      <c r="A20" s="40">
        <v>1</v>
      </c>
      <c r="B20" s="53" t="s">
        <v>1675</v>
      </c>
      <c r="C20" s="40">
        <v>1</v>
      </c>
      <c r="D20" s="54">
        <v>142.47</v>
      </c>
      <c r="E20" s="40">
        <v>450</v>
      </c>
      <c r="F20" s="40">
        <f t="shared" ref="F20:F37" si="0">C20*D20*E20</f>
        <v>64111.5</v>
      </c>
      <c r="G20" s="55">
        <v>0.4</v>
      </c>
      <c r="H20" s="42">
        <f t="shared" ref="H20:H37" si="1">F20*(1-G20)</f>
        <v>38466.9</v>
      </c>
    </row>
    <row r="21" spans="1:8" ht="57.6" x14ac:dyDescent="0.3">
      <c r="A21" s="40">
        <v>2</v>
      </c>
      <c r="B21" s="53" t="s">
        <v>1356</v>
      </c>
      <c r="C21" s="40">
        <v>1</v>
      </c>
      <c r="D21" s="54">
        <v>77.7</v>
      </c>
      <c r="E21" s="40">
        <v>150</v>
      </c>
      <c r="F21" s="40">
        <f t="shared" si="0"/>
        <v>11655</v>
      </c>
      <c r="G21" s="55">
        <v>0.5</v>
      </c>
      <c r="H21" s="42">
        <f t="shared" si="1"/>
        <v>5827.5</v>
      </c>
    </row>
    <row r="22" spans="1:8" ht="115.2" x14ac:dyDescent="0.3">
      <c r="A22" s="40">
        <v>3</v>
      </c>
      <c r="B22" s="53" t="s">
        <v>1676</v>
      </c>
      <c r="C22" s="40">
        <v>1</v>
      </c>
      <c r="D22" s="54">
        <v>3413.93</v>
      </c>
      <c r="E22" s="40">
        <v>500</v>
      </c>
      <c r="F22" s="40">
        <f t="shared" si="0"/>
        <v>1706965</v>
      </c>
      <c r="G22" s="55">
        <v>0.4</v>
      </c>
      <c r="H22" s="42">
        <f t="shared" si="1"/>
        <v>1024179</v>
      </c>
    </row>
    <row r="23" spans="1:8" ht="86.4" x14ac:dyDescent="0.3">
      <c r="A23" s="40">
        <v>4</v>
      </c>
      <c r="B23" s="53" t="s">
        <v>1677</v>
      </c>
      <c r="C23" s="40">
        <v>1</v>
      </c>
      <c r="D23" s="54">
        <v>973.24</v>
      </c>
      <c r="E23" s="40">
        <v>550</v>
      </c>
      <c r="F23" s="40">
        <f t="shared" si="0"/>
        <v>535282</v>
      </c>
      <c r="G23" s="55">
        <v>0.4</v>
      </c>
      <c r="H23" s="42">
        <f t="shared" si="1"/>
        <v>321169.2</v>
      </c>
    </row>
    <row r="24" spans="1:8" ht="43.2" x14ac:dyDescent="0.3">
      <c r="A24" s="40">
        <v>5</v>
      </c>
      <c r="B24" s="53" t="s">
        <v>720</v>
      </c>
      <c r="C24" s="40">
        <v>1</v>
      </c>
      <c r="D24" s="56">
        <v>211</v>
      </c>
      <c r="E24" s="40">
        <v>80</v>
      </c>
      <c r="F24" s="40">
        <f t="shared" si="0"/>
        <v>16880</v>
      </c>
      <c r="G24" s="55">
        <v>0.4</v>
      </c>
      <c r="H24" s="42">
        <f t="shared" si="1"/>
        <v>10128</v>
      </c>
    </row>
    <row r="25" spans="1:8" ht="100.8" x14ac:dyDescent="0.3">
      <c r="A25" s="40">
        <v>6</v>
      </c>
      <c r="B25" s="53" t="s">
        <v>1357</v>
      </c>
      <c r="C25" s="40">
        <v>1</v>
      </c>
      <c r="D25" s="54">
        <v>445.66</v>
      </c>
      <c r="E25" s="40">
        <v>450</v>
      </c>
      <c r="F25" s="40">
        <f t="shared" si="0"/>
        <v>200547</v>
      </c>
      <c r="G25" s="55">
        <v>0.4</v>
      </c>
      <c r="H25" s="42">
        <f t="shared" si="1"/>
        <v>120328.2</v>
      </c>
    </row>
    <row r="26" spans="1:8" ht="57.6" x14ac:dyDescent="0.3">
      <c r="A26" s="40">
        <v>7</v>
      </c>
      <c r="B26" s="53" t="s">
        <v>1358</v>
      </c>
      <c r="C26" s="40">
        <v>1</v>
      </c>
      <c r="D26" s="54">
        <v>949.63</v>
      </c>
      <c r="E26" s="40">
        <v>150</v>
      </c>
      <c r="F26" s="40">
        <f t="shared" si="0"/>
        <v>142444.5</v>
      </c>
      <c r="G26" s="55">
        <v>0.5</v>
      </c>
      <c r="H26" s="42">
        <f t="shared" si="1"/>
        <v>71222.25</v>
      </c>
    </row>
    <row r="27" spans="1:8" ht="72" x14ac:dyDescent="0.3">
      <c r="A27" s="40">
        <v>8</v>
      </c>
      <c r="B27" s="53" t="s">
        <v>721</v>
      </c>
      <c r="C27" s="40">
        <v>1</v>
      </c>
      <c r="D27" s="54">
        <v>145.16999999999999</v>
      </c>
      <c r="E27" s="40">
        <v>400</v>
      </c>
      <c r="F27" s="40">
        <f t="shared" si="0"/>
        <v>58067.999999999993</v>
      </c>
      <c r="G27" s="55">
        <v>0.5</v>
      </c>
      <c r="H27" s="42">
        <f t="shared" si="1"/>
        <v>29033.999999999996</v>
      </c>
    </row>
    <row r="28" spans="1:8" ht="72" x14ac:dyDescent="0.3">
      <c r="A28" s="40">
        <v>9</v>
      </c>
      <c r="B28" s="53" t="s">
        <v>1678</v>
      </c>
      <c r="C28" s="40">
        <v>1</v>
      </c>
      <c r="D28" s="54">
        <v>101.04</v>
      </c>
      <c r="E28" s="40">
        <v>800</v>
      </c>
      <c r="F28" s="40">
        <f t="shared" si="0"/>
        <v>80832</v>
      </c>
      <c r="G28" s="55">
        <v>0.4</v>
      </c>
      <c r="H28" s="42">
        <f t="shared" si="1"/>
        <v>48499.199999999997</v>
      </c>
    </row>
    <row r="29" spans="1:8" ht="57.6" x14ac:dyDescent="0.3">
      <c r="A29" s="40">
        <v>10</v>
      </c>
      <c r="B29" s="53" t="s">
        <v>722</v>
      </c>
      <c r="C29" s="40">
        <v>1</v>
      </c>
      <c r="D29" s="54">
        <v>507.8</v>
      </c>
      <c r="E29" s="40">
        <v>200</v>
      </c>
      <c r="F29" s="40">
        <f t="shared" si="0"/>
        <v>101560</v>
      </c>
      <c r="G29" s="55">
        <v>0.5</v>
      </c>
      <c r="H29" s="42">
        <f t="shared" si="1"/>
        <v>50780</v>
      </c>
    </row>
    <row r="30" spans="1:8" ht="57.6" x14ac:dyDescent="0.3">
      <c r="A30" s="40">
        <v>11</v>
      </c>
      <c r="B30" s="53" t="s">
        <v>723</v>
      </c>
      <c r="C30" s="40">
        <v>1</v>
      </c>
      <c r="D30" s="54">
        <v>53.88</v>
      </c>
      <c r="E30" s="40">
        <v>200</v>
      </c>
      <c r="F30" s="40">
        <f t="shared" si="0"/>
        <v>10776</v>
      </c>
      <c r="G30" s="55">
        <v>0.5</v>
      </c>
      <c r="H30" s="42">
        <f t="shared" si="1"/>
        <v>5388</v>
      </c>
    </row>
    <row r="31" spans="1:8" ht="72" x14ac:dyDescent="0.3">
      <c r="A31" s="40">
        <v>12</v>
      </c>
      <c r="B31" s="53" t="s">
        <v>724</v>
      </c>
      <c r="C31" s="40">
        <v>1</v>
      </c>
      <c r="D31" s="54">
        <v>362.48</v>
      </c>
      <c r="E31" s="40">
        <v>300</v>
      </c>
      <c r="F31" s="40">
        <f t="shared" si="0"/>
        <v>108744</v>
      </c>
      <c r="G31" s="55">
        <v>0.5</v>
      </c>
      <c r="H31" s="42">
        <f t="shared" si="1"/>
        <v>54372</v>
      </c>
    </row>
    <row r="32" spans="1:8" ht="72" x14ac:dyDescent="0.3">
      <c r="A32" s="40">
        <v>13</v>
      </c>
      <c r="B32" s="53" t="s">
        <v>1387</v>
      </c>
      <c r="C32" s="40">
        <v>1</v>
      </c>
      <c r="D32" s="54">
        <v>271.39999999999998</v>
      </c>
      <c r="E32" s="40">
        <v>150</v>
      </c>
      <c r="F32" s="40">
        <f t="shared" si="0"/>
        <v>40710</v>
      </c>
      <c r="G32" s="55">
        <v>0.5</v>
      </c>
      <c r="H32" s="42">
        <f t="shared" si="1"/>
        <v>20355</v>
      </c>
    </row>
    <row r="33" spans="1:8" ht="72" x14ac:dyDescent="0.3">
      <c r="A33" s="40">
        <v>14</v>
      </c>
      <c r="B33" s="53" t="s">
        <v>725</v>
      </c>
      <c r="C33" s="40">
        <v>1</v>
      </c>
      <c r="D33" s="54">
        <v>129.52000000000001</v>
      </c>
      <c r="E33" s="40">
        <v>200</v>
      </c>
      <c r="F33" s="40">
        <f t="shared" si="0"/>
        <v>25904.000000000004</v>
      </c>
      <c r="G33" s="55">
        <v>0.5</v>
      </c>
      <c r="H33" s="42">
        <f t="shared" si="1"/>
        <v>12952.000000000002</v>
      </c>
    </row>
    <row r="34" spans="1:8" ht="100.8" x14ac:dyDescent="0.3">
      <c r="A34" s="40">
        <v>15</v>
      </c>
      <c r="B34" s="53" t="s">
        <v>726</v>
      </c>
      <c r="C34" s="40">
        <v>1</v>
      </c>
      <c r="D34" s="54">
        <v>11</v>
      </c>
      <c r="E34" s="40">
        <v>150</v>
      </c>
      <c r="F34" s="40">
        <f t="shared" si="0"/>
        <v>1650</v>
      </c>
      <c r="G34" s="55">
        <v>0.5</v>
      </c>
      <c r="H34" s="42">
        <f t="shared" si="1"/>
        <v>825</v>
      </c>
    </row>
    <row r="35" spans="1:8" ht="57.6" x14ac:dyDescent="0.3">
      <c r="A35" s="40">
        <v>16</v>
      </c>
      <c r="B35" s="53" t="s">
        <v>727</v>
      </c>
      <c r="C35" s="40">
        <v>1</v>
      </c>
      <c r="D35" s="54">
        <v>11.6</v>
      </c>
      <c r="E35" s="40">
        <v>150</v>
      </c>
      <c r="F35" s="40">
        <f t="shared" si="0"/>
        <v>1740</v>
      </c>
      <c r="G35" s="55">
        <v>0.5</v>
      </c>
      <c r="H35" s="42">
        <f t="shared" si="1"/>
        <v>870</v>
      </c>
    </row>
    <row r="36" spans="1:8" ht="57.6" x14ac:dyDescent="0.3">
      <c r="A36" s="40">
        <v>17</v>
      </c>
      <c r="B36" s="53" t="s">
        <v>728</v>
      </c>
      <c r="C36" s="40">
        <v>1</v>
      </c>
      <c r="D36" s="54">
        <v>19.52</v>
      </c>
      <c r="E36" s="40">
        <v>150</v>
      </c>
      <c r="F36" s="40">
        <f t="shared" si="0"/>
        <v>2928</v>
      </c>
      <c r="G36" s="55">
        <v>0.5</v>
      </c>
      <c r="H36" s="42">
        <f t="shared" si="1"/>
        <v>1464</v>
      </c>
    </row>
    <row r="37" spans="1:8" ht="28.8" x14ac:dyDescent="0.3">
      <c r="A37" s="61">
        <v>18</v>
      </c>
      <c r="B37" s="53" t="s">
        <v>1451</v>
      </c>
      <c r="C37" s="40">
        <v>1</v>
      </c>
      <c r="D37" s="54">
        <v>448.75</v>
      </c>
      <c r="E37" s="40">
        <v>45</v>
      </c>
      <c r="F37" s="40">
        <f t="shared" si="0"/>
        <v>20193.75</v>
      </c>
      <c r="G37" s="55">
        <v>0.5</v>
      </c>
      <c r="H37" s="42">
        <f t="shared" si="1"/>
        <v>10096.875</v>
      </c>
    </row>
    <row r="38" spans="1:8" x14ac:dyDescent="0.3">
      <c r="A38" s="40"/>
      <c r="B38" s="57" t="s">
        <v>7</v>
      </c>
      <c r="C38" s="40"/>
      <c r="D38" s="54"/>
      <c r="E38" s="40"/>
      <c r="F38" s="40"/>
      <c r="G38" s="55"/>
      <c r="H38" s="58">
        <f>SUM(H20:H37)</f>
        <v>1825957.1249999998</v>
      </c>
    </row>
    <row r="39" spans="1:8" x14ac:dyDescent="0.3">
      <c r="A39" s="40">
        <v>19</v>
      </c>
      <c r="B39" s="57" t="s">
        <v>8</v>
      </c>
      <c r="C39" s="40">
        <v>1</v>
      </c>
      <c r="D39" s="54">
        <v>12586</v>
      </c>
      <c r="E39" s="40">
        <v>8</v>
      </c>
      <c r="F39" s="40">
        <f>(10000*E39)+(2586*0.75*E39)</f>
        <v>95516</v>
      </c>
      <c r="G39" s="55">
        <v>0</v>
      </c>
      <c r="H39" s="58">
        <f>(1-G39)*F39</f>
        <v>95516</v>
      </c>
    </row>
    <row r="40" spans="1:8" x14ac:dyDescent="0.3">
      <c r="A40" s="51"/>
      <c r="B40" s="57" t="s">
        <v>9</v>
      </c>
      <c r="C40" s="39"/>
      <c r="D40" s="59"/>
      <c r="E40" s="39"/>
      <c r="F40" s="39"/>
      <c r="G40" s="39"/>
      <c r="H40" s="58">
        <f>H38+H39</f>
        <v>1921473.1249999998</v>
      </c>
    </row>
    <row r="41" spans="1:8" x14ac:dyDescent="0.3">
      <c r="A41" s="39"/>
      <c r="B41" s="40"/>
      <c r="C41" s="40"/>
      <c r="D41" s="41"/>
      <c r="E41" s="40"/>
      <c r="F41" s="40"/>
      <c r="G41" s="40"/>
      <c r="H41" s="42"/>
    </row>
    <row r="42" spans="1:8" x14ac:dyDescent="0.3">
      <c r="A42" s="43"/>
      <c r="B42" s="62">
        <v>515</v>
      </c>
      <c r="C42" s="44" t="s">
        <v>301</v>
      </c>
      <c r="D42" s="45"/>
      <c r="E42" s="46" t="s">
        <v>1930</v>
      </c>
      <c r="F42" s="63"/>
      <c r="G42" s="60"/>
      <c r="H42" s="48"/>
    </row>
    <row r="43" spans="1:8" x14ac:dyDescent="0.3">
      <c r="A43" s="40"/>
      <c r="B43" s="64" t="s">
        <v>0</v>
      </c>
      <c r="C43" s="49" t="s">
        <v>1</v>
      </c>
      <c r="D43" s="50" t="s">
        <v>2</v>
      </c>
      <c r="E43" s="51" t="s">
        <v>3</v>
      </c>
      <c r="F43" s="65" t="s">
        <v>4</v>
      </c>
      <c r="G43" s="51" t="s">
        <v>5</v>
      </c>
      <c r="H43" s="52" t="s">
        <v>6</v>
      </c>
    </row>
    <row r="44" spans="1:8" ht="72" x14ac:dyDescent="0.3">
      <c r="A44" s="40">
        <v>1</v>
      </c>
      <c r="B44" s="66" t="s">
        <v>1388</v>
      </c>
      <c r="C44" s="40">
        <v>1</v>
      </c>
      <c r="D44" s="67">
        <v>285</v>
      </c>
      <c r="E44" s="40">
        <v>300</v>
      </c>
      <c r="F44" s="68">
        <f t="shared" ref="F44:F52" si="2">C44*D44*E44</f>
        <v>85500</v>
      </c>
      <c r="G44" s="55">
        <v>0.5</v>
      </c>
      <c r="H44" s="42">
        <f>F44*(1-G44)</f>
        <v>42750</v>
      </c>
    </row>
    <row r="45" spans="1:8" ht="86.4" x14ac:dyDescent="0.3">
      <c r="A45" s="40">
        <v>2</v>
      </c>
      <c r="B45" s="66" t="s">
        <v>302</v>
      </c>
      <c r="C45" s="40">
        <v>1</v>
      </c>
      <c r="D45" s="67">
        <v>113</v>
      </c>
      <c r="E45" s="40">
        <v>400</v>
      </c>
      <c r="F45" s="68">
        <f t="shared" si="2"/>
        <v>45200</v>
      </c>
      <c r="G45" s="55">
        <v>0.5</v>
      </c>
      <c r="H45" s="42">
        <f t="shared" ref="H45:H52" si="3">F45*(1-G45)</f>
        <v>22600</v>
      </c>
    </row>
    <row r="46" spans="1:8" ht="57.6" x14ac:dyDescent="0.3">
      <c r="A46" s="40">
        <v>3</v>
      </c>
      <c r="B46" s="66" t="s">
        <v>303</v>
      </c>
      <c r="C46" s="40">
        <v>1</v>
      </c>
      <c r="D46" s="67">
        <v>55</v>
      </c>
      <c r="E46" s="40">
        <v>150</v>
      </c>
      <c r="F46" s="68">
        <f t="shared" si="2"/>
        <v>8250</v>
      </c>
      <c r="G46" s="55">
        <v>0.5</v>
      </c>
      <c r="H46" s="42">
        <f t="shared" si="3"/>
        <v>4125</v>
      </c>
    </row>
    <row r="47" spans="1:8" ht="57.6" x14ac:dyDescent="0.3">
      <c r="A47" s="40">
        <v>4</v>
      </c>
      <c r="B47" s="66" t="s">
        <v>304</v>
      </c>
      <c r="C47" s="40">
        <v>1</v>
      </c>
      <c r="D47" s="67">
        <v>116</v>
      </c>
      <c r="E47" s="40">
        <v>50</v>
      </c>
      <c r="F47" s="68">
        <f t="shared" si="2"/>
        <v>5800</v>
      </c>
      <c r="G47" s="55">
        <v>0.5</v>
      </c>
      <c r="H47" s="42">
        <f t="shared" si="3"/>
        <v>2900</v>
      </c>
    </row>
    <row r="48" spans="1:8" ht="57.6" x14ac:dyDescent="0.3">
      <c r="A48" s="40">
        <v>5</v>
      </c>
      <c r="B48" s="66" t="s">
        <v>305</v>
      </c>
      <c r="C48" s="40">
        <v>1</v>
      </c>
      <c r="D48" s="67">
        <v>3.5</v>
      </c>
      <c r="E48" s="40">
        <v>100</v>
      </c>
      <c r="F48" s="68">
        <f t="shared" si="2"/>
        <v>350</v>
      </c>
      <c r="G48" s="55">
        <v>0.5</v>
      </c>
      <c r="H48" s="42">
        <f t="shared" si="3"/>
        <v>175</v>
      </c>
    </row>
    <row r="49" spans="1:9" ht="28.8" x14ac:dyDescent="0.3">
      <c r="A49" s="40">
        <v>6</v>
      </c>
      <c r="B49" s="66" t="s">
        <v>1916</v>
      </c>
      <c r="C49" s="40">
        <v>1</v>
      </c>
      <c r="D49" s="67">
        <f>D50*3</f>
        <v>345</v>
      </c>
      <c r="E49" s="40">
        <v>45</v>
      </c>
      <c r="F49" s="68">
        <f t="shared" si="2"/>
        <v>15525</v>
      </c>
      <c r="G49" s="55">
        <v>0.5</v>
      </c>
      <c r="H49" s="42">
        <f t="shared" si="3"/>
        <v>7762.5</v>
      </c>
    </row>
    <row r="50" spans="1:9" x14ac:dyDescent="0.3">
      <c r="A50" s="40">
        <v>7</v>
      </c>
      <c r="B50" s="66" t="s">
        <v>1915</v>
      </c>
      <c r="C50" s="40">
        <v>1</v>
      </c>
      <c r="D50" s="67">
        <v>115</v>
      </c>
      <c r="E50" s="40">
        <v>22</v>
      </c>
      <c r="F50" s="68">
        <f>C50*D50*E50</f>
        <v>2530</v>
      </c>
      <c r="G50" s="55">
        <v>0.5</v>
      </c>
      <c r="H50" s="42">
        <f>F50*(1-G50)</f>
        <v>1265</v>
      </c>
    </row>
    <row r="51" spans="1:9" x14ac:dyDescent="0.3">
      <c r="A51" s="40">
        <v>8</v>
      </c>
      <c r="B51" s="66" t="s">
        <v>1325</v>
      </c>
      <c r="C51" s="40">
        <v>1</v>
      </c>
      <c r="D51" s="67">
        <v>900000</v>
      </c>
      <c r="E51" s="40">
        <v>0.1</v>
      </c>
      <c r="F51" s="68">
        <f t="shared" si="2"/>
        <v>90000</v>
      </c>
      <c r="G51" s="55">
        <v>0.5</v>
      </c>
      <c r="H51" s="42">
        <f t="shared" si="3"/>
        <v>45000</v>
      </c>
      <c r="I51" s="69"/>
    </row>
    <row r="52" spans="1:9" x14ac:dyDescent="0.3">
      <c r="A52" s="40">
        <v>9</v>
      </c>
      <c r="B52" s="66" t="s">
        <v>1326</v>
      </c>
      <c r="C52" s="40">
        <v>4</v>
      </c>
      <c r="D52" s="67">
        <v>80000</v>
      </c>
      <c r="E52" s="40">
        <v>0.5</v>
      </c>
      <c r="F52" s="68">
        <f t="shared" si="2"/>
        <v>160000</v>
      </c>
      <c r="G52" s="55">
        <v>0.5</v>
      </c>
      <c r="H52" s="42">
        <f t="shared" si="3"/>
        <v>80000</v>
      </c>
      <c r="I52" s="69"/>
    </row>
    <row r="53" spans="1:9" x14ac:dyDescent="0.3">
      <c r="A53" s="40"/>
      <c r="B53" s="70" t="s">
        <v>7</v>
      </c>
      <c r="C53" s="40"/>
      <c r="D53" s="54"/>
      <c r="E53" s="40"/>
      <c r="F53" s="68"/>
      <c r="G53" s="55"/>
      <c r="H53" s="58">
        <f>SUM(H44:H52)</f>
        <v>206577.5</v>
      </c>
    </row>
    <row r="54" spans="1:9" x14ac:dyDescent="0.3">
      <c r="A54" s="40">
        <v>10</v>
      </c>
      <c r="B54" s="70" t="s">
        <v>8</v>
      </c>
      <c r="C54" s="40">
        <v>1</v>
      </c>
      <c r="D54" s="54">
        <v>13036</v>
      </c>
      <c r="E54" s="40">
        <v>8</v>
      </c>
      <c r="F54" s="68">
        <f>(10000*E54)+(3036*0.75*E54)</f>
        <v>98216</v>
      </c>
      <c r="G54" s="55">
        <v>0</v>
      </c>
      <c r="H54" s="58">
        <f>(1-G54)*F54</f>
        <v>98216</v>
      </c>
    </row>
    <row r="55" spans="1:9" x14ac:dyDescent="0.3">
      <c r="A55" s="51"/>
      <c r="B55" s="70" t="s">
        <v>9</v>
      </c>
      <c r="C55" s="39"/>
      <c r="D55" s="59"/>
      <c r="E55" s="39"/>
      <c r="F55" s="71"/>
      <c r="G55" s="39"/>
      <c r="H55" s="58">
        <f>H53+H54</f>
        <v>304793.5</v>
      </c>
    </row>
    <row r="56" spans="1:9" x14ac:dyDescent="0.3">
      <c r="A56" s="51"/>
      <c r="B56" s="70"/>
      <c r="C56" s="39"/>
      <c r="D56" s="59"/>
      <c r="E56" s="39"/>
      <c r="F56" s="71"/>
      <c r="G56" s="39"/>
      <c r="H56" s="58"/>
    </row>
    <row r="57" spans="1:9" x14ac:dyDescent="0.3">
      <c r="A57" s="43"/>
      <c r="B57" s="72">
        <v>516</v>
      </c>
      <c r="C57" s="44" t="s">
        <v>1084</v>
      </c>
      <c r="D57" s="73"/>
      <c r="E57" s="44" t="s">
        <v>1085</v>
      </c>
      <c r="F57" s="60"/>
      <c r="G57" s="60"/>
      <c r="H57" s="48"/>
    </row>
    <row r="58" spans="1:9" x14ac:dyDescent="0.3">
      <c r="A58" s="40"/>
      <c r="B58" s="49" t="s">
        <v>10</v>
      </c>
      <c r="C58" s="49" t="s">
        <v>1</v>
      </c>
      <c r="D58" s="50" t="s">
        <v>2</v>
      </c>
      <c r="E58" s="51" t="s">
        <v>3</v>
      </c>
      <c r="F58" s="51" t="s">
        <v>4</v>
      </c>
      <c r="G58" s="51" t="s">
        <v>5</v>
      </c>
      <c r="H58" s="52" t="s">
        <v>6</v>
      </c>
    </row>
    <row r="59" spans="1:9" ht="115.2" x14ac:dyDescent="0.3">
      <c r="A59" s="40">
        <v>1</v>
      </c>
      <c r="B59" s="53" t="s">
        <v>1679</v>
      </c>
      <c r="C59" s="49">
        <v>1</v>
      </c>
      <c r="D59" s="50">
        <v>119.7</v>
      </c>
      <c r="E59" s="51">
        <v>450</v>
      </c>
      <c r="F59" s="40">
        <f t="shared" ref="F59:F69" si="4">C59*D59*E59</f>
        <v>53865</v>
      </c>
      <c r="G59" s="55">
        <v>0.5</v>
      </c>
      <c r="H59" s="42">
        <f t="shared" ref="H59:H69" si="5">F59*(1-G59)</f>
        <v>26932.5</v>
      </c>
    </row>
    <row r="60" spans="1:9" ht="72" x14ac:dyDescent="0.3">
      <c r="A60" s="40">
        <v>2</v>
      </c>
      <c r="B60" s="53" t="s">
        <v>1680</v>
      </c>
      <c r="C60" s="49">
        <v>1</v>
      </c>
      <c r="D60" s="50">
        <v>7.02</v>
      </c>
      <c r="E60" s="51">
        <v>100</v>
      </c>
      <c r="F60" s="40">
        <f t="shared" si="4"/>
        <v>702</v>
      </c>
      <c r="G60" s="74">
        <v>0.5</v>
      </c>
      <c r="H60" s="42">
        <f t="shared" si="5"/>
        <v>351</v>
      </c>
    </row>
    <row r="61" spans="1:9" ht="86.4" x14ac:dyDescent="0.3">
      <c r="A61" s="40">
        <v>3</v>
      </c>
      <c r="B61" s="53" t="s">
        <v>1086</v>
      </c>
      <c r="C61" s="49">
        <v>1</v>
      </c>
      <c r="D61" s="50">
        <v>10.5</v>
      </c>
      <c r="E61" s="51">
        <v>120</v>
      </c>
      <c r="F61" s="40">
        <f t="shared" si="4"/>
        <v>1260</v>
      </c>
      <c r="G61" s="74">
        <v>0.5</v>
      </c>
      <c r="H61" s="42">
        <f t="shared" si="5"/>
        <v>630</v>
      </c>
    </row>
    <row r="62" spans="1:9" ht="86.4" x14ac:dyDescent="0.3">
      <c r="A62" s="40">
        <v>4</v>
      </c>
      <c r="B62" s="53" t="s">
        <v>1087</v>
      </c>
      <c r="C62" s="49">
        <v>1</v>
      </c>
      <c r="D62" s="50">
        <v>89.9</v>
      </c>
      <c r="E62" s="51">
        <v>120</v>
      </c>
      <c r="F62" s="40">
        <f t="shared" si="4"/>
        <v>10788</v>
      </c>
      <c r="G62" s="74">
        <v>0.5</v>
      </c>
      <c r="H62" s="42">
        <f t="shared" si="5"/>
        <v>5394</v>
      </c>
    </row>
    <row r="63" spans="1:9" ht="86.4" x14ac:dyDescent="0.3">
      <c r="A63" s="40">
        <v>5</v>
      </c>
      <c r="B63" s="53" t="s">
        <v>1088</v>
      </c>
      <c r="C63" s="49">
        <v>1</v>
      </c>
      <c r="D63" s="50">
        <v>9</v>
      </c>
      <c r="E63" s="51">
        <v>100</v>
      </c>
      <c r="F63" s="40">
        <f t="shared" si="4"/>
        <v>900</v>
      </c>
      <c r="G63" s="74">
        <v>0.5</v>
      </c>
      <c r="H63" s="42">
        <f t="shared" si="5"/>
        <v>450</v>
      </c>
    </row>
    <row r="64" spans="1:9" ht="57.6" x14ac:dyDescent="0.3">
      <c r="A64" s="40">
        <v>6</v>
      </c>
      <c r="B64" s="49" t="s">
        <v>1305</v>
      </c>
      <c r="C64" s="49">
        <v>1</v>
      </c>
      <c r="D64" s="50">
        <v>80.400000000000006</v>
      </c>
      <c r="E64" s="51">
        <v>80</v>
      </c>
      <c r="F64" s="40">
        <f t="shared" si="4"/>
        <v>6432</v>
      </c>
      <c r="G64" s="74">
        <v>0.5</v>
      </c>
      <c r="H64" s="42">
        <f t="shared" si="5"/>
        <v>3216</v>
      </c>
    </row>
    <row r="65" spans="1:8" ht="86.4" x14ac:dyDescent="0.3">
      <c r="A65" s="40">
        <v>7</v>
      </c>
      <c r="B65" s="53" t="s">
        <v>1082</v>
      </c>
      <c r="C65" s="75">
        <v>1</v>
      </c>
      <c r="D65" s="76">
        <v>1</v>
      </c>
      <c r="E65" s="51">
        <v>100</v>
      </c>
      <c r="F65" s="40">
        <f t="shared" si="4"/>
        <v>100</v>
      </c>
      <c r="G65" s="74">
        <v>0.5</v>
      </c>
      <c r="H65" s="42">
        <f t="shared" si="5"/>
        <v>50</v>
      </c>
    </row>
    <row r="66" spans="1:8" ht="43.2" x14ac:dyDescent="0.3">
      <c r="A66" s="40">
        <v>8</v>
      </c>
      <c r="B66" s="53" t="s">
        <v>1089</v>
      </c>
      <c r="C66" s="49">
        <v>1</v>
      </c>
      <c r="D66" s="50">
        <v>492</v>
      </c>
      <c r="E66" s="51">
        <v>33</v>
      </c>
      <c r="F66" s="40">
        <f t="shared" si="4"/>
        <v>16236</v>
      </c>
      <c r="G66" s="74">
        <v>0.5</v>
      </c>
      <c r="H66" s="42">
        <f t="shared" si="5"/>
        <v>8118</v>
      </c>
    </row>
    <row r="67" spans="1:8" x14ac:dyDescent="0.3">
      <c r="A67" s="40">
        <v>9</v>
      </c>
      <c r="B67" s="49" t="s">
        <v>1090</v>
      </c>
      <c r="C67" s="49">
        <v>1</v>
      </c>
      <c r="D67" s="50">
        <v>1669</v>
      </c>
      <c r="E67" s="51">
        <v>0.65</v>
      </c>
      <c r="F67" s="40">
        <f t="shared" si="4"/>
        <v>1084.8500000000001</v>
      </c>
      <c r="G67" s="74">
        <v>0.5</v>
      </c>
      <c r="H67" s="42">
        <f t="shared" si="5"/>
        <v>542.42500000000007</v>
      </c>
    </row>
    <row r="68" spans="1:8" x14ac:dyDescent="0.3">
      <c r="A68" s="40">
        <v>10</v>
      </c>
      <c r="B68" s="49" t="s">
        <v>1091</v>
      </c>
      <c r="C68" s="49">
        <v>1</v>
      </c>
      <c r="D68" s="50">
        <v>257</v>
      </c>
      <c r="E68" s="51">
        <v>0.65</v>
      </c>
      <c r="F68" s="40">
        <f t="shared" si="4"/>
        <v>167.05</v>
      </c>
      <c r="G68" s="74">
        <v>0.5</v>
      </c>
      <c r="H68" s="42">
        <f t="shared" si="5"/>
        <v>83.525000000000006</v>
      </c>
    </row>
    <row r="69" spans="1:8" x14ac:dyDescent="0.3">
      <c r="A69" s="40">
        <v>11</v>
      </c>
      <c r="B69" s="49" t="s">
        <v>1092</v>
      </c>
      <c r="C69" s="49">
        <v>1</v>
      </c>
      <c r="D69" s="50">
        <v>494</v>
      </c>
      <c r="E69" s="51">
        <v>0.65</v>
      </c>
      <c r="F69" s="40">
        <f t="shared" si="4"/>
        <v>321.10000000000002</v>
      </c>
      <c r="G69" s="74">
        <v>0.5</v>
      </c>
      <c r="H69" s="42">
        <f t="shared" si="5"/>
        <v>160.55000000000001</v>
      </c>
    </row>
    <row r="70" spans="1:8" x14ac:dyDescent="0.3">
      <c r="A70" s="53"/>
      <c r="B70" s="57" t="s">
        <v>7</v>
      </c>
      <c r="C70" s="40"/>
      <c r="D70" s="54"/>
      <c r="E70" s="40"/>
      <c r="F70" s="40"/>
      <c r="G70" s="55"/>
      <c r="H70" s="58">
        <f>SUM(H59:H69)</f>
        <v>45928.000000000007</v>
      </c>
    </row>
    <row r="71" spans="1:8" x14ac:dyDescent="0.3">
      <c r="A71" s="53">
        <v>12</v>
      </c>
      <c r="B71" s="57" t="s">
        <v>8</v>
      </c>
      <c r="C71" s="40">
        <v>1</v>
      </c>
      <c r="D71" s="54">
        <v>15100</v>
      </c>
      <c r="E71" s="40">
        <v>8</v>
      </c>
      <c r="F71" s="40">
        <f>(10000*E71)+(5100*0.75*E71)</f>
        <v>110600</v>
      </c>
      <c r="G71" s="55">
        <v>0</v>
      </c>
      <c r="H71" s="58">
        <f>F71*(1-G71)</f>
        <v>110600</v>
      </c>
    </row>
    <row r="72" spans="1:8" x14ac:dyDescent="0.3">
      <c r="A72" s="53"/>
      <c r="B72" s="57" t="s">
        <v>9</v>
      </c>
      <c r="C72" s="39"/>
      <c r="D72" s="59"/>
      <c r="E72" s="39"/>
      <c r="F72" s="39"/>
      <c r="G72" s="39"/>
      <c r="H72" s="58">
        <f>H70+H71</f>
        <v>156528</v>
      </c>
    </row>
    <row r="73" spans="1:8" x14ac:dyDescent="0.3">
      <c r="A73" s="53"/>
      <c r="B73" s="57"/>
      <c r="C73" s="39"/>
      <c r="D73" s="59"/>
      <c r="E73" s="39"/>
      <c r="F73" s="39"/>
      <c r="G73" s="39"/>
      <c r="H73" s="58"/>
    </row>
    <row r="74" spans="1:8" ht="57.6" x14ac:dyDescent="0.3">
      <c r="A74" s="77"/>
      <c r="B74" s="78" t="s">
        <v>1079</v>
      </c>
      <c r="C74" s="79" t="s">
        <v>1080</v>
      </c>
      <c r="D74" s="80"/>
      <c r="E74" s="47" t="s">
        <v>1081</v>
      </c>
      <c r="F74" s="77"/>
      <c r="G74" s="77"/>
      <c r="H74" s="81"/>
    </row>
    <row r="75" spans="1:8" x14ac:dyDescent="0.3">
      <c r="A75" s="40"/>
      <c r="B75" s="49" t="s">
        <v>10</v>
      </c>
      <c r="C75" s="49" t="s">
        <v>1</v>
      </c>
      <c r="D75" s="50" t="s">
        <v>2</v>
      </c>
      <c r="E75" s="51" t="s">
        <v>3</v>
      </c>
      <c r="F75" s="51" t="s">
        <v>4</v>
      </c>
      <c r="G75" s="51" t="s">
        <v>5</v>
      </c>
      <c r="H75" s="52" t="s">
        <v>6</v>
      </c>
    </row>
    <row r="76" spans="1:8" ht="129.6" x14ac:dyDescent="0.3">
      <c r="A76" s="53">
        <v>1</v>
      </c>
      <c r="B76" s="53" t="s">
        <v>1681</v>
      </c>
      <c r="C76" s="40">
        <v>1</v>
      </c>
      <c r="D76" s="54">
        <v>345.69</v>
      </c>
      <c r="E76" s="40">
        <v>400</v>
      </c>
      <c r="F76" s="40">
        <f t="shared" ref="F76:F91" si="6">C76*D76*E76</f>
        <v>138276</v>
      </c>
      <c r="G76" s="55">
        <v>0.5</v>
      </c>
      <c r="H76" s="42">
        <f t="shared" ref="H76:H91" si="7">F76*(1-G76)</f>
        <v>69138</v>
      </c>
    </row>
    <row r="77" spans="1:8" ht="100.8" x14ac:dyDescent="0.3">
      <c r="A77" s="53">
        <v>2</v>
      </c>
      <c r="B77" s="53" t="s">
        <v>1682</v>
      </c>
      <c r="C77" s="40">
        <v>1</v>
      </c>
      <c r="D77" s="54">
        <v>12.6</v>
      </c>
      <c r="E77" s="40">
        <v>150</v>
      </c>
      <c r="F77" s="40">
        <f t="shared" si="6"/>
        <v>1890</v>
      </c>
      <c r="G77" s="55">
        <v>0.4</v>
      </c>
      <c r="H77" s="42">
        <f t="shared" si="7"/>
        <v>1134</v>
      </c>
    </row>
    <row r="78" spans="1:8" ht="100.8" x14ac:dyDescent="0.3">
      <c r="A78" s="53">
        <v>3</v>
      </c>
      <c r="B78" s="53" t="s">
        <v>1683</v>
      </c>
      <c r="C78" s="40">
        <v>1</v>
      </c>
      <c r="D78" s="54">
        <v>79.48</v>
      </c>
      <c r="E78" s="40">
        <v>250</v>
      </c>
      <c r="F78" s="40">
        <f t="shared" si="6"/>
        <v>19870</v>
      </c>
      <c r="G78" s="55">
        <v>0.5</v>
      </c>
      <c r="H78" s="42">
        <f t="shared" si="7"/>
        <v>9935</v>
      </c>
    </row>
    <row r="79" spans="1:8" ht="28.8" x14ac:dyDescent="0.3">
      <c r="A79" s="53">
        <v>4</v>
      </c>
      <c r="B79" s="53" t="s">
        <v>1306</v>
      </c>
      <c r="C79" s="40">
        <v>1</v>
      </c>
      <c r="D79" s="54">
        <v>1</v>
      </c>
      <c r="E79" s="40">
        <v>400</v>
      </c>
      <c r="F79" s="40">
        <f t="shared" si="6"/>
        <v>400</v>
      </c>
      <c r="G79" s="55">
        <v>0.5</v>
      </c>
      <c r="H79" s="42">
        <f t="shared" si="7"/>
        <v>200</v>
      </c>
    </row>
    <row r="80" spans="1:8" ht="129.6" x14ac:dyDescent="0.3">
      <c r="A80" s="53">
        <v>5</v>
      </c>
      <c r="B80" s="53" t="s">
        <v>1684</v>
      </c>
      <c r="C80" s="40">
        <v>1</v>
      </c>
      <c r="D80" s="54">
        <v>313.10000000000002</v>
      </c>
      <c r="E80" s="40">
        <v>450</v>
      </c>
      <c r="F80" s="40">
        <f t="shared" si="6"/>
        <v>140895</v>
      </c>
      <c r="G80" s="55">
        <v>0.5</v>
      </c>
      <c r="H80" s="42">
        <f t="shared" si="7"/>
        <v>70447.5</v>
      </c>
    </row>
    <row r="81" spans="1:8" ht="115.2" x14ac:dyDescent="0.3">
      <c r="A81" s="53">
        <v>6</v>
      </c>
      <c r="B81" s="53" t="s">
        <v>1685</v>
      </c>
      <c r="C81" s="40">
        <v>1</v>
      </c>
      <c r="D81" s="54">
        <v>41.61</v>
      </c>
      <c r="E81" s="40">
        <v>250</v>
      </c>
      <c r="F81" s="40">
        <f t="shared" si="6"/>
        <v>10402.5</v>
      </c>
      <c r="G81" s="55">
        <v>0.4</v>
      </c>
      <c r="H81" s="42">
        <f t="shared" si="7"/>
        <v>6241.5</v>
      </c>
    </row>
    <row r="82" spans="1:8" ht="100.8" x14ac:dyDescent="0.3">
      <c r="A82" s="53">
        <v>7</v>
      </c>
      <c r="B82" s="53" t="s">
        <v>1686</v>
      </c>
      <c r="C82" s="40">
        <v>1</v>
      </c>
      <c r="D82" s="54">
        <v>33.6</v>
      </c>
      <c r="E82" s="40">
        <v>200</v>
      </c>
      <c r="F82" s="40">
        <f t="shared" si="6"/>
        <v>6720</v>
      </c>
      <c r="G82" s="55">
        <v>0.5</v>
      </c>
      <c r="H82" s="42">
        <f t="shared" si="7"/>
        <v>3360</v>
      </c>
    </row>
    <row r="83" spans="1:8" ht="43.2" x14ac:dyDescent="0.3">
      <c r="A83" s="53">
        <v>8</v>
      </c>
      <c r="B83" s="53" t="s">
        <v>1307</v>
      </c>
      <c r="C83" s="40">
        <v>1</v>
      </c>
      <c r="D83" s="54">
        <v>82.95</v>
      </c>
      <c r="E83" s="40">
        <v>80</v>
      </c>
      <c r="F83" s="40">
        <f t="shared" si="6"/>
        <v>6636</v>
      </c>
      <c r="G83" s="55">
        <v>0.5</v>
      </c>
      <c r="H83" s="42">
        <f t="shared" si="7"/>
        <v>3318</v>
      </c>
    </row>
    <row r="84" spans="1:8" ht="43.2" x14ac:dyDescent="0.3">
      <c r="A84" s="53">
        <v>9</v>
      </c>
      <c r="B84" s="53" t="s">
        <v>1308</v>
      </c>
      <c r="C84" s="40">
        <v>1</v>
      </c>
      <c r="D84" s="54">
        <v>73.5</v>
      </c>
      <c r="E84" s="40">
        <v>80</v>
      </c>
      <c r="F84" s="40">
        <f t="shared" si="6"/>
        <v>5880</v>
      </c>
      <c r="G84" s="55">
        <v>0.5</v>
      </c>
      <c r="H84" s="42">
        <f t="shared" si="7"/>
        <v>2940</v>
      </c>
    </row>
    <row r="85" spans="1:8" ht="43.2" x14ac:dyDescent="0.3">
      <c r="A85" s="53">
        <v>10</v>
      </c>
      <c r="B85" s="53" t="s">
        <v>1309</v>
      </c>
      <c r="C85" s="40">
        <v>1</v>
      </c>
      <c r="D85" s="54">
        <v>28.8</v>
      </c>
      <c r="E85" s="40">
        <v>80</v>
      </c>
      <c r="F85" s="40">
        <f t="shared" si="6"/>
        <v>2304</v>
      </c>
      <c r="G85" s="55">
        <v>0.5</v>
      </c>
      <c r="H85" s="42">
        <f t="shared" si="7"/>
        <v>1152</v>
      </c>
    </row>
    <row r="86" spans="1:8" ht="43.2" x14ac:dyDescent="0.3">
      <c r="A86" s="53">
        <v>11</v>
      </c>
      <c r="B86" s="53" t="s">
        <v>1310</v>
      </c>
      <c r="C86" s="40">
        <v>1</v>
      </c>
      <c r="D86" s="54">
        <v>44.1</v>
      </c>
      <c r="E86" s="40">
        <v>80</v>
      </c>
      <c r="F86" s="40">
        <f t="shared" si="6"/>
        <v>3528</v>
      </c>
      <c r="G86" s="55">
        <v>0.4</v>
      </c>
      <c r="H86" s="42">
        <f t="shared" si="7"/>
        <v>2116.7999999999997</v>
      </c>
    </row>
    <row r="87" spans="1:8" ht="43.2" x14ac:dyDescent="0.3">
      <c r="A87" s="53">
        <v>12</v>
      </c>
      <c r="B87" s="53" t="s">
        <v>1311</v>
      </c>
      <c r="C87" s="40">
        <v>1</v>
      </c>
      <c r="D87" s="54">
        <v>38.880000000000003</v>
      </c>
      <c r="E87" s="40">
        <v>80</v>
      </c>
      <c r="F87" s="40">
        <f t="shared" si="6"/>
        <v>3110.4</v>
      </c>
      <c r="G87" s="55">
        <v>0.4</v>
      </c>
      <c r="H87" s="42">
        <f t="shared" si="7"/>
        <v>1866.24</v>
      </c>
    </row>
    <row r="88" spans="1:8" ht="86.4" x14ac:dyDescent="0.3">
      <c r="A88" s="53">
        <v>13</v>
      </c>
      <c r="B88" s="53" t="s">
        <v>1324</v>
      </c>
      <c r="C88" s="40">
        <v>1</v>
      </c>
      <c r="D88" s="54">
        <v>18</v>
      </c>
      <c r="E88" s="40">
        <v>100</v>
      </c>
      <c r="F88" s="40">
        <f t="shared" si="6"/>
        <v>1800</v>
      </c>
      <c r="G88" s="55">
        <v>0.6</v>
      </c>
      <c r="H88" s="42">
        <f t="shared" si="7"/>
        <v>720</v>
      </c>
    </row>
    <row r="89" spans="1:8" ht="28.8" x14ac:dyDescent="0.3">
      <c r="A89" s="82">
        <v>14</v>
      </c>
      <c r="B89" s="82" t="s">
        <v>1349</v>
      </c>
      <c r="C89" s="83">
        <v>2</v>
      </c>
      <c r="D89" s="67">
        <v>1100000</v>
      </c>
      <c r="E89" s="83">
        <v>0.1</v>
      </c>
      <c r="F89" s="83">
        <f t="shared" si="6"/>
        <v>220000</v>
      </c>
      <c r="G89" s="84">
        <v>0.6</v>
      </c>
      <c r="H89" s="85">
        <f t="shared" si="7"/>
        <v>88000</v>
      </c>
    </row>
    <row r="90" spans="1:8" ht="28.8" x14ac:dyDescent="0.3">
      <c r="A90" s="82">
        <v>15</v>
      </c>
      <c r="B90" s="82" t="s">
        <v>1350</v>
      </c>
      <c r="C90" s="83">
        <v>2</v>
      </c>
      <c r="D90" s="67">
        <v>2000000</v>
      </c>
      <c r="E90" s="83">
        <v>0.1</v>
      </c>
      <c r="F90" s="83">
        <f t="shared" si="6"/>
        <v>400000</v>
      </c>
      <c r="G90" s="84">
        <v>0.6</v>
      </c>
      <c r="H90" s="85">
        <f t="shared" si="7"/>
        <v>160000</v>
      </c>
    </row>
    <row r="91" spans="1:8" ht="43.2" x14ac:dyDescent="0.3">
      <c r="A91" s="53">
        <v>16</v>
      </c>
      <c r="B91" s="53" t="s">
        <v>1083</v>
      </c>
      <c r="C91" s="40">
        <v>1</v>
      </c>
      <c r="D91" s="54">
        <v>695</v>
      </c>
      <c r="E91" s="40">
        <v>25</v>
      </c>
      <c r="F91" s="40">
        <f t="shared" si="6"/>
        <v>17375</v>
      </c>
      <c r="G91" s="55">
        <v>0.4</v>
      </c>
      <c r="H91" s="42">
        <f t="shared" si="7"/>
        <v>10425</v>
      </c>
    </row>
    <row r="92" spans="1:8" x14ac:dyDescent="0.3">
      <c r="A92" s="53"/>
      <c r="B92" s="57" t="s">
        <v>7</v>
      </c>
      <c r="C92" s="40"/>
      <c r="D92" s="54"/>
      <c r="E92" s="40"/>
      <c r="F92" s="40"/>
      <c r="G92" s="55"/>
      <c r="H92" s="58">
        <f>SUM(H76:H91)</f>
        <v>430994.04</v>
      </c>
    </row>
    <row r="93" spans="1:8" x14ac:dyDescent="0.3">
      <c r="A93" s="53">
        <v>17</v>
      </c>
      <c r="B93" s="57" t="s">
        <v>8</v>
      </c>
      <c r="C93" s="40">
        <v>1</v>
      </c>
      <c r="D93" s="54">
        <v>30200</v>
      </c>
      <c r="E93" s="40">
        <v>8</v>
      </c>
      <c r="F93" s="40">
        <f>(10000*E93)+(10000*0.75*E93)+(10000*0.5*E93)+(200*0.25*E93)</f>
        <v>180400</v>
      </c>
      <c r="G93" s="55">
        <v>0</v>
      </c>
      <c r="H93" s="58">
        <f>(1-G93)*F93</f>
        <v>180400</v>
      </c>
    </row>
    <row r="94" spans="1:8" x14ac:dyDescent="0.3">
      <c r="A94" s="53"/>
      <c r="B94" s="57" t="s">
        <v>9</v>
      </c>
      <c r="C94" s="39"/>
      <c r="D94" s="59"/>
      <c r="E94" s="39"/>
      <c r="F94" s="39"/>
      <c r="G94" s="39"/>
      <c r="H94" s="58">
        <f>H92+H93</f>
        <v>611394.04</v>
      </c>
    </row>
    <row r="95" spans="1:8" x14ac:dyDescent="0.3">
      <c r="A95" s="53"/>
      <c r="B95" s="57"/>
      <c r="C95" s="39"/>
      <c r="D95" s="59"/>
      <c r="E95" s="39"/>
      <c r="F95" s="39"/>
      <c r="G95" s="39"/>
      <c r="H95" s="58"/>
    </row>
    <row r="96" spans="1:8" ht="57.6" x14ac:dyDescent="0.3">
      <c r="A96" s="43"/>
      <c r="B96" s="72" t="s">
        <v>1071</v>
      </c>
      <c r="C96" s="86" t="s">
        <v>1072</v>
      </c>
      <c r="D96" s="73"/>
      <c r="E96" s="44" t="s">
        <v>1073</v>
      </c>
      <c r="F96" s="60"/>
      <c r="G96" s="60"/>
      <c r="H96" s="48"/>
    </row>
    <row r="97" spans="1:8" x14ac:dyDescent="0.3">
      <c r="A97" s="40"/>
      <c r="B97" s="49" t="s">
        <v>10</v>
      </c>
      <c r="C97" s="49" t="s">
        <v>1</v>
      </c>
      <c r="D97" s="50" t="s">
        <v>2</v>
      </c>
      <c r="E97" s="51" t="s">
        <v>3</v>
      </c>
      <c r="F97" s="51" t="s">
        <v>4</v>
      </c>
      <c r="G97" s="51" t="s">
        <v>5</v>
      </c>
      <c r="H97" s="52" t="s">
        <v>6</v>
      </c>
    </row>
    <row r="98" spans="1:8" ht="158.4" x14ac:dyDescent="0.3">
      <c r="A98" s="53">
        <v>1</v>
      </c>
      <c r="B98" s="53" t="s">
        <v>1687</v>
      </c>
      <c r="C98" s="40">
        <v>1</v>
      </c>
      <c r="D98" s="54">
        <v>2909.04</v>
      </c>
      <c r="E98" s="40">
        <v>800</v>
      </c>
      <c r="F98" s="40">
        <f t="shared" ref="F98:F110" si="8">C98*D98*E98</f>
        <v>2327232</v>
      </c>
      <c r="G98" s="55">
        <v>0.5</v>
      </c>
      <c r="H98" s="42">
        <f t="shared" ref="H98:H110" si="9">F98*(1-G98)</f>
        <v>1163616</v>
      </c>
    </row>
    <row r="99" spans="1:8" ht="115.2" x14ac:dyDescent="0.3">
      <c r="A99" s="53">
        <v>2</v>
      </c>
      <c r="B99" s="53" t="s">
        <v>1544</v>
      </c>
      <c r="C99" s="40">
        <v>1</v>
      </c>
      <c r="D99" s="54">
        <v>237.49</v>
      </c>
      <c r="E99" s="40">
        <v>400</v>
      </c>
      <c r="F99" s="40">
        <f t="shared" si="8"/>
        <v>94996</v>
      </c>
      <c r="G99" s="55">
        <v>0.5</v>
      </c>
      <c r="H99" s="42">
        <f t="shared" si="9"/>
        <v>47498</v>
      </c>
    </row>
    <row r="100" spans="1:8" ht="100.8" x14ac:dyDescent="0.3">
      <c r="A100" s="53">
        <v>3</v>
      </c>
      <c r="B100" s="53" t="s">
        <v>1688</v>
      </c>
      <c r="C100" s="40">
        <v>1</v>
      </c>
      <c r="D100" s="54">
        <v>58</v>
      </c>
      <c r="E100" s="40">
        <v>300</v>
      </c>
      <c r="F100" s="40">
        <f t="shared" si="8"/>
        <v>17400</v>
      </c>
      <c r="G100" s="55">
        <v>0.5</v>
      </c>
      <c r="H100" s="42">
        <f t="shared" si="9"/>
        <v>8700</v>
      </c>
    </row>
    <row r="101" spans="1:8" ht="86.4" x14ac:dyDescent="0.3">
      <c r="A101" s="53">
        <v>4</v>
      </c>
      <c r="B101" s="53" t="s">
        <v>1545</v>
      </c>
      <c r="C101" s="40">
        <v>1</v>
      </c>
      <c r="D101" s="54">
        <v>19.899999999999999</v>
      </c>
      <c r="E101" s="40">
        <v>100</v>
      </c>
      <c r="F101" s="40">
        <f t="shared" si="8"/>
        <v>1989.9999999999998</v>
      </c>
      <c r="G101" s="55">
        <v>0.5</v>
      </c>
      <c r="H101" s="42">
        <f t="shared" si="9"/>
        <v>994.99999999999989</v>
      </c>
    </row>
    <row r="102" spans="1:8" ht="115.2" x14ac:dyDescent="0.3">
      <c r="A102" s="53">
        <v>5</v>
      </c>
      <c r="B102" s="53" t="s">
        <v>1689</v>
      </c>
      <c r="C102" s="40">
        <v>1</v>
      </c>
      <c r="D102" s="54">
        <v>11.16</v>
      </c>
      <c r="E102" s="40">
        <v>250</v>
      </c>
      <c r="F102" s="40">
        <f t="shared" si="8"/>
        <v>2790</v>
      </c>
      <c r="G102" s="55">
        <v>0.5</v>
      </c>
      <c r="H102" s="42">
        <f t="shared" si="9"/>
        <v>1395</v>
      </c>
    </row>
    <row r="103" spans="1:8" ht="100.8" x14ac:dyDescent="0.3">
      <c r="A103" s="53">
        <v>6</v>
      </c>
      <c r="B103" s="53" t="s">
        <v>1690</v>
      </c>
      <c r="C103" s="40">
        <v>1</v>
      </c>
      <c r="D103" s="54">
        <v>147.41999999999999</v>
      </c>
      <c r="E103" s="40">
        <v>300</v>
      </c>
      <c r="F103" s="40">
        <f t="shared" si="8"/>
        <v>44225.999999999993</v>
      </c>
      <c r="G103" s="55">
        <v>0.5</v>
      </c>
      <c r="H103" s="42">
        <f t="shared" si="9"/>
        <v>22112.999999999996</v>
      </c>
    </row>
    <row r="104" spans="1:8" ht="86.4" x14ac:dyDescent="0.3">
      <c r="A104" s="53">
        <v>7</v>
      </c>
      <c r="B104" s="53" t="s">
        <v>1074</v>
      </c>
      <c r="C104" s="40">
        <v>1</v>
      </c>
      <c r="D104" s="54">
        <v>26.1</v>
      </c>
      <c r="E104" s="40">
        <v>100</v>
      </c>
      <c r="F104" s="40">
        <f t="shared" si="8"/>
        <v>2610</v>
      </c>
      <c r="G104" s="55">
        <v>0.5</v>
      </c>
      <c r="H104" s="42">
        <f>F104*(1-G104)</f>
        <v>1305</v>
      </c>
    </row>
    <row r="105" spans="1:8" ht="100.8" x14ac:dyDescent="0.3">
      <c r="A105" s="53">
        <v>8</v>
      </c>
      <c r="B105" s="53" t="s">
        <v>1075</v>
      </c>
      <c r="C105" s="87">
        <v>1</v>
      </c>
      <c r="D105" s="88">
        <v>52.71</v>
      </c>
      <c r="E105" s="87">
        <v>150</v>
      </c>
      <c r="F105" s="87">
        <f t="shared" si="8"/>
        <v>7906.5</v>
      </c>
      <c r="G105" s="89">
        <v>0.5</v>
      </c>
      <c r="H105" s="90">
        <f>F105*(1-G105)</f>
        <v>3953.25</v>
      </c>
    </row>
    <row r="106" spans="1:8" ht="28.8" x14ac:dyDescent="0.3">
      <c r="A106" s="53">
        <v>9</v>
      </c>
      <c r="B106" s="53" t="s">
        <v>1076</v>
      </c>
      <c r="C106" s="40">
        <v>3</v>
      </c>
      <c r="D106" s="54">
        <v>19.649999999999999</v>
      </c>
      <c r="E106" s="40">
        <v>150</v>
      </c>
      <c r="F106" s="40">
        <f t="shared" si="8"/>
        <v>8842.5</v>
      </c>
      <c r="G106" s="55">
        <v>0.5</v>
      </c>
      <c r="H106" s="42">
        <f t="shared" si="9"/>
        <v>4421.25</v>
      </c>
    </row>
    <row r="107" spans="1:8" ht="57.6" x14ac:dyDescent="0.3">
      <c r="A107" s="53">
        <v>10</v>
      </c>
      <c r="B107" s="53" t="s">
        <v>1343</v>
      </c>
      <c r="C107" s="40">
        <v>4</v>
      </c>
      <c r="D107" s="54">
        <v>23.37</v>
      </c>
      <c r="E107" s="40">
        <v>80</v>
      </c>
      <c r="F107" s="40">
        <f>C107*D107*E107</f>
        <v>7478.4000000000005</v>
      </c>
      <c r="G107" s="55">
        <v>0.5</v>
      </c>
      <c r="H107" s="42">
        <f t="shared" si="9"/>
        <v>3739.2000000000003</v>
      </c>
    </row>
    <row r="108" spans="1:8" ht="86.4" x14ac:dyDescent="0.3">
      <c r="A108" s="53">
        <v>11</v>
      </c>
      <c r="B108" s="53" t="s">
        <v>1077</v>
      </c>
      <c r="C108" s="40">
        <v>1</v>
      </c>
      <c r="D108" s="54">
        <v>5.58</v>
      </c>
      <c r="E108" s="40">
        <v>100</v>
      </c>
      <c r="F108" s="40">
        <f t="shared" si="8"/>
        <v>558</v>
      </c>
      <c r="G108" s="55">
        <v>0.5</v>
      </c>
      <c r="H108" s="42">
        <f t="shared" si="9"/>
        <v>279</v>
      </c>
    </row>
    <row r="109" spans="1:8" ht="28.8" x14ac:dyDescent="0.3">
      <c r="A109" s="53">
        <v>12</v>
      </c>
      <c r="B109" s="53" t="s">
        <v>1917</v>
      </c>
      <c r="C109" s="40">
        <v>1</v>
      </c>
      <c r="D109" s="91">
        <f>141.51*2</f>
        <v>283.02</v>
      </c>
      <c r="E109" s="40">
        <v>45</v>
      </c>
      <c r="F109" s="40">
        <f t="shared" si="8"/>
        <v>12735.9</v>
      </c>
      <c r="G109" s="55">
        <v>0.4</v>
      </c>
      <c r="H109" s="42">
        <f t="shared" si="9"/>
        <v>7641.5399999999991</v>
      </c>
    </row>
    <row r="110" spans="1:8" ht="43.2" x14ac:dyDescent="0.3">
      <c r="A110" s="53"/>
      <c r="B110" s="53" t="s">
        <v>1078</v>
      </c>
      <c r="C110" s="40">
        <v>1</v>
      </c>
      <c r="D110" s="91">
        <f>141.51*2</f>
        <v>283.02</v>
      </c>
      <c r="E110" s="40">
        <v>25</v>
      </c>
      <c r="F110" s="40">
        <f t="shared" si="8"/>
        <v>7075.5</v>
      </c>
      <c r="G110" s="55">
        <v>0.5</v>
      </c>
      <c r="H110" s="42">
        <f t="shared" si="9"/>
        <v>3537.75</v>
      </c>
    </row>
    <row r="111" spans="1:8" x14ac:dyDescent="0.3">
      <c r="A111" s="53"/>
      <c r="B111" s="57" t="s">
        <v>7</v>
      </c>
      <c r="C111" s="40"/>
      <c r="D111" s="91"/>
      <c r="E111" s="40"/>
      <c r="F111" s="40"/>
      <c r="G111" s="55"/>
      <c r="H111" s="42">
        <f>SUM(H98:H110)</f>
        <v>1269193.99</v>
      </c>
    </row>
    <row r="112" spans="1:8" x14ac:dyDescent="0.3">
      <c r="A112" s="53">
        <v>13</v>
      </c>
      <c r="B112" s="57" t="s">
        <v>8</v>
      </c>
      <c r="C112" s="40">
        <v>1</v>
      </c>
      <c r="D112" s="54">
        <v>20150</v>
      </c>
      <c r="E112" s="40">
        <v>8</v>
      </c>
      <c r="F112" s="40">
        <f>(10000*E112)+(0.75*E112*10000)+(150*0.5*E112)</f>
        <v>140600</v>
      </c>
      <c r="G112" s="55">
        <v>0</v>
      </c>
      <c r="H112" s="58">
        <f>(1-G112)*F112</f>
        <v>140600</v>
      </c>
    </row>
    <row r="113" spans="1:8" x14ac:dyDescent="0.3">
      <c r="A113" s="53"/>
      <c r="B113" s="57" t="s">
        <v>9</v>
      </c>
      <c r="C113" s="39"/>
      <c r="D113" s="59"/>
      <c r="E113" s="39"/>
      <c r="F113" s="39"/>
      <c r="G113" s="39"/>
      <c r="H113" s="58">
        <f>H111+H112</f>
        <v>1409793.99</v>
      </c>
    </row>
    <row r="114" spans="1:8" x14ac:dyDescent="0.3">
      <c r="A114" s="51"/>
      <c r="B114" s="70"/>
      <c r="C114" s="39"/>
      <c r="D114" s="59"/>
      <c r="E114" s="39"/>
      <c r="F114" s="71"/>
      <c r="G114" s="39"/>
      <c r="H114" s="58"/>
    </row>
    <row r="115" spans="1:8" x14ac:dyDescent="0.3">
      <c r="A115" s="43"/>
      <c r="B115" s="92">
        <v>737</v>
      </c>
      <c r="C115" s="44" t="s">
        <v>729</v>
      </c>
      <c r="D115" s="45"/>
      <c r="E115" s="46"/>
      <c r="F115" s="47" t="s">
        <v>730</v>
      </c>
      <c r="G115" s="60"/>
      <c r="H115" s="48"/>
    </row>
    <row r="116" spans="1:8" x14ac:dyDescent="0.3">
      <c r="A116" s="40"/>
      <c r="B116" s="49" t="s">
        <v>10</v>
      </c>
      <c r="C116" s="49" t="s">
        <v>1</v>
      </c>
      <c r="D116" s="50" t="s">
        <v>2</v>
      </c>
      <c r="E116" s="51" t="s">
        <v>3</v>
      </c>
      <c r="F116" s="51" t="s">
        <v>4</v>
      </c>
      <c r="G116" s="51" t="s">
        <v>5</v>
      </c>
      <c r="H116" s="52" t="s">
        <v>6</v>
      </c>
    </row>
    <row r="117" spans="1:8" ht="115.2" x14ac:dyDescent="0.3">
      <c r="A117" s="40">
        <v>1</v>
      </c>
      <c r="B117" s="53" t="s">
        <v>1691</v>
      </c>
      <c r="C117" s="40">
        <v>1</v>
      </c>
      <c r="D117" s="54">
        <v>267.68</v>
      </c>
      <c r="E117" s="40">
        <v>450</v>
      </c>
      <c r="F117" s="40">
        <f t="shared" ref="F117:F122" si="10">C117*D117*E117</f>
        <v>120456</v>
      </c>
      <c r="G117" s="55">
        <v>0.4</v>
      </c>
      <c r="H117" s="42">
        <f t="shared" ref="H117:H123" si="11">F117*(1-G117)</f>
        <v>72273.599999999991</v>
      </c>
    </row>
    <row r="118" spans="1:8" ht="72" x14ac:dyDescent="0.3">
      <c r="A118" s="40">
        <v>2</v>
      </c>
      <c r="B118" s="53" t="s">
        <v>1359</v>
      </c>
      <c r="C118" s="40">
        <v>1</v>
      </c>
      <c r="D118" s="56">
        <v>331.6</v>
      </c>
      <c r="E118" s="40">
        <v>350</v>
      </c>
      <c r="F118" s="40">
        <f t="shared" si="10"/>
        <v>116060.00000000001</v>
      </c>
      <c r="G118" s="55">
        <v>0.4</v>
      </c>
      <c r="H118" s="42">
        <f t="shared" si="11"/>
        <v>69636</v>
      </c>
    </row>
    <row r="119" spans="1:8" ht="57.6" x14ac:dyDescent="0.3">
      <c r="A119" s="40">
        <v>3</v>
      </c>
      <c r="B119" s="53" t="s">
        <v>731</v>
      </c>
      <c r="C119" s="40">
        <v>1</v>
      </c>
      <c r="D119" s="56">
        <v>522.4</v>
      </c>
      <c r="E119" s="40">
        <v>300</v>
      </c>
      <c r="F119" s="40">
        <f t="shared" si="10"/>
        <v>156720</v>
      </c>
      <c r="G119" s="55">
        <v>0.4</v>
      </c>
      <c r="H119" s="42">
        <f t="shared" si="11"/>
        <v>94032</v>
      </c>
    </row>
    <row r="120" spans="1:8" ht="57.6" x14ac:dyDescent="0.3">
      <c r="A120" s="40">
        <v>4</v>
      </c>
      <c r="B120" s="53" t="s">
        <v>732</v>
      </c>
      <c r="C120" s="40">
        <v>1</v>
      </c>
      <c r="D120" s="54">
        <v>36.74</v>
      </c>
      <c r="E120" s="40">
        <v>200</v>
      </c>
      <c r="F120" s="40">
        <f t="shared" si="10"/>
        <v>7348</v>
      </c>
      <c r="G120" s="55">
        <v>0.4</v>
      </c>
      <c r="H120" s="42">
        <f t="shared" si="11"/>
        <v>4408.8</v>
      </c>
    </row>
    <row r="121" spans="1:8" ht="72" x14ac:dyDescent="0.3">
      <c r="A121" s="40">
        <v>5</v>
      </c>
      <c r="B121" s="53" t="s">
        <v>733</v>
      </c>
      <c r="C121" s="40">
        <v>1</v>
      </c>
      <c r="D121" s="54">
        <v>64</v>
      </c>
      <c r="E121" s="40">
        <v>250</v>
      </c>
      <c r="F121" s="40">
        <f t="shared" si="10"/>
        <v>16000</v>
      </c>
      <c r="G121" s="55">
        <v>0.5</v>
      </c>
      <c r="H121" s="42">
        <f t="shared" si="11"/>
        <v>8000</v>
      </c>
    </row>
    <row r="122" spans="1:8" ht="72" x14ac:dyDescent="0.3">
      <c r="A122" s="40">
        <v>6</v>
      </c>
      <c r="B122" s="53" t="s">
        <v>734</v>
      </c>
      <c r="C122" s="40">
        <v>1</v>
      </c>
      <c r="D122" s="54">
        <v>21.87</v>
      </c>
      <c r="E122" s="40">
        <v>100</v>
      </c>
      <c r="F122" s="40">
        <f t="shared" si="10"/>
        <v>2187</v>
      </c>
      <c r="G122" s="55">
        <v>0.5</v>
      </c>
      <c r="H122" s="42">
        <f t="shared" si="11"/>
        <v>1093.5</v>
      </c>
    </row>
    <row r="123" spans="1:8" ht="28.8" x14ac:dyDescent="0.3">
      <c r="A123" s="40">
        <v>7</v>
      </c>
      <c r="B123" s="53" t="s">
        <v>716</v>
      </c>
      <c r="C123" s="40">
        <v>1</v>
      </c>
      <c r="D123" s="54">
        <v>446.57</v>
      </c>
      <c r="E123" s="40">
        <v>25</v>
      </c>
      <c r="F123" s="40">
        <f>C123*D123*E123*0.5</f>
        <v>5582.125</v>
      </c>
      <c r="G123" s="55">
        <v>0.5</v>
      </c>
      <c r="H123" s="42">
        <f t="shared" si="11"/>
        <v>2791.0625</v>
      </c>
    </row>
    <row r="124" spans="1:8" x14ac:dyDescent="0.3">
      <c r="A124" s="40"/>
      <c r="B124" s="57" t="s">
        <v>7</v>
      </c>
      <c r="C124" s="40"/>
      <c r="D124" s="54"/>
      <c r="E124" s="40"/>
      <c r="F124" s="40"/>
      <c r="G124" s="55"/>
      <c r="H124" s="58">
        <f>SUM(H117:H123)</f>
        <v>252234.96249999997</v>
      </c>
    </row>
    <row r="125" spans="1:8" x14ac:dyDescent="0.3">
      <c r="A125" s="40">
        <v>8</v>
      </c>
      <c r="B125" s="57" t="s">
        <v>8</v>
      </c>
      <c r="C125" s="40">
        <v>1</v>
      </c>
      <c r="D125" s="54">
        <v>12464</v>
      </c>
      <c r="E125" s="40">
        <v>8</v>
      </c>
      <c r="F125" s="40">
        <f>C125*D125*E125</f>
        <v>99712</v>
      </c>
      <c r="G125" s="55">
        <v>0</v>
      </c>
      <c r="H125" s="58">
        <f>(1-G125)*F125</f>
        <v>99712</v>
      </c>
    </row>
    <row r="126" spans="1:8" x14ac:dyDescent="0.3">
      <c r="A126" s="51"/>
      <c r="B126" s="57" t="s">
        <v>9</v>
      </c>
      <c r="C126" s="39"/>
      <c r="D126" s="59"/>
      <c r="E126" s="39"/>
      <c r="F126" s="39"/>
      <c r="G126" s="39"/>
      <c r="H126" s="58">
        <f>H124+H125</f>
        <v>351946.96249999997</v>
      </c>
    </row>
    <row r="127" spans="1:8" x14ac:dyDescent="0.3">
      <c r="A127" s="51"/>
      <c r="B127" s="57"/>
      <c r="C127" s="39"/>
      <c r="D127" s="59"/>
      <c r="E127" s="39"/>
      <c r="F127" s="39"/>
      <c r="G127" s="39"/>
      <c r="H127" s="58"/>
    </row>
    <row r="128" spans="1:8" x14ac:dyDescent="0.3">
      <c r="A128" s="43"/>
      <c r="B128" s="92">
        <v>738</v>
      </c>
      <c r="C128" s="44" t="s">
        <v>735</v>
      </c>
      <c r="D128" s="45"/>
      <c r="E128" s="46"/>
      <c r="F128" s="47" t="s">
        <v>730</v>
      </c>
      <c r="G128" s="60"/>
      <c r="H128" s="48"/>
    </row>
    <row r="129" spans="1:8" x14ac:dyDescent="0.3">
      <c r="A129" s="40"/>
      <c r="B129" s="49" t="s">
        <v>10</v>
      </c>
      <c r="C129" s="49" t="s">
        <v>1</v>
      </c>
      <c r="D129" s="50" t="s">
        <v>2</v>
      </c>
      <c r="E129" s="51" t="s">
        <v>3</v>
      </c>
      <c r="F129" s="51" t="s">
        <v>4</v>
      </c>
      <c r="G129" s="51" t="s">
        <v>5</v>
      </c>
      <c r="H129" s="52" t="s">
        <v>6</v>
      </c>
    </row>
    <row r="130" spans="1:8" ht="43.2" x14ac:dyDescent="0.3">
      <c r="A130" s="40">
        <v>1</v>
      </c>
      <c r="B130" s="53" t="s">
        <v>736</v>
      </c>
      <c r="C130" s="40">
        <v>1</v>
      </c>
      <c r="D130" s="54">
        <v>23.75</v>
      </c>
      <c r="E130" s="40">
        <v>100</v>
      </c>
      <c r="F130" s="40">
        <f>C130*D130*E130</f>
        <v>2375</v>
      </c>
      <c r="G130" s="55">
        <v>0.4</v>
      </c>
      <c r="H130" s="42">
        <f t="shared" ref="H130:H135" si="12">F130*(1-G130)</f>
        <v>1425</v>
      </c>
    </row>
    <row r="131" spans="1:8" x14ac:dyDescent="0.3">
      <c r="A131" s="40">
        <v>2</v>
      </c>
      <c r="B131" s="53" t="s">
        <v>737</v>
      </c>
      <c r="C131" s="40">
        <v>1</v>
      </c>
      <c r="D131" s="54">
        <v>30000</v>
      </c>
      <c r="E131" s="40">
        <v>0.5</v>
      </c>
      <c r="F131" s="40">
        <f>C131*D131*E131</f>
        <v>15000</v>
      </c>
      <c r="G131" s="55">
        <v>0.4</v>
      </c>
      <c r="H131" s="42">
        <f t="shared" si="12"/>
        <v>9000</v>
      </c>
    </row>
    <row r="132" spans="1:8" x14ac:dyDescent="0.3">
      <c r="A132" s="40">
        <v>3</v>
      </c>
      <c r="B132" s="53" t="s">
        <v>738</v>
      </c>
      <c r="C132" s="40">
        <v>1</v>
      </c>
      <c r="D132" s="54">
        <v>4500</v>
      </c>
      <c r="E132" s="40">
        <v>0.5</v>
      </c>
      <c r="F132" s="40">
        <f>C132*D132*E132</f>
        <v>2250</v>
      </c>
      <c r="G132" s="55">
        <v>0.4</v>
      </c>
      <c r="H132" s="42">
        <f t="shared" si="12"/>
        <v>1350</v>
      </c>
    </row>
    <row r="133" spans="1:8" x14ac:dyDescent="0.3">
      <c r="A133" s="40">
        <v>4</v>
      </c>
      <c r="B133" s="53" t="s">
        <v>739</v>
      </c>
      <c r="C133" s="40">
        <v>1</v>
      </c>
      <c r="D133" s="54">
        <v>30000</v>
      </c>
      <c r="E133" s="40">
        <v>0.65</v>
      </c>
      <c r="F133" s="40">
        <f>C133*D133*E133</f>
        <v>19500</v>
      </c>
      <c r="G133" s="55">
        <v>0.4</v>
      </c>
      <c r="H133" s="42">
        <f t="shared" si="12"/>
        <v>11700</v>
      </c>
    </row>
    <row r="134" spans="1:8" ht="28.8" x14ac:dyDescent="0.3">
      <c r="A134" s="40">
        <v>5</v>
      </c>
      <c r="B134" s="53" t="s">
        <v>740</v>
      </c>
      <c r="C134" s="40">
        <v>1</v>
      </c>
      <c r="D134" s="54">
        <v>222.57</v>
      </c>
      <c r="E134" s="40">
        <v>22</v>
      </c>
      <c r="F134" s="40">
        <f>C134*D134*E134*0.5</f>
        <v>2448.27</v>
      </c>
      <c r="G134" s="55">
        <v>0.5</v>
      </c>
      <c r="H134" s="42">
        <f t="shared" si="12"/>
        <v>1224.135</v>
      </c>
    </row>
    <row r="135" spans="1:8" ht="28.8" x14ac:dyDescent="0.3">
      <c r="A135" s="61">
        <v>6</v>
      </c>
      <c r="B135" s="53" t="s">
        <v>1452</v>
      </c>
      <c r="C135" s="40">
        <v>1</v>
      </c>
      <c r="D135" s="54">
        <v>111.28</v>
      </c>
      <c r="E135" s="40">
        <v>45</v>
      </c>
      <c r="F135" s="40">
        <f>C135*D135*E135*0.5</f>
        <v>2503.8000000000002</v>
      </c>
      <c r="G135" s="55">
        <v>0.5</v>
      </c>
      <c r="H135" s="42">
        <f t="shared" si="12"/>
        <v>1251.9000000000001</v>
      </c>
    </row>
    <row r="136" spans="1:8" x14ac:dyDescent="0.3">
      <c r="A136" s="40"/>
      <c r="B136" s="57" t="s">
        <v>7</v>
      </c>
      <c r="C136" s="40"/>
      <c r="D136" s="54"/>
      <c r="E136" s="40"/>
      <c r="F136" s="40"/>
      <c r="G136" s="55"/>
      <c r="H136" s="58">
        <f>SUM(H130:H135)</f>
        <v>25951.035</v>
      </c>
    </row>
    <row r="137" spans="1:8" x14ac:dyDescent="0.3">
      <c r="A137" s="40">
        <v>7</v>
      </c>
      <c r="B137" s="57" t="s">
        <v>8</v>
      </c>
      <c r="C137" s="40">
        <v>1</v>
      </c>
      <c r="D137" s="54">
        <v>12384</v>
      </c>
      <c r="E137" s="40">
        <v>8</v>
      </c>
      <c r="F137" s="40">
        <f>(10000*E137)+(2384*0.75*E137)</f>
        <v>94304</v>
      </c>
      <c r="G137" s="55">
        <v>0</v>
      </c>
      <c r="H137" s="58">
        <f>(1-G137)*F137</f>
        <v>94304</v>
      </c>
    </row>
    <row r="138" spans="1:8" x14ac:dyDescent="0.3">
      <c r="A138" s="51"/>
      <c r="B138" s="57" t="s">
        <v>9</v>
      </c>
      <c r="C138" s="39"/>
      <c r="D138" s="59"/>
      <c r="E138" s="39"/>
      <c r="F138" s="39"/>
      <c r="G138" s="39"/>
      <c r="H138" s="58">
        <f>H136+H137</f>
        <v>120255.035</v>
      </c>
    </row>
    <row r="139" spans="1:8" x14ac:dyDescent="0.3">
      <c r="A139" s="43"/>
      <c r="B139" s="44" t="s">
        <v>741</v>
      </c>
      <c r="C139" s="44" t="s">
        <v>742</v>
      </c>
      <c r="D139" s="45"/>
      <c r="E139" s="46"/>
      <c r="F139" s="47" t="s">
        <v>1351</v>
      </c>
      <c r="G139" s="60"/>
      <c r="H139" s="48"/>
    </row>
    <row r="140" spans="1:8" x14ac:dyDescent="0.3">
      <c r="A140" s="40"/>
      <c r="B140" s="49" t="s">
        <v>10</v>
      </c>
      <c r="C140" s="49" t="s">
        <v>1</v>
      </c>
      <c r="D140" s="50" t="s">
        <v>2</v>
      </c>
      <c r="E140" s="51" t="s">
        <v>3</v>
      </c>
      <c r="F140" s="51" t="s">
        <v>4</v>
      </c>
      <c r="G140" s="51" t="s">
        <v>5</v>
      </c>
      <c r="H140" s="52" t="s">
        <v>6</v>
      </c>
    </row>
    <row r="141" spans="1:8" ht="86.4" x14ac:dyDescent="0.3">
      <c r="A141" s="40">
        <v>1</v>
      </c>
      <c r="B141" s="53" t="s">
        <v>1352</v>
      </c>
      <c r="C141" s="40">
        <v>1</v>
      </c>
      <c r="D141" s="54">
        <v>693.04</v>
      </c>
      <c r="E141" s="40">
        <v>350</v>
      </c>
      <c r="F141" s="40">
        <f t="shared" ref="F141:F167" si="13">C141*D141*E141</f>
        <v>242564</v>
      </c>
      <c r="G141" s="55">
        <v>0.5</v>
      </c>
      <c r="H141" s="42">
        <f t="shared" ref="H141:H168" si="14">F141*(1-G141)</f>
        <v>121282</v>
      </c>
    </row>
    <row r="142" spans="1:8" ht="86.4" x14ac:dyDescent="0.3">
      <c r="A142" s="40">
        <v>2</v>
      </c>
      <c r="B142" s="53" t="s">
        <v>1692</v>
      </c>
      <c r="C142" s="40">
        <v>1</v>
      </c>
      <c r="D142" s="54">
        <v>338.58</v>
      </c>
      <c r="E142" s="40">
        <v>450</v>
      </c>
      <c r="F142" s="40">
        <f t="shared" si="13"/>
        <v>152361</v>
      </c>
      <c r="G142" s="55">
        <v>0.5</v>
      </c>
      <c r="H142" s="42">
        <f t="shared" si="14"/>
        <v>76180.5</v>
      </c>
    </row>
    <row r="143" spans="1:8" ht="57.6" x14ac:dyDescent="0.3">
      <c r="A143" s="40">
        <v>3</v>
      </c>
      <c r="B143" s="53" t="s">
        <v>1360</v>
      </c>
      <c r="C143" s="40">
        <v>1</v>
      </c>
      <c r="D143" s="54">
        <v>6510</v>
      </c>
      <c r="E143" s="40">
        <v>450</v>
      </c>
      <c r="F143" s="40">
        <f t="shared" si="13"/>
        <v>2929500</v>
      </c>
      <c r="G143" s="55">
        <v>0.5</v>
      </c>
      <c r="H143" s="42">
        <f t="shared" si="14"/>
        <v>1464750</v>
      </c>
    </row>
    <row r="144" spans="1:8" ht="57.6" x14ac:dyDescent="0.3">
      <c r="A144" s="40">
        <v>4</v>
      </c>
      <c r="B144" s="53" t="s">
        <v>1909</v>
      </c>
      <c r="C144" s="40">
        <v>1</v>
      </c>
      <c r="D144" s="54">
        <v>1555.2</v>
      </c>
      <c r="E144" s="40">
        <v>450</v>
      </c>
      <c r="F144" s="40">
        <f t="shared" si="13"/>
        <v>699840</v>
      </c>
      <c r="G144" s="55">
        <v>0.3</v>
      </c>
      <c r="H144" s="42">
        <f t="shared" si="14"/>
        <v>489887.99999999994</v>
      </c>
    </row>
    <row r="145" spans="1:8" ht="86.4" x14ac:dyDescent="0.3">
      <c r="A145" s="40">
        <v>5</v>
      </c>
      <c r="B145" s="53" t="s">
        <v>743</v>
      </c>
      <c r="C145" s="40">
        <v>1</v>
      </c>
      <c r="D145" s="54">
        <v>143.11000000000001</v>
      </c>
      <c r="E145" s="40">
        <v>450</v>
      </c>
      <c r="F145" s="40">
        <f t="shared" si="13"/>
        <v>64399.500000000007</v>
      </c>
      <c r="G145" s="55">
        <v>0.4</v>
      </c>
      <c r="H145" s="42">
        <f t="shared" si="14"/>
        <v>38639.700000000004</v>
      </c>
    </row>
    <row r="146" spans="1:8" ht="43.2" x14ac:dyDescent="0.3">
      <c r="A146" s="40">
        <v>6</v>
      </c>
      <c r="B146" s="53" t="s">
        <v>744</v>
      </c>
      <c r="C146" s="40">
        <v>1</v>
      </c>
      <c r="D146" s="54">
        <v>204</v>
      </c>
      <c r="E146" s="40">
        <v>150</v>
      </c>
      <c r="F146" s="40">
        <f t="shared" si="13"/>
        <v>30600</v>
      </c>
      <c r="G146" s="55">
        <v>0.4</v>
      </c>
      <c r="H146" s="42">
        <f t="shared" si="14"/>
        <v>18360</v>
      </c>
    </row>
    <row r="147" spans="1:8" ht="57.6" x14ac:dyDescent="0.3">
      <c r="A147" s="40">
        <v>7</v>
      </c>
      <c r="B147" s="53" t="s">
        <v>745</v>
      </c>
      <c r="C147" s="40">
        <v>1</v>
      </c>
      <c r="D147" s="54">
        <v>100</v>
      </c>
      <c r="E147" s="40">
        <v>200</v>
      </c>
      <c r="F147" s="40">
        <f t="shared" si="13"/>
        <v>20000</v>
      </c>
      <c r="G147" s="55">
        <v>0.5</v>
      </c>
      <c r="H147" s="42">
        <f t="shared" si="14"/>
        <v>10000</v>
      </c>
    </row>
    <row r="148" spans="1:8" ht="43.2" x14ac:dyDescent="0.3">
      <c r="A148" s="40">
        <v>8</v>
      </c>
      <c r="B148" s="53" t="s">
        <v>746</v>
      </c>
      <c r="C148" s="40">
        <v>3</v>
      </c>
      <c r="D148" s="54">
        <v>618.54</v>
      </c>
      <c r="E148" s="40">
        <v>300</v>
      </c>
      <c r="F148" s="40">
        <f t="shared" si="13"/>
        <v>556686</v>
      </c>
      <c r="G148" s="55">
        <v>0.5</v>
      </c>
      <c r="H148" s="42">
        <f t="shared" si="14"/>
        <v>278343</v>
      </c>
    </row>
    <row r="149" spans="1:8" ht="72" x14ac:dyDescent="0.3">
      <c r="A149" s="40">
        <v>9</v>
      </c>
      <c r="B149" s="53" t="s">
        <v>1361</v>
      </c>
      <c r="C149" s="40">
        <v>1</v>
      </c>
      <c r="D149" s="54">
        <v>308.2</v>
      </c>
      <c r="E149" s="40">
        <v>500</v>
      </c>
      <c r="F149" s="40">
        <f t="shared" si="13"/>
        <v>154100</v>
      </c>
      <c r="G149" s="55">
        <v>0.5</v>
      </c>
      <c r="H149" s="42">
        <f t="shared" si="14"/>
        <v>77050</v>
      </c>
    </row>
    <row r="150" spans="1:8" ht="72" x14ac:dyDescent="0.3">
      <c r="A150" s="40">
        <v>10</v>
      </c>
      <c r="B150" s="53" t="s">
        <v>747</v>
      </c>
      <c r="C150" s="40">
        <v>1</v>
      </c>
      <c r="D150" s="54">
        <v>42.95</v>
      </c>
      <c r="E150" s="40">
        <v>150</v>
      </c>
      <c r="F150" s="40">
        <f t="shared" si="13"/>
        <v>6442.5</v>
      </c>
      <c r="G150" s="55">
        <v>0.4</v>
      </c>
      <c r="H150" s="42">
        <f t="shared" si="14"/>
        <v>3865.5</v>
      </c>
    </row>
    <row r="151" spans="1:8" ht="57.6" x14ac:dyDescent="0.3">
      <c r="A151" s="40">
        <v>11</v>
      </c>
      <c r="B151" s="53" t="s">
        <v>748</v>
      </c>
      <c r="C151" s="40">
        <v>1</v>
      </c>
      <c r="D151" s="54">
        <v>141.80000000000001</v>
      </c>
      <c r="E151" s="40">
        <v>200</v>
      </c>
      <c r="F151" s="40">
        <f t="shared" si="13"/>
        <v>28360.000000000004</v>
      </c>
      <c r="G151" s="55">
        <v>0.4</v>
      </c>
      <c r="H151" s="42">
        <f t="shared" si="14"/>
        <v>17016</v>
      </c>
    </row>
    <row r="152" spans="1:8" ht="72" x14ac:dyDescent="0.3">
      <c r="A152" s="40">
        <v>12</v>
      </c>
      <c r="B152" s="53" t="s">
        <v>749</v>
      </c>
      <c r="C152" s="40">
        <v>1</v>
      </c>
      <c r="D152" s="54">
        <v>175.37</v>
      </c>
      <c r="E152" s="40">
        <v>200</v>
      </c>
      <c r="F152" s="40">
        <f t="shared" si="13"/>
        <v>35074</v>
      </c>
      <c r="G152" s="55">
        <v>0.5</v>
      </c>
      <c r="H152" s="42">
        <f t="shared" si="14"/>
        <v>17537</v>
      </c>
    </row>
    <row r="153" spans="1:8" ht="72" x14ac:dyDescent="0.3">
      <c r="A153" s="40">
        <v>13</v>
      </c>
      <c r="B153" s="53" t="s">
        <v>1362</v>
      </c>
      <c r="C153" s="40">
        <v>1</v>
      </c>
      <c r="D153" s="54">
        <v>80.790000000000006</v>
      </c>
      <c r="E153" s="40">
        <v>150</v>
      </c>
      <c r="F153" s="40">
        <f t="shared" si="13"/>
        <v>12118.500000000002</v>
      </c>
      <c r="G153" s="55">
        <v>0.4</v>
      </c>
      <c r="H153" s="42">
        <f t="shared" si="14"/>
        <v>7271.1000000000013</v>
      </c>
    </row>
    <row r="154" spans="1:8" ht="43.2" x14ac:dyDescent="0.3">
      <c r="A154" s="40">
        <v>14</v>
      </c>
      <c r="B154" s="53" t="s">
        <v>750</v>
      </c>
      <c r="C154" s="40">
        <v>1</v>
      </c>
      <c r="D154" s="54">
        <v>133.80000000000001</v>
      </c>
      <c r="E154" s="40">
        <v>250</v>
      </c>
      <c r="F154" s="40">
        <f t="shared" si="13"/>
        <v>33450</v>
      </c>
      <c r="G154" s="55">
        <v>0.4</v>
      </c>
      <c r="H154" s="42">
        <f t="shared" si="14"/>
        <v>20070</v>
      </c>
    </row>
    <row r="155" spans="1:8" ht="57.6" x14ac:dyDescent="0.3">
      <c r="A155" s="40">
        <v>15</v>
      </c>
      <c r="B155" s="53" t="s">
        <v>1353</v>
      </c>
      <c r="C155" s="40">
        <v>1</v>
      </c>
      <c r="D155" s="54">
        <v>62.95</v>
      </c>
      <c r="E155" s="40">
        <v>200</v>
      </c>
      <c r="F155" s="40">
        <f t="shared" si="13"/>
        <v>12590</v>
      </c>
      <c r="G155" s="55">
        <v>0.3</v>
      </c>
      <c r="H155" s="42">
        <f t="shared" si="14"/>
        <v>8813</v>
      </c>
    </row>
    <row r="156" spans="1:8" ht="86.4" x14ac:dyDescent="0.3">
      <c r="A156" s="40">
        <v>16</v>
      </c>
      <c r="B156" s="53" t="s">
        <v>751</v>
      </c>
      <c r="C156" s="40">
        <v>1</v>
      </c>
      <c r="D156" s="54">
        <v>12</v>
      </c>
      <c r="E156" s="40">
        <v>150</v>
      </c>
      <c r="F156" s="40">
        <f t="shared" si="13"/>
        <v>1800</v>
      </c>
      <c r="G156" s="55">
        <v>0.3</v>
      </c>
      <c r="H156" s="42">
        <f t="shared" si="14"/>
        <v>1260</v>
      </c>
    </row>
    <row r="157" spans="1:8" ht="57.6" x14ac:dyDescent="0.3">
      <c r="A157" s="40">
        <v>17</v>
      </c>
      <c r="B157" s="53" t="s">
        <v>1363</v>
      </c>
      <c r="C157" s="40">
        <v>1</v>
      </c>
      <c r="D157" s="54">
        <v>137.07</v>
      </c>
      <c r="E157" s="40">
        <v>80</v>
      </c>
      <c r="F157" s="40">
        <f t="shared" si="13"/>
        <v>10965.599999999999</v>
      </c>
      <c r="G157" s="55">
        <v>0.5</v>
      </c>
      <c r="H157" s="42">
        <f t="shared" si="14"/>
        <v>5482.7999999999993</v>
      </c>
    </row>
    <row r="158" spans="1:8" ht="43.2" x14ac:dyDescent="0.3">
      <c r="A158" s="40">
        <v>18</v>
      </c>
      <c r="B158" s="53" t="s">
        <v>1364</v>
      </c>
      <c r="C158" s="40">
        <v>1</v>
      </c>
      <c r="D158" s="54">
        <v>137.07</v>
      </c>
      <c r="E158" s="40">
        <v>80</v>
      </c>
      <c r="F158" s="40">
        <f t="shared" si="13"/>
        <v>10965.599999999999</v>
      </c>
      <c r="G158" s="55">
        <v>0.4</v>
      </c>
      <c r="H158" s="42">
        <f t="shared" si="14"/>
        <v>6579.3599999999988</v>
      </c>
    </row>
    <row r="159" spans="1:8" ht="72" x14ac:dyDescent="0.3">
      <c r="A159" s="40">
        <v>19</v>
      </c>
      <c r="B159" s="53" t="s">
        <v>1365</v>
      </c>
      <c r="C159" s="40">
        <v>1</v>
      </c>
      <c r="D159" s="54">
        <v>106.8</v>
      </c>
      <c r="E159" s="40">
        <v>300</v>
      </c>
      <c r="F159" s="40">
        <f t="shared" si="13"/>
        <v>32040</v>
      </c>
      <c r="G159" s="55">
        <v>0.4</v>
      </c>
      <c r="H159" s="42">
        <f t="shared" si="14"/>
        <v>19224</v>
      </c>
    </row>
    <row r="160" spans="1:8" ht="72" x14ac:dyDescent="0.3">
      <c r="A160" s="40">
        <v>20</v>
      </c>
      <c r="B160" s="53" t="s">
        <v>1366</v>
      </c>
      <c r="C160" s="40">
        <v>1</v>
      </c>
      <c r="D160" s="54">
        <v>32</v>
      </c>
      <c r="E160" s="40">
        <v>200</v>
      </c>
      <c r="F160" s="40">
        <f t="shared" si="13"/>
        <v>6400</v>
      </c>
      <c r="G160" s="55">
        <v>0.5</v>
      </c>
      <c r="H160" s="42">
        <f t="shared" si="14"/>
        <v>3200</v>
      </c>
    </row>
    <row r="161" spans="1:8" ht="57.6" x14ac:dyDescent="0.3">
      <c r="A161" s="40">
        <v>21</v>
      </c>
      <c r="B161" s="53" t="s">
        <v>752</v>
      </c>
      <c r="C161" s="40">
        <v>1</v>
      </c>
      <c r="D161" s="54">
        <v>25.8</v>
      </c>
      <c r="E161" s="40">
        <v>50</v>
      </c>
      <c r="F161" s="40">
        <f t="shared" si="13"/>
        <v>1290</v>
      </c>
      <c r="G161" s="55">
        <v>0.5</v>
      </c>
      <c r="H161" s="42">
        <f t="shared" si="14"/>
        <v>645</v>
      </c>
    </row>
    <row r="162" spans="1:8" ht="57.6" x14ac:dyDescent="0.3">
      <c r="A162" s="93">
        <v>22</v>
      </c>
      <c r="B162" s="75" t="s">
        <v>1924</v>
      </c>
      <c r="C162" s="87">
        <v>1</v>
      </c>
      <c r="D162" s="88">
        <v>1472.58</v>
      </c>
      <c r="E162" s="87">
        <v>350</v>
      </c>
      <c r="F162" s="87">
        <f t="shared" si="13"/>
        <v>515403</v>
      </c>
      <c r="G162" s="89">
        <v>0.4</v>
      </c>
      <c r="H162" s="90">
        <f t="shared" si="14"/>
        <v>309241.8</v>
      </c>
    </row>
    <row r="163" spans="1:8" ht="43.2" x14ac:dyDescent="0.3">
      <c r="A163" s="40">
        <v>23</v>
      </c>
      <c r="B163" s="53" t="s">
        <v>1367</v>
      </c>
      <c r="C163" s="40">
        <v>1</v>
      </c>
      <c r="D163" s="54">
        <v>185.46</v>
      </c>
      <c r="E163" s="40">
        <v>60</v>
      </c>
      <c r="F163" s="40">
        <f t="shared" si="13"/>
        <v>11127.6</v>
      </c>
      <c r="G163" s="55">
        <v>0.5</v>
      </c>
      <c r="H163" s="42">
        <f t="shared" si="14"/>
        <v>5563.8</v>
      </c>
    </row>
    <row r="164" spans="1:8" ht="72" x14ac:dyDescent="0.3">
      <c r="A164" s="40">
        <v>24</v>
      </c>
      <c r="B164" s="53" t="s">
        <v>753</v>
      </c>
      <c r="C164" s="40">
        <v>1</v>
      </c>
      <c r="D164" s="54">
        <v>44.59</v>
      </c>
      <c r="E164" s="40">
        <v>150</v>
      </c>
      <c r="F164" s="40">
        <f t="shared" si="13"/>
        <v>6688.5000000000009</v>
      </c>
      <c r="G164" s="55">
        <v>0.4</v>
      </c>
      <c r="H164" s="42">
        <f t="shared" si="14"/>
        <v>4013.1000000000004</v>
      </c>
    </row>
    <row r="165" spans="1:8" ht="100.8" x14ac:dyDescent="0.3">
      <c r="A165" s="40">
        <v>25</v>
      </c>
      <c r="B165" s="53" t="s">
        <v>754</v>
      </c>
      <c r="C165" s="40">
        <v>1</v>
      </c>
      <c r="D165" s="54">
        <v>20</v>
      </c>
      <c r="E165" s="40">
        <v>150</v>
      </c>
      <c r="F165" s="40">
        <f t="shared" si="13"/>
        <v>3000</v>
      </c>
      <c r="G165" s="55">
        <v>0.4</v>
      </c>
      <c r="H165" s="42">
        <f t="shared" si="14"/>
        <v>1800</v>
      </c>
    </row>
    <row r="166" spans="1:8" ht="72" x14ac:dyDescent="0.3">
      <c r="A166" s="40">
        <v>26</v>
      </c>
      <c r="B166" s="53" t="s">
        <v>755</v>
      </c>
      <c r="C166" s="40">
        <v>1</v>
      </c>
      <c r="D166" s="54">
        <v>88.42</v>
      </c>
      <c r="E166" s="40">
        <v>300</v>
      </c>
      <c r="F166" s="40">
        <f t="shared" si="13"/>
        <v>26526</v>
      </c>
      <c r="G166" s="55">
        <v>0.3</v>
      </c>
      <c r="H166" s="42">
        <f t="shared" si="14"/>
        <v>18568.199999999997</v>
      </c>
    </row>
    <row r="167" spans="1:8" ht="72" x14ac:dyDescent="0.3">
      <c r="A167" s="40">
        <v>27</v>
      </c>
      <c r="B167" s="53" t="s">
        <v>1693</v>
      </c>
      <c r="C167" s="40">
        <v>1</v>
      </c>
      <c r="D167" s="54">
        <v>197.34</v>
      </c>
      <c r="E167" s="40">
        <v>300</v>
      </c>
      <c r="F167" s="40">
        <f t="shared" si="13"/>
        <v>59202</v>
      </c>
      <c r="G167" s="55">
        <v>0.4</v>
      </c>
      <c r="H167" s="42">
        <f t="shared" si="14"/>
        <v>35521.199999999997</v>
      </c>
    </row>
    <row r="168" spans="1:8" ht="28.8" x14ac:dyDescent="0.3">
      <c r="A168" s="40">
        <v>28</v>
      </c>
      <c r="B168" s="53" t="s">
        <v>1451</v>
      </c>
      <c r="C168" s="40">
        <v>1</v>
      </c>
      <c r="D168" s="54">
        <v>674.24</v>
      </c>
      <c r="E168" s="40">
        <v>45</v>
      </c>
      <c r="F168" s="40">
        <f>C168*D168*E168*0.5</f>
        <v>15170.4</v>
      </c>
      <c r="G168" s="55">
        <v>0.5</v>
      </c>
      <c r="H168" s="42">
        <f t="shared" si="14"/>
        <v>7585.2</v>
      </c>
    </row>
    <row r="169" spans="1:8" x14ac:dyDescent="0.3">
      <c r="A169" s="40"/>
      <c r="B169" s="57" t="s">
        <v>7</v>
      </c>
      <c r="C169" s="40"/>
      <c r="D169" s="54"/>
      <c r="E169" s="40"/>
      <c r="F169" s="40"/>
      <c r="G169" s="55"/>
      <c r="H169" s="58">
        <f>SUM(H141:H168)</f>
        <v>3067750.2600000002</v>
      </c>
    </row>
    <row r="170" spans="1:8" x14ac:dyDescent="0.3">
      <c r="A170" s="40">
        <v>29</v>
      </c>
      <c r="B170" s="57" t="s">
        <v>8</v>
      </c>
      <c r="C170" s="40">
        <v>1</v>
      </c>
      <c r="D170" s="54">
        <v>28412</v>
      </c>
      <c r="E170" s="40">
        <v>8</v>
      </c>
      <c r="F170" s="40">
        <f>(10000*E170)+(10000*0.75*E170)+(8412*0.75*E170)</f>
        <v>190472</v>
      </c>
      <c r="G170" s="55">
        <v>0</v>
      </c>
      <c r="H170" s="58">
        <f>(1-G170)*F170</f>
        <v>190472</v>
      </c>
    </row>
    <row r="171" spans="1:8" x14ac:dyDescent="0.3">
      <c r="A171" s="51"/>
      <c r="B171" s="57" t="s">
        <v>9</v>
      </c>
      <c r="C171" s="39"/>
      <c r="D171" s="59"/>
      <c r="E171" s="39"/>
      <c r="F171" s="39"/>
      <c r="G171" s="39"/>
      <c r="H171" s="58">
        <f>H169+H170</f>
        <v>3258222.2600000002</v>
      </c>
    </row>
    <row r="172" spans="1:8" x14ac:dyDescent="0.3">
      <c r="A172" s="51"/>
      <c r="B172" s="57"/>
      <c r="C172" s="39"/>
      <c r="D172" s="59"/>
      <c r="E172" s="39"/>
      <c r="F172" s="39"/>
      <c r="G172" s="39"/>
      <c r="H172" s="58"/>
    </row>
    <row r="173" spans="1:8" s="31" customFormat="1" x14ac:dyDescent="0.3">
      <c r="A173" s="43"/>
      <c r="B173" s="62" t="s">
        <v>756</v>
      </c>
      <c r="C173" s="44" t="s">
        <v>757</v>
      </c>
      <c r="D173" s="45"/>
      <c r="E173" s="46"/>
      <c r="F173" s="47" t="s">
        <v>1259</v>
      </c>
      <c r="G173" s="60"/>
      <c r="H173" s="48"/>
    </row>
    <row r="174" spans="1:8" x14ac:dyDescent="0.3">
      <c r="A174" s="40"/>
      <c r="B174" s="49" t="s">
        <v>10</v>
      </c>
      <c r="C174" s="49" t="s">
        <v>1</v>
      </c>
      <c r="D174" s="50" t="s">
        <v>2</v>
      </c>
      <c r="E174" s="51" t="s">
        <v>3</v>
      </c>
      <c r="F174" s="51" t="s">
        <v>4</v>
      </c>
      <c r="G174" s="51" t="s">
        <v>5</v>
      </c>
      <c r="H174" s="52" t="s">
        <v>6</v>
      </c>
    </row>
    <row r="175" spans="1:8" ht="100.8" x14ac:dyDescent="0.3">
      <c r="A175" s="40">
        <v>1</v>
      </c>
      <c r="B175" s="53" t="s">
        <v>1389</v>
      </c>
      <c r="C175" s="40">
        <v>1</v>
      </c>
      <c r="D175" s="54">
        <v>298.92</v>
      </c>
      <c r="E175" s="40">
        <v>450</v>
      </c>
      <c r="F175" s="40">
        <f>C175*D175*E175</f>
        <v>134514</v>
      </c>
      <c r="G175" s="55">
        <v>0.5</v>
      </c>
      <c r="H175" s="42">
        <f t="shared" ref="H175:H180" si="15">F175*(1-G175)</f>
        <v>67257</v>
      </c>
    </row>
    <row r="176" spans="1:8" ht="57.6" x14ac:dyDescent="0.3">
      <c r="A176" s="40">
        <v>2</v>
      </c>
      <c r="B176" s="53" t="s">
        <v>1390</v>
      </c>
      <c r="C176" s="40">
        <v>1</v>
      </c>
      <c r="D176" s="54">
        <v>1039.82</v>
      </c>
      <c r="E176" s="40">
        <v>450</v>
      </c>
      <c r="F176" s="40">
        <f>C176*D176*E176</f>
        <v>467919</v>
      </c>
      <c r="G176" s="55">
        <v>0.5</v>
      </c>
      <c r="H176" s="42">
        <f t="shared" si="15"/>
        <v>233959.5</v>
      </c>
    </row>
    <row r="177" spans="1:8" ht="57.6" x14ac:dyDescent="0.3">
      <c r="A177" s="40">
        <v>3</v>
      </c>
      <c r="B177" s="53" t="s">
        <v>758</v>
      </c>
      <c r="C177" s="40">
        <v>1</v>
      </c>
      <c r="D177" s="54">
        <v>1050</v>
      </c>
      <c r="E177" s="40">
        <v>400</v>
      </c>
      <c r="F177" s="40">
        <f>C177*D177*E177</f>
        <v>420000</v>
      </c>
      <c r="G177" s="55">
        <v>0.5</v>
      </c>
      <c r="H177" s="42">
        <f t="shared" si="15"/>
        <v>210000</v>
      </c>
    </row>
    <row r="178" spans="1:8" ht="57.6" x14ac:dyDescent="0.3">
      <c r="A178" s="40">
        <v>4</v>
      </c>
      <c r="B178" s="53" t="s">
        <v>759</v>
      </c>
      <c r="C178" s="40">
        <v>1</v>
      </c>
      <c r="D178" s="54">
        <v>116</v>
      </c>
      <c r="E178" s="40">
        <v>150</v>
      </c>
      <c r="F178" s="40">
        <f>C178*D178*E178</f>
        <v>17400</v>
      </c>
      <c r="G178" s="55">
        <v>0.5</v>
      </c>
      <c r="H178" s="42">
        <f t="shared" si="15"/>
        <v>8700</v>
      </c>
    </row>
    <row r="179" spans="1:8" ht="28.8" x14ac:dyDescent="0.3">
      <c r="A179" s="40">
        <v>5</v>
      </c>
      <c r="B179" s="53" t="s">
        <v>760</v>
      </c>
      <c r="C179" s="40">
        <v>1</v>
      </c>
      <c r="D179" s="54">
        <v>122.46</v>
      </c>
      <c r="E179" s="40">
        <v>22</v>
      </c>
      <c r="F179" s="40">
        <f>C179*D179*E179*0.5</f>
        <v>1347.06</v>
      </c>
      <c r="G179" s="55">
        <v>0.5</v>
      </c>
      <c r="H179" s="42">
        <f t="shared" si="15"/>
        <v>673.53</v>
      </c>
    </row>
    <row r="180" spans="1:8" ht="28.8" x14ac:dyDescent="0.3">
      <c r="A180" s="40">
        <v>6</v>
      </c>
      <c r="B180" s="53" t="s">
        <v>1453</v>
      </c>
      <c r="C180" s="40">
        <v>1</v>
      </c>
      <c r="D180" s="54">
        <v>244.92</v>
      </c>
      <c r="E180" s="40">
        <v>45</v>
      </c>
      <c r="F180" s="40">
        <f>C180*D180*E180*0.5</f>
        <v>5510.7</v>
      </c>
      <c r="G180" s="55">
        <v>0.5</v>
      </c>
      <c r="H180" s="42">
        <f t="shared" si="15"/>
        <v>2755.35</v>
      </c>
    </row>
    <row r="181" spans="1:8" x14ac:dyDescent="0.3">
      <c r="A181" s="40"/>
      <c r="B181" s="57" t="s">
        <v>7</v>
      </c>
      <c r="C181" s="40"/>
      <c r="D181" s="54"/>
      <c r="E181" s="40"/>
      <c r="F181" s="40"/>
      <c r="G181" s="55"/>
      <c r="H181" s="58">
        <f>SUM(H175:H180)</f>
        <v>523345.38</v>
      </c>
    </row>
    <row r="182" spans="1:8" x14ac:dyDescent="0.3">
      <c r="A182" s="40">
        <v>7</v>
      </c>
      <c r="B182" s="57" t="s">
        <v>8</v>
      </c>
      <c r="C182" s="40">
        <v>1</v>
      </c>
      <c r="D182" s="54">
        <v>14996</v>
      </c>
      <c r="E182" s="40">
        <v>8</v>
      </c>
      <c r="F182" s="40">
        <f>(10000*E182)+(4996*0.75*E182)</f>
        <v>109976</v>
      </c>
      <c r="G182" s="55">
        <v>0</v>
      </c>
      <c r="H182" s="58">
        <f>(1-G182)*F182</f>
        <v>109976</v>
      </c>
    </row>
    <row r="183" spans="1:8" x14ac:dyDescent="0.3">
      <c r="A183" s="51"/>
      <c r="B183" s="57" t="s">
        <v>9</v>
      </c>
      <c r="C183" s="40"/>
      <c r="D183" s="59"/>
      <c r="E183" s="39"/>
      <c r="F183" s="39"/>
      <c r="G183" s="39"/>
      <c r="H183" s="58">
        <f>H181+H182</f>
        <v>633321.38</v>
      </c>
    </row>
    <row r="184" spans="1:8" x14ac:dyDescent="0.3">
      <c r="A184" s="43"/>
      <c r="B184" s="62" t="s">
        <v>761</v>
      </c>
      <c r="C184" s="44" t="s">
        <v>664</v>
      </c>
      <c r="D184" s="45"/>
      <c r="E184" s="46" t="s">
        <v>1988</v>
      </c>
      <c r="F184" s="60"/>
      <c r="G184" s="60"/>
      <c r="H184" s="48"/>
    </row>
    <row r="185" spans="1:8" x14ac:dyDescent="0.3">
      <c r="A185" s="40"/>
      <c r="B185" s="49" t="s">
        <v>10</v>
      </c>
      <c r="C185" s="49" t="s">
        <v>1</v>
      </c>
      <c r="D185" s="50" t="s">
        <v>2</v>
      </c>
      <c r="E185" s="51" t="s">
        <v>3</v>
      </c>
      <c r="F185" s="51" t="s">
        <v>4</v>
      </c>
      <c r="G185" s="51" t="s">
        <v>5</v>
      </c>
      <c r="H185" s="52" t="s">
        <v>6</v>
      </c>
    </row>
    <row r="186" spans="1:8" ht="43.2" x14ac:dyDescent="0.3">
      <c r="A186" s="40">
        <v>1</v>
      </c>
      <c r="B186" s="53" t="s">
        <v>762</v>
      </c>
      <c r="C186" s="40">
        <v>1</v>
      </c>
      <c r="D186" s="54">
        <v>355.32</v>
      </c>
      <c r="E186" s="40">
        <v>100</v>
      </c>
      <c r="F186" s="40">
        <f>C186*D186*E186</f>
        <v>35532</v>
      </c>
      <c r="G186" s="55">
        <v>0.7</v>
      </c>
      <c r="H186" s="42">
        <f t="shared" ref="H186:H191" si="16">F186*(1-G186)</f>
        <v>10659.600000000002</v>
      </c>
    </row>
    <row r="187" spans="1:8" ht="43.2" x14ac:dyDescent="0.3">
      <c r="A187" s="40">
        <v>2</v>
      </c>
      <c r="B187" s="53" t="s">
        <v>763</v>
      </c>
      <c r="C187" s="40">
        <v>1</v>
      </c>
      <c r="D187" s="54">
        <v>325.93</v>
      </c>
      <c r="E187" s="40">
        <v>100</v>
      </c>
      <c r="F187" s="40">
        <f>C187*D187*E187</f>
        <v>32593</v>
      </c>
      <c r="G187" s="55">
        <v>0.7</v>
      </c>
      <c r="H187" s="42">
        <f t="shared" si="16"/>
        <v>9777.9000000000015</v>
      </c>
    </row>
    <row r="188" spans="1:8" ht="57.6" x14ac:dyDescent="0.3">
      <c r="A188" s="40">
        <v>3</v>
      </c>
      <c r="B188" s="53" t="s">
        <v>764</v>
      </c>
      <c r="C188" s="40">
        <v>1</v>
      </c>
      <c r="D188" s="54">
        <v>767.08</v>
      </c>
      <c r="E188" s="40">
        <v>350</v>
      </c>
      <c r="F188" s="40">
        <f>C188*D188*E188</f>
        <v>268478</v>
      </c>
      <c r="G188" s="55">
        <v>0.7</v>
      </c>
      <c r="H188" s="42">
        <f t="shared" si="16"/>
        <v>80543.400000000009</v>
      </c>
    </row>
    <row r="189" spans="1:8" ht="57.6" x14ac:dyDescent="0.3">
      <c r="A189" s="40">
        <v>4</v>
      </c>
      <c r="B189" s="53" t="s">
        <v>765</v>
      </c>
      <c r="C189" s="40">
        <v>1</v>
      </c>
      <c r="D189" s="54">
        <v>176.68</v>
      </c>
      <c r="E189" s="40">
        <v>300</v>
      </c>
      <c r="F189" s="40">
        <f>C189*D189*E189</f>
        <v>53004</v>
      </c>
      <c r="G189" s="55">
        <v>0.7</v>
      </c>
      <c r="H189" s="42">
        <f t="shared" si="16"/>
        <v>15901.200000000003</v>
      </c>
    </row>
    <row r="190" spans="1:8" ht="43.2" x14ac:dyDescent="0.3">
      <c r="A190" s="40">
        <v>5</v>
      </c>
      <c r="B190" s="53" t="s">
        <v>766</v>
      </c>
      <c r="C190" s="40">
        <v>1</v>
      </c>
      <c r="D190" s="54">
        <v>12</v>
      </c>
      <c r="E190" s="40">
        <v>100</v>
      </c>
      <c r="F190" s="40">
        <f>C190*D190*E190</f>
        <v>1200</v>
      </c>
      <c r="G190" s="55">
        <v>0.6</v>
      </c>
      <c r="H190" s="42">
        <f t="shared" si="16"/>
        <v>480</v>
      </c>
    </row>
    <row r="191" spans="1:8" ht="28.8" x14ac:dyDescent="0.3">
      <c r="A191" s="40">
        <v>6</v>
      </c>
      <c r="B191" s="53" t="s">
        <v>1453</v>
      </c>
      <c r="C191" s="40">
        <v>1</v>
      </c>
      <c r="D191" s="54">
        <v>244.92</v>
      </c>
      <c r="E191" s="40">
        <v>45</v>
      </c>
      <c r="F191" s="40">
        <f>C191*D191*E191*0.5</f>
        <v>5510.7</v>
      </c>
      <c r="G191" s="55">
        <v>0.5</v>
      </c>
      <c r="H191" s="42">
        <f t="shared" si="16"/>
        <v>2755.35</v>
      </c>
    </row>
    <row r="192" spans="1:8" x14ac:dyDescent="0.3">
      <c r="A192" s="40"/>
      <c r="B192" s="57" t="s">
        <v>7</v>
      </c>
      <c r="C192" s="40"/>
      <c r="D192" s="54"/>
      <c r="E192" s="40"/>
      <c r="F192" s="40"/>
      <c r="G192" s="55"/>
      <c r="H192" s="58">
        <f>SUM(H186:H191)</f>
        <v>120117.45000000001</v>
      </c>
    </row>
    <row r="193" spans="1:8" x14ac:dyDescent="0.3">
      <c r="A193" s="40">
        <v>7</v>
      </c>
      <c r="B193" s="57" t="s">
        <v>8</v>
      </c>
      <c r="C193" s="40">
        <v>1</v>
      </c>
      <c r="D193" s="54">
        <v>14996</v>
      </c>
      <c r="E193" s="40">
        <v>8</v>
      </c>
      <c r="F193" s="40">
        <f>(10000*E193)+(4996*0.75*E193)</f>
        <v>109976</v>
      </c>
      <c r="G193" s="55">
        <v>0</v>
      </c>
      <c r="H193" s="58">
        <f>(1-G193)*F193</f>
        <v>109976</v>
      </c>
    </row>
    <row r="194" spans="1:8" x14ac:dyDescent="0.3">
      <c r="A194" s="51"/>
      <c r="B194" s="57" t="s">
        <v>9</v>
      </c>
      <c r="C194" s="39"/>
      <c r="D194" s="59"/>
      <c r="E194" s="39"/>
      <c r="F194" s="39"/>
      <c r="G194" s="39"/>
      <c r="H194" s="58">
        <f>H192+H193</f>
        <v>230093.45</v>
      </c>
    </row>
    <row r="195" spans="1:8" x14ac:dyDescent="0.3">
      <c r="A195" s="53"/>
      <c r="B195" s="57"/>
      <c r="C195" s="39"/>
      <c r="D195" s="59"/>
      <c r="E195" s="39"/>
      <c r="F195" s="39"/>
      <c r="G195" s="39"/>
      <c r="H195" s="58"/>
    </row>
    <row r="196" spans="1:8" ht="57.6" x14ac:dyDescent="0.3">
      <c r="A196" s="43"/>
      <c r="B196" s="72">
        <v>747</v>
      </c>
      <c r="C196" s="86" t="s">
        <v>1093</v>
      </c>
      <c r="D196" s="73"/>
      <c r="E196" s="44" t="s">
        <v>1094</v>
      </c>
      <c r="F196" s="60"/>
      <c r="G196" s="60"/>
      <c r="H196" s="48"/>
    </row>
    <row r="197" spans="1:8" x14ac:dyDescent="0.3">
      <c r="A197" s="40"/>
      <c r="B197" s="49" t="s">
        <v>10</v>
      </c>
      <c r="C197" s="49" t="s">
        <v>1</v>
      </c>
      <c r="D197" s="50" t="s">
        <v>2</v>
      </c>
      <c r="E197" s="51" t="s">
        <v>3</v>
      </c>
      <c r="F197" s="51" t="s">
        <v>4</v>
      </c>
      <c r="G197" s="51" t="s">
        <v>5</v>
      </c>
      <c r="H197" s="52" t="s">
        <v>6</v>
      </c>
    </row>
    <row r="198" spans="1:8" ht="129.6" x14ac:dyDescent="0.3">
      <c r="A198" s="53">
        <v>1</v>
      </c>
      <c r="B198" s="53" t="s">
        <v>1426</v>
      </c>
      <c r="C198" s="40">
        <v>1</v>
      </c>
      <c r="D198" s="91">
        <v>4019.72</v>
      </c>
      <c r="E198" s="40">
        <v>500</v>
      </c>
      <c r="F198" s="40">
        <f t="shared" ref="F198:F204" si="17">C198*D198*E198</f>
        <v>2009860</v>
      </c>
      <c r="G198" s="55">
        <v>0.5</v>
      </c>
      <c r="H198" s="42">
        <f t="shared" ref="H198:H204" si="18">F198*(1-G198)</f>
        <v>1004930</v>
      </c>
    </row>
    <row r="199" spans="1:8" ht="115.2" x14ac:dyDescent="0.3">
      <c r="A199" s="53">
        <v>2</v>
      </c>
      <c r="B199" s="53" t="s">
        <v>1694</v>
      </c>
      <c r="C199" s="40">
        <v>1</v>
      </c>
      <c r="D199" s="91">
        <v>592.5</v>
      </c>
      <c r="E199" s="40">
        <v>400</v>
      </c>
      <c r="F199" s="40">
        <f t="shared" si="17"/>
        <v>237000</v>
      </c>
      <c r="G199" s="55">
        <v>0.5</v>
      </c>
      <c r="H199" s="42">
        <f t="shared" si="18"/>
        <v>118500</v>
      </c>
    </row>
    <row r="200" spans="1:8" ht="144" x14ac:dyDescent="0.3">
      <c r="A200" s="53">
        <v>3</v>
      </c>
      <c r="B200" s="53" t="s">
        <v>1695</v>
      </c>
      <c r="C200" s="40">
        <v>1</v>
      </c>
      <c r="D200" s="91">
        <v>181.6</v>
      </c>
      <c r="E200" s="40">
        <v>450</v>
      </c>
      <c r="F200" s="40">
        <f t="shared" si="17"/>
        <v>81720</v>
      </c>
      <c r="G200" s="55">
        <v>0.5</v>
      </c>
      <c r="H200" s="42">
        <f t="shared" si="18"/>
        <v>40860</v>
      </c>
    </row>
    <row r="201" spans="1:8" ht="72" x14ac:dyDescent="0.3">
      <c r="A201" s="53">
        <v>4</v>
      </c>
      <c r="B201" s="53" t="s">
        <v>1380</v>
      </c>
      <c r="C201" s="40">
        <v>1</v>
      </c>
      <c r="D201" s="91">
        <v>16.12</v>
      </c>
      <c r="E201" s="40">
        <v>100</v>
      </c>
      <c r="F201" s="40">
        <f t="shared" si="17"/>
        <v>1612</v>
      </c>
      <c r="G201" s="55">
        <v>0.5</v>
      </c>
      <c r="H201" s="42">
        <f t="shared" si="18"/>
        <v>806</v>
      </c>
    </row>
    <row r="202" spans="1:8" ht="57.6" x14ac:dyDescent="0.3">
      <c r="A202" s="53">
        <v>5</v>
      </c>
      <c r="B202" s="53" t="s">
        <v>1312</v>
      </c>
      <c r="C202" s="40">
        <v>1</v>
      </c>
      <c r="D202" s="91">
        <v>53.1</v>
      </c>
      <c r="E202" s="40">
        <v>100</v>
      </c>
      <c r="F202" s="40">
        <v>150</v>
      </c>
      <c r="G202" s="55">
        <v>0.5</v>
      </c>
      <c r="H202" s="42">
        <f t="shared" si="18"/>
        <v>75</v>
      </c>
    </row>
    <row r="203" spans="1:8" ht="86.4" x14ac:dyDescent="0.3">
      <c r="A203" s="53">
        <v>6</v>
      </c>
      <c r="B203" s="53" t="s">
        <v>1546</v>
      </c>
      <c r="C203" s="40">
        <v>1</v>
      </c>
      <c r="D203" s="91">
        <v>68.8</v>
      </c>
      <c r="E203" s="40">
        <v>150</v>
      </c>
      <c r="F203" s="40">
        <f t="shared" si="17"/>
        <v>10320</v>
      </c>
      <c r="G203" s="55">
        <v>0.4</v>
      </c>
      <c r="H203" s="42">
        <f t="shared" si="18"/>
        <v>6192</v>
      </c>
    </row>
    <row r="204" spans="1:8" ht="28.8" x14ac:dyDescent="0.3">
      <c r="A204" s="53">
        <v>7</v>
      </c>
      <c r="B204" s="53" t="s">
        <v>1454</v>
      </c>
      <c r="C204" s="40">
        <v>1</v>
      </c>
      <c r="D204" s="91">
        <v>722.89</v>
      </c>
      <c r="E204" s="40">
        <v>45</v>
      </c>
      <c r="F204" s="40">
        <f t="shared" si="17"/>
        <v>32530.05</v>
      </c>
      <c r="G204" s="55">
        <v>0.4</v>
      </c>
      <c r="H204" s="42">
        <f t="shared" si="18"/>
        <v>19518.03</v>
      </c>
    </row>
    <row r="205" spans="1:8" x14ac:dyDescent="0.3">
      <c r="A205" s="53"/>
      <c r="B205" s="57" t="s">
        <v>7</v>
      </c>
      <c r="C205" s="40"/>
      <c r="D205" s="54"/>
      <c r="E205" s="40"/>
      <c r="F205" s="40"/>
      <c r="G205" s="55"/>
      <c r="H205" s="58">
        <f>SUM(H197:H204)</f>
        <v>1190881.03</v>
      </c>
    </row>
    <row r="206" spans="1:8" x14ac:dyDescent="0.3">
      <c r="A206" s="53">
        <v>8</v>
      </c>
      <c r="B206" s="57" t="s">
        <v>8</v>
      </c>
      <c r="C206" s="40">
        <v>1</v>
      </c>
      <c r="D206" s="54">
        <v>32661</v>
      </c>
      <c r="E206" s="40">
        <v>8</v>
      </c>
      <c r="F206" s="40">
        <f>(10000*E206)+(10000*0.75*E206)+(10000*E206*0.5)+(2661*0.25)</f>
        <v>180665.25</v>
      </c>
      <c r="G206" s="55">
        <v>0</v>
      </c>
      <c r="H206" s="58">
        <f>(1-G206)*F206</f>
        <v>180665.25</v>
      </c>
    </row>
    <row r="207" spans="1:8" x14ac:dyDescent="0.3">
      <c r="A207" s="53"/>
      <c r="B207" s="57" t="s">
        <v>9</v>
      </c>
      <c r="C207" s="39"/>
      <c r="D207" s="59"/>
      <c r="E207" s="39"/>
      <c r="F207" s="39"/>
      <c r="G207" s="39"/>
      <c r="H207" s="58">
        <f>H205+H206</f>
        <v>1371546.28</v>
      </c>
    </row>
    <row r="208" spans="1:8" x14ac:dyDescent="0.3">
      <c r="A208" s="43"/>
      <c r="B208" s="72">
        <v>749</v>
      </c>
      <c r="C208" s="44" t="s">
        <v>1095</v>
      </c>
      <c r="D208" s="73"/>
      <c r="E208" s="44" t="s">
        <v>1096</v>
      </c>
      <c r="F208" s="60"/>
      <c r="G208" s="60"/>
      <c r="H208" s="48"/>
    </row>
    <row r="209" spans="1:8" x14ac:dyDescent="0.3">
      <c r="A209" s="40"/>
      <c r="B209" s="49" t="s">
        <v>10</v>
      </c>
      <c r="C209" s="49" t="s">
        <v>1</v>
      </c>
      <c r="D209" s="50" t="s">
        <v>2</v>
      </c>
      <c r="E209" s="51" t="s">
        <v>3</v>
      </c>
      <c r="F209" s="51" t="s">
        <v>4</v>
      </c>
      <c r="G209" s="51" t="s">
        <v>5</v>
      </c>
      <c r="H209" s="52" t="s">
        <v>6</v>
      </c>
    </row>
    <row r="210" spans="1:8" ht="129.6" x14ac:dyDescent="0.3">
      <c r="A210" s="53">
        <v>1</v>
      </c>
      <c r="B210" s="53" t="s">
        <v>1647</v>
      </c>
      <c r="C210" s="40">
        <v>1</v>
      </c>
      <c r="D210" s="91">
        <v>127.4</v>
      </c>
      <c r="E210" s="40">
        <v>450</v>
      </c>
      <c r="F210" s="40">
        <f t="shared" ref="F210:F217" si="19">C210*D210*E210</f>
        <v>57330</v>
      </c>
      <c r="G210" s="55">
        <v>0.5</v>
      </c>
      <c r="H210" s="42">
        <f t="shared" ref="H210:H217" si="20">F210*(1-G210)</f>
        <v>28665</v>
      </c>
    </row>
    <row r="211" spans="1:8" ht="86.4" x14ac:dyDescent="0.3">
      <c r="A211" s="53">
        <v>2</v>
      </c>
      <c r="B211" s="53" t="s">
        <v>1696</v>
      </c>
      <c r="C211" s="40">
        <v>1</v>
      </c>
      <c r="D211" s="91">
        <v>23.8</v>
      </c>
      <c r="E211" s="40">
        <v>100</v>
      </c>
      <c r="F211" s="40">
        <f t="shared" si="19"/>
        <v>2380</v>
      </c>
      <c r="G211" s="55">
        <v>0.4</v>
      </c>
      <c r="H211" s="42">
        <f t="shared" si="20"/>
        <v>1428</v>
      </c>
    </row>
    <row r="212" spans="1:8" ht="100.8" x14ac:dyDescent="0.3">
      <c r="A212" s="53">
        <v>3</v>
      </c>
      <c r="B212" s="53" t="s">
        <v>1506</v>
      </c>
      <c r="C212" s="40">
        <v>1</v>
      </c>
      <c r="D212" s="91">
        <v>774.9</v>
      </c>
      <c r="E212" s="40">
        <v>500</v>
      </c>
      <c r="F212" s="40">
        <f t="shared" si="19"/>
        <v>387450</v>
      </c>
      <c r="G212" s="55">
        <v>0.4</v>
      </c>
      <c r="H212" s="42">
        <f t="shared" si="20"/>
        <v>232470</v>
      </c>
    </row>
    <row r="213" spans="1:8" ht="86.4" x14ac:dyDescent="0.3">
      <c r="A213" s="53">
        <v>4</v>
      </c>
      <c r="B213" s="53" t="s">
        <v>1697</v>
      </c>
      <c r="C213" s="40">
        <v>1</v>
      </c>
      <c r="D213" s="91">
        <v>121.44</v>
      </c>
      <c r="E213" s="40">
        <v>300</v>
      </c>
      <c r="F213" s="40">
        <f t="shared" si="19"/>
        <v>36432</v>
      </c>
      <c r="G213" s="55">
        <v>0.5</v>
      </c>
      <c r="H213" s="42">
        <f t="shared" si="20"/>
        <v>18216</v>
      </c>
    </row>
    <row r="214" spans="1:8" ht="100.8" x14ac:dyDescent="0.3">
      <c r="A214" s="53">
        <v>5</v>
      </c>
      <c r="B214" s="53" t="s">
        <v>1807</v>
      </c>
      <c r="C214" s="40">
        <v>1</v>
      </c>
      <c r="D214" s="91">
        <v>111.28</v>
      </c>
      <c r="E214" s="40">
        <v>200</v>
      </c>
      <c r="F214" s="40">
        <f t="shared" si="19"/>
        <v>22256</v>
      </c>
      <c r="G214" s="55">
        <v>0.5</v>
      </c>
      <c r="H214" s="42">
        <f t="shared" si="20"/>
        <v>11128</v>
      </c>
    </row>
    <row r="215" spans="1:8" ht="28.8" x14ac:dyDescent="0.3">
      <c r="A215" s="53">
        <v>6</v>
      </c>
      <c r="B215" s="53" t="s">
        <v>1097</v>
      </c>
      <c r="C215" s="40">
        <v>3</v>
      </c>
      <c r="D215" s="91">
        <v>157092</v>
      </c>
      <c r="E215" s="40">
        <v>0.5</v>
      </c>
      <c r="F215" s="40">
        <f t="shared" si="19"/>
        <v>235638</v>
      </c>
      <c r="G215" s="55">
        <v>0.5</v>
      </c>
      <c r="H215" s="42">
        <f t="shared" si="20"/>
        <v>117819</v>
      </c>
    </row>
    <row r="216" spans="1:8" ht="28.8" x14ac:dyDescent="0.3">
      <c r="A216" s="53">
        <v>7</v>
      </c>
      <c r="B216" s="53" t="s">
        <v>1098</v>
      </c>
      <c r="C216" s="40">
        <v>4</v>
      </c>
      <c r="D216" s="91">
        <v>78710</v>
      </c>
      <c r="E216" s="40">
        <v>0.65</v>
      </c>
      <c r="F216" s="40">
        <f t="shared" si="19"/>
        <v>204646</v>
      </c>
      <c r="G216" s="55">
        <v>0.5</v>
      </c>
      <c r="H216" s="42">
        <f t="shared" si="20"/>
        <v>102323</v>
      </c>
    </row>
    <row r="217" spans="1:8" ht="28.8" x14ac:dyDescent="0.3">
      <c r="A217" s="53">
        <v>8</v>
      </c>
      <c r="B217" s="53" t="s">
        <v>1455</v>
      </c>
      <c r="C217" s="40">
        <v>1</v>
      </c>
      <c r="D217" s="91">
        <v>472.4</v>
      </c>
      <c r="E217" s="40">
        <v>45</v>
      </c>
      <c r="F217" s="40">
        <f t="shared" si="19"/>
        <v>21258</v>
      </c>
      <c r="G217" s="55">
        <v>0.5</v>
      </c>
      <c r="H217" s="42">
        <f t="shared" si="20"/>
        <v>10629</v>
      </c>
    </row>
    <row r="218" spans="1:8" x14ac:dyDescent="0.3">
      <c r="A218" s="53"/>
      <c r="B218" s="57" t="s">
        <v>7</v>
      </c>
      <c r="C218" s="40"/>
      <c r="D218" s="54"/>
      <c r="E218" s="40"/>
      <c r="F218" s="40"/>
      <c r="G218" s="55"/>
      <c r="H218" s="58">
        <f>SUM(H210:H217)</f>
        <v>522678</v>
      </c>
    </row>
    <row r="219" spans="1:8" x14ac:dyDescent="0.3">
      <c r="A219" s="53">
        <v>9</v>
      </c>
      <c r="B219" s="57" t="s">
        <v>8</v>
      </c>
      <c r="C219" s="40">
        <v>1</v>
      </c>
      <c r="D219" s="54">
        <v>13945</v>
      </c>
      <c r="E219" s="40">
        <v>8</v>
      </c>
      <c r="F219" s="40">
        <f>(10000*E219)+(3945*0.75*E219)</f>
        <v>103670</v>
      </c>
      <c r="G219" s="55">
        <v>0</v>
      </c>
      <c r="H219" s="58">
        <f>(1-G219)*F219</f>
        <v>103670</v>
      </c>
    </row>
    <row r="220" spans="1:8" x14ac:dyDescent="0.3">
      <c r="A220" s="53"/>
      <c r="B220" s="57" t="s">
        <v>9</v>
      </c>
      <c r="C220" s="39"/>
      <c r="D220" s="59"/>
      <c r="E220" s="39"/>
      <c r="F220" s="39"/>
      <c r="G220" s="39"/>
      <c r="H220" s="58">
        <f>H218+H219</f>
        <v>626348</v>
      </c>
    </row>
    <row r="221" spans="1:8" x14ac:dyDescent="0.3">
      <c r="A221" s="43"/>
      <c r="B221" s="72">
        <v>750</v>
      </c>
      <c r="C221" s="44" t="s">
        <v>1099</v>
      </c>
      <c r="D221" s="73"/>
      <c r="E221" s="44" t="s">
        <v>1100</v>
      </c>
      <c r="F221" s="60"/>
      <c r="G221" s="60"/>
      <c r="H221" s="48"/>
    </row>
    <row r="222" spans="1:8" x14ac:dyDescent="0.3">
      <c r="A222" s="40"/>
      <c r="B222" s="49" t="s">
        <v>10</v>
      </c>
      <c r="C222" s="49" t="s">
        <v>1</v>
      </c>
      <c r="D222" s="50" t="s">
        <v>2</v>
      </c>
      <c r="E222" s="51" t="s">
        <v>3</v>
      </c>
      <c r="F222" s="51" t="s">
        <v>4</v>
      </c>
      <c r="G222" s="51" t="s">
        <v>5</v>
      </c>
      <c r="H222" s="52" t="s">
        <v>6</v>
      </c>
    </row>
    <row r="223" spans="1:8" ht="158.4" x14ac:dyDescent="0.3">
      <c r="A223" s="53">
        <v>1</v>
      </c>
      <c r="B223" s="53" t="s">
        <v>1698</v>
      </c>
      <c r="C223" s="40">
        <v>1</v>
      </c>
      <c r="D223" s="91">
        <v>1204.56</v>
      </c>
      <c r="E223" s="40">
        <v>500</v>
      </c>
      <c r="F223" s="40">
        <f t="shared" ref="F223:F229" si="21">C223*D223*E223</f>
        <v>602280</v>
      </c>
      <c r="G223" s="55">
        <v>0.3</v>
      </c>
      <c r="H223" s="42">
        <f t="shared" ref="H223:H229" si="22">F223*(1-G223)</f>
        <v>421596</v>
      </c>
    </row>
    <row r="224" spans="1:8" ht="86.4" x14ac:dyDescent="0.3">
      <c r="A224" s="53">
        <v>2</v>
      </c>
      <c r="B224" s="53" t="s">
        <v>1699</v>
      </c>
      <c r="C224" s="40">
        <v>1</v>
      </c>
      <c r="D224" s="91">
        <v>160</v>
      </c>
      <c r="E224" s="40">
        <v>100</v>
      </c>
      <c r="F224" s="40">
        <f t="shared" si="21"/>
        <v>16000</v>
      </c>
      <c r="G224" s="55">
        <v>0.6</v>
      </c>
      <c r="H224" s="42">
        <f t="shared" si="22"/>
        <v>6400</v>
      </c>
    </row>
    <row r="225" spans="1:9" ht="57.6" x14ac:dyDescent="0.3">
      <c r="A225" s="53">
        <v>3</v>
      </c>
      <c r="B225" s="53" t="s">
        <v>1344</v>
      </c>
      <c r="C225" s="40">
        <v>1</v>
      </c>
      <c r="D225" s="91">
        <v>32</v>
      </c>
      <c r="E225" s="40">
        <v>80</v>
      </c>
      <c r="F225" s="40">
        <f t="shared" si="21"/>
        <v>2560</v>
      </c>
      <c r="G225" s="55">
        <v>0.5</v>
      </c>
      <c r="H225" s="42">
        <f t="shared" si="22"/>
        <v>1280</v>
      </c>
    </row>
    <row r="226" spans="1:9" ht="57.6" x14ac:dyDescent="0.3">
      <c r="A226" s="53">
        <v>4</v>
      </c>
      <c r="B226" s="53" t="s">
        <v>1344</v>
      </c>
      <c r="C226" s="40">
        <v>1</v>
      </c>
      <c r="D226" s="91">
        <v>30.4</v>
      </c>
      <c r="E226" s="40">
        <v>80</v>
      </c>
      <c r="F226" s="40">
        <f t="shared" si="21"/>
        <v>2432</v>
      </c>
      <c r="G226" s="55">
        <v>0.5</v>
      </c>
      <c r="H226" s="42">
        <f t="shared" si="22"/>
        <v>1216</v>
      </c>
    </row>
    <row r="227" spans="1:9" ht="57.6" x14ac:dyDescent="0.3">
      <c r="A227" s="53">
        <v>5</v>
      </c>
      <c r="B227" s="53" t="s">
        <v>1344</v>
      </c>
      <c r="C227" s="40">
        <v>1</v>
      </c>
      <c r="D227" s="91">
        <v>88.8</v>
      </c>
      <c r="E227" s="40">
        <v>80</v>
      </c>
      <c r="F227" s="40">
        <f t="shared" si="21"/>
        <v>7104</v>
      </c>
      <c r="G227" s="55">
        <v>0.5</v>
      </c>
      <c r="H227" s="42">
        <f t="shared" si="22"/>
        <v>3552</v>
      </c>
    </row>
    <row r="228" spans="1:9" ht="28.8" x14ac:dyDescent="0.3">
      <c r="A228" s="53">
        <v>6</v>
      </c>
      <c r="B228" s="53" t="s">
        <v>1456</v>
      </c>
      <c r="C228" s="40">
        <v>1</v>
      </c>
      <c r="D228" s="91">
        <f>D229*3</f>
        <v>314.28000000000003</v>
      </c>
      <c r="E228" s="40">
        <v>45</v>
      </c>
      <c r="F228" s="40">
        <f t="shared" si="21"/>
        <v>14142.600000000002</v>
      </c>
      <c r="G228" s="55">
        <v>0.5</v>
      </c>
      <c r="H228" s="42">
        <f t="shared" si="22"/>
        <v>7071.3000000000011</v>
      </c>
    </row>
    <row r="229" spans="1:9" ht="28.8" x14ac:dyDescent="0.3">
      <c r="A229" s="53"/>
      <c r="B229" s="53" t="s">
        <v>1381</v>
      </c>
      <c r="C229" s="40">
        <v>1</v>
      </c>
      <c r="D229" s="91">
        <v>104.76</v>
      </c>
      <c r="E229" s="40">
        <v>45</v>
      </c>
      <c r="F229" s="40">
        <f t="shared" si="21"/>
        <v>4714.2</v>
      </c>
      <c r="G229" s="55">
        <v>0.5</v>
      </c>
      <c r="H229" s="42">
        <f t="shared" si="22"/>
        <v>2357.1</v>
      </c>
    </row>
    <row r="230" spans="1:9" x14ac:dyDescent="0.3">
      <c r="A230" s="53"/>
      <c r="B230" s="57" t="s">
        <v>7</v>
      </c>
      <c r="C230" s="40"/>
      <c r="D230" s="54"/>
      <c r="E230" s="40"/>
      <c r="F230" s="40"/>
      <c r="G230" s="55"/>
      <c r="H230" s="58">
        <f>SUM(H223:H229)</f>
        <v>443472.39999999997</v>
      </c>
    </row>
    <row r="231" spans="1:9" x14ac:dyDescent="0.3">
      <c r="A231" s="53">
        <v>7</v>
      </c>
      <c r="B231" s="57" t="s">
        <v>8</v>
      </c>
      <c r="C231" s="40">
        <v>1</v>
      </c>
      <c r="D231" s="54">
        <v>10975</v>
      </c>
      <c r="E231" s="40">
        <v>8</v>
      </c>
      <c r="F231" s="40">
        <f>(10000*E231)+(975*0.75*E231)</f>
        <v>85850</v>
      </c>
      <c r="G231" s="55">
        <v>0</v>
      </c>
      <c r="H231" s="58">
        <f>(1-G231)*F231</f>
        <v>85850</v>
      </c>
    </row>
    <row r="232" spans="1:9" x14ac:dyDescent="0.3">
      <c r="A232" s="53"/>
      <c r="B232" s="57" t="s">
        <v>9</v>
      </c>
      <c r="C232" s="39"/>
      <c r="D232" s="59"/>
      <c r="E232" s="39"/>
      <c r="F232" s="39"/>
      <c r="G232" s="39"/>
      <c r="H232" s="58">
        <f>H230+H231</f>
        <v>529322.39999999991</v>
      </c>
      <c r="I232" s="38" t="s">
        <v>50</v>
      </c>
    </row>
    <row r="233" spans="1:9" x14ac:dyDescent="0.3">
      <c r="A233" s="51"/>
      <c r="B233" s="70"/>
      <c r="C233" s="39"/>
      <c r="D233" s="59"/>
      <c r="E233" s="39"/>
      <c r="F233" s="71"/>
      <c r="G233" s="39"/>
      <c r="H233" s="58"/>
    </row>
    <row r="234" spans="1:9" x14ac:dyDescent="0.3">
      <c r="A234" s="94"/>
      <c r="B234" s="95">
        <v>878</v>
      </c>
      <c r="C234" s="47" t="s">
        <v>306</v>
      </c>
      <c r="D234" s="96"/>
      <c r="E234" s="47" t="s">
        <v>307</v>
      </c>
      <c r="F234" s="97"/>
      <c r="G234" s="47"/>
      <c r="H234" s="98"/>
    </row>
    <row r="235" spans="1:9" s="100" customFormat="1" x14ac:dyDescent="0.3">
      <c r="A235" s="51"/>
      <c r="B235" s="64" t="s">
        <v>308</v>
      </c>
      <c r="C235" s="49" t="s">
        <v>1</v>
      </c>
      <c r="D235" s="50" t="s">
        <v>1382</v>
      </c>
      <c r="E235" s="99" t="s">
        <v>309</v>
      </c>
      <c r="F235" s="65" t="s">
        <v>4</v>
      </c>
      <c r="G235" s="51" t="s">
        <v>5</v>
      </c>
      <c r="H235" s="52" t="s">
        <v>310</v>
      </c>
    </row>
    <row r="236" spans="1:9" ht="72" x14ac:dyDescent="0.3">
      <c r="A236" s="101">
        <v>1</v>
      </c>
      <c r="B236" s="102" t="s">
        <v>311</v>
      </c>
      <c r="C236" s="40">
        <v>1</v>
      </c>
      <c r="D236" s="41">
        <v>252</v>
      </c>
      <c r="E236" s="40">
        <v>350</v>
      </c>
      <c r="F236" s="68">
        <f t="shared" ref="F236:F242" si="23">D236*E236</f>
        <v>88200</v>
      </c>
      <c r="G236" s="55">
        <v>0.5</v>
      </c>
      <c r="H236" s="42">
        <f t="shared" ref="H236:H242" si="24">F236*(1-G236)</f>
        <v>44100</v>
      </c>
    </row>
    <row r="237" spans="1:9" ht="43.2" x14ac:dyDescent="0.3">
      <c r="A237" s="40">
        <v>2</v>
      </c>
      <c r="B237" s="102" t="s">
        <v>312</v>
      </c>
      <c r="C237" s="40">
        <v>1</v>
      </c>
      <c r="D237" s="41">
        <v>394</v>
      </c>
      <c r="E237" s="40">
        <v>50</v>
      </c>
      <c r="F237" s="68">
        <f t="shared" si="23"/>
        <v>19700</v>
      </c>
      <c r="G237" s="55">
        <v>0.5</v>
      </c>
      <c r="H237" s="42">
        <f t="shared" si="24"/>
        <v>9850</v>
      </c>
    </row>
    <row r="238" spans="1:9" ht="43.2" x14ac:dyDescent="0.3">
      <c r="A238" s="40">
        <v>3</v>
      </c>
      <c r="B238" s="102" t="s">
        <v>313</v>
      </c>
      <c r="C238" s="40">
        <v>1</v>
      </c>
      <c r="D238" s="41">
        <v>187</v>
      </c>
      <c r="E238" s="40">
        <v>80</v>
      </c>
      <c r="F238" s="68">
        <f t="shared" si="23"/>
        <v>14960</v>
      </c>
      <c r="G238" s="55">
        <v>0.5</v>
      </c>
      <c r="H238" s="42">
        <f t="shared" si="24"/>
        <v>7480</v>
      </c>
    </row>
    <row r="239" spans="1:9" ht="72" x14ac:dyDescent="0.3">
      <c r="A239" s="40">
        <v>4</v>
      </c>
      <c r="B239" s="102" t="s">
        <v>314</v>
      </c>
      <c r="C239" s="40">
        <v>1</v>
      </c>
      <c r="D239" s="41">
        <v>50</v>
      </c>
      <c r="E239" s="40">
        <v>100</v>
      </c>
      <c r="F239" s="68">
        <f t="shared" si="23"/>
        <v>5000</v>
      </c>
      <c r="G239" s="55">
        <v>0.5</v>
      </c>
      <c r="H239" s="42">
        <f t="shared" si="24"/>
        <v>2500</v>
      </c>
    </row>
    <row r="240" spans="1:9" ht="72" x14ac:dyDescent="0.3">
      <c r="A240" s="40">
        <v>5</v>
      </c>
      <c r="B240" s="102" t="s">
        <v>315</v>
      </c>
      <c r="C240" s="40">
        <v>1</v>
      </c>
      <c r="D240" s="41">
        <v>63</v>
      </c>
      <c r="E240" s="40">
        <v>250</v>
      </c>
      <c r="F240" s="68">
        <f t="shared" si="23"/>
        <v>15750</v>
      </c>
      <c r="G240" s="55">
        <v>0.5</v>
      </c>
      <c r="H240" s="42">
        <f t="shared" si="24"/>
        <v>7875</v>
      </c>
    </row>
    <row r="241" spans="1:8" ht="72" x14ac:dyDescent="0.3">
      <c r="A241" s="40">
        <v>6</v>
      </c>
      <c r="B241" s="102" t="s">
        <v>316</v>
      </c>
      <c r="C241" s="40">
        <v>1</v>
      </c>
      <c r="D241" s="41">
        <v>35</v>
      </c>
      <c r="E241" s="40">
        <v>250</v>
      </c>
      <c r="F241" s="68">
        <f t="shared" si="23"/>
        <v>8750</v>
      </c>
      <c r="G241" s="55">
        <v>0.5</v>
      </c>
      <c r="H241" s="42">
        <f t="shared" si="24"/>
        <v>4375</v>
      </c>
    </row>
    <row r="242" spans="1:8" x14ac:dyDescent="0.3">
      <c r="A242" s="40">
        <v>7</v>
      </c>
      <c r="B242" s="102" t="s">
        <v>317</v>
      </c>
      <c r="C242" s="40">
        <v>1</v>
      </c>
      <c r="D242" s="41">
        <f>114*4</f>
        <v>456</v>
      </c>
      <c r="E242" s="40">
        <v>22</v>
      </c>
      <c r="F242" s="68">
        <f t="shared" si="23"/>
        <v>10032</v>
      </c>
      <c r="G242" s="55">
        <v>0.5</v>
      </c>
      <c r="H242" s="42">
        <f t="shared" si="24"/>
        <v>5016</v>
      </c>
    </row>
    <row r="243" spans="1:8" x14ac:dyDescent="0.3">
      <c r="A243" s="40"/>
      <c r="B243" s="103" t="s">
        <v>318</v>
      </c>
      <c r="C243" s="40"/>
      <c r="D243" s="41"/>
      <c r="E243" s="40"/>
      <c r="F243" s="68"/>
      <c r="G243" s="55"/>
      <c r="H243" s="58">
        <f>SUM(H236:H242)</f>
        <v>81196</v>
      </c>
    </row>
    <row r="244" spans="1:8" x14ac:dyDescent="0.3">
      <c r="A244" s="40">
        <v>8</v>
      </c>
      <c r="B244" s="104" t="s">
        <v>8</v>
      </c>
      <c r="C244" s="40">
        <v>1</v>
      </c>
      <c r="D244" s="41">
        <v>12978</v>
      </c>
      <c r="E244" s="40">
        <v>8</v>
      </c>
      <c r="F244" s="68">
        <f>(10000*E244)+(2978*E244*0.75)</f>
        <v>97868</v>
      </c>
      <c r="G244" s="55">
        <v>0</v>
      </c>
      <c r="H244" s="58">
        <f>F244*(1-G244)</f>
        <v>97868</v>
      </c>
    </row>
    <row r="245" spans="1:8" x14ac:dyDescent="0.3">
      <c r="A245" s="40"/>
      <c r="B245" s="104" t="s">
        <v>9</v>
      </c>
      <c r="C245" s="39"/>
      <c r="D245" s="105"/>
      <c r="E245" s="39"/>
      <c r="F245" s="71"/>
      <c r="G245" s="39"/>
      <c r="H245" s="106">
        <f>SUM(H243:H244)</f>
        <v>179064</v>
      </c>
    </row>
    <row r="246" spans="1:8" x14ac:dyDescent="0.3">
      <c r="A246" s="39"/>
      <c r="B246" s="40"/>
      <c r="C246" s="40"/>
      <c r="D246" s="41"/>
      <c r="E246" s="40"/>
      <c r="F246" s="40"/>
      <c r="G246" s="40"/>
      <c r="H246" s="42"/>
    </row>
    <row r="247" spans="1:8" x14ac:dyDescent="0.3">
      <c r="A247" s="44"/>
      <c r="B247" s="86">
        <v>879</v>
      </c>
      <c r="C247" s="44" t="s">
        <v>35</v>
      </c>
      <c r="D247" s="73"/>
      <c r="E247" s="46" t="s">
        <v>36</v>
      </c>
      <c r="F247" s="47"/>
      <c r="G247" s="47"/>
      <c r="H247" s="98"/>
    </row>
    <row r="248" spans="1:8" x14ac:dyDescent="0.3">
      <c r="A248" s="39"/>
      <c r="B248" s="107" t="s">
        <v>0</v>
      </c>
      <c r="C248" s="107" t="s">
        <v>1</v>
      </c>
      <c r="D248" s="108" t="s">
        <v>2</v>
      </c>
      <c r="E248" s="109" t="s">
        <v>3</v>
      </c>
      <c r="F248" s="109" t="s">
        <v>4</v>
      </c>
      <c r="G248" s="109" t="s">
        <v>5</v>
      </c>
      <c r="H248" s="106" t="s">
        <v>6</v>
      </c>
    </row>
    <row r="249" spans="1:8" ht="72" x14ac:dyDescent="0.3">
      <c r="A249" s="40">
        <v>1</v>
      </c>
      <c r="B249" s="110" t="s">
        <v>1547</v>
      </c>
      <c r="C249" s="40">
        <v>1</v>
      </c>
      <c r="D249" s="54">
        <v>1159.26</v>
      </c>
      <c r="E249" s="40">
        <v>500</v>
      </c>
      <c r="F249" s="40">
        <f t="shared" ref="F249:F259" si="25">C249*D249*E249</f>
        <v>579630</v>
      </c>
      <c r="G249" s="55">
        <v>0.4</v>
      </c>
      <c r="H249" s="42">
        <f t="shared" ref="H249:H254" si="26">F249*(1-G249)</f>
        <v>347778</v>
      </c>
    </row>
    <row r="250" spans="1:8" ht="72" x14ac:dyDescent="0.3">
      <c r="A250" s="40">
        <v>2</v>
      </c>
      <c r="B250" s="110" t="s">
        <v>1700</v>
      </c>
      <c r="C250" s="40">
        <v>1</v>
      </c>
      <c r="D250" s="54">
        <v>331.31</v>
      </c>
      <c r="E250" s="40">
        <v>300</v>
      </c>
      <c r="F250" s="40">
        <f t="shared" si="25"/>
        <v>99393</v>
      </c>
      <c r="G250" s="55">
        <v>0.4</v>
      </c>
      <c r="H250" s="42">
        <f t="shared" si="26"/>
        <v>59635.799999999996</v>
      </c>
    </row>
    <row r="251" spans="1:8" ht="72" x14ac:dyDescent="0.3">
      <c r="A251" s="40">
        <v>3</v>
      </c>
      <c r="B251" s="110" t="s">
        <v>1701</v>
      </c>
      <c r="C251" s="40">
        <v>1</v>
      </c>
      <c r="D251" s="54">
        <v>870</v>
      </c>
      <c r="E251" s="40">
        <v>300</v>
      </c>
      <c r="F251" s="40">
        <f t="shared" si="25"/>
        <v>261000</v>
      </c>
      <c r="G251" s="55">
        <v>0.4</v>
      </c>
      <c r="H251" s="42">
        <f t="shared" si="26"/>
        <v>156600</v>
      </c>
    </row>
    <row r="252" spans="1:8" ht="86.4" x14ac:dyDescent="0.3">
      <c r="A252" s="40">
        <v>4</v>
      </c>
      <c r="B252" s="110" t="s">
        <v>1383</v>
      </c>
      <c r="C252" s="40">
        <v>1</v>
      </c>
      <c r="D252" s="54">
        <v>529</v>
      </c>
      <c r="E252" s="40">
        <v>400</v>
      </c>
      <c r="F252" s="40">
        <f t="shared" si="25"/>
        <v>211600</v>
      </c>
      <c r="G252" s="55">
        <v>0.5</v>
      </c>
      <c r="H252" s="42">
        <f t="shared" si="26"/>
        <v>105800</v>
      </c>
    </row>
    <row r="253" spans="1:8" ht="72" x14ac:dyDescent="0.3">
      <c r="A253" s="40">
        <v>5</v>
      </c>
      <c r="B253" s="110" t="s">
        <v>1548</v>
      </c>
      <c r="C253" s="40">
        <v>1</v>
      </c>
      <c r="D253" s="54">
        <v>2483.6</v>
      </c>
      <c r="E253" s="40">
        <v>500</v>
      </c>
      <c r="F253" s="40">
        <f t="shared" si="25"/>
        <v>1241800</v>
      </c>
      <c r="G253" s="55">
        <v>0.4</v>
      </c>
      <c r="H253" s="42">
        <f t="shared" si="26"/>
        <v>745080</v>
      </c>
    </row>
    <row r="254" spans="1:8" ht="72" x14ac:dyDescent="0.3">
      <c r="A254" s="40">
        <v>6</v>
      </c>
      <c r="B254" s="110" t="s">
        <v>1702</v>
      </c>
      <c r="C254" s="40">
        <v>1</v>
      </c>
      <c r="D254" s="54">
        <f>(20*22.4)+(15.8*5.3)+(7.3*5)</f>
        <v>568.24</v>
      </c>
      <c r="E254" s="40">
        <v>450</v>
      </c>
      <c r="F254" s="40">
        <f t="shared" si="25"/>
        <v>255708</v>
      </c>
      <c r="G254" s="55">
        <v>0.4</v>
      </c>
      <c r="H254" s="42">
        <f t="shared" si="26"/>
        <v>153424.79999999999</v>
      </c>
    </row>
    <row r="255" spans="1:8" ht="57.6" x14ac:dyDescent="0.3">
      <c r="A255" s="40">
        <v>7</v>
      </c>
      <c r="B255" s="110" t="s">
        <v>1384</v>
      </c>
      <c r="C255" s="40">
        <v>1</v>
      </c>
      <c r="D255" s="41">
        <v>28</v>
      </c>
      <c r="E255" s="40">
        <v>100</v>
      </c>
      <c r="F255" s="40">
        <f t="shared" si="25"/>
        <v>2800</v>
      </c>
      <c r="G255" s="55">
        <v>0.65</v>
      </c>
      <c r="H255" s="42">
        <f>(1-G255)*F255</f>
        <v>979.99999999999989</v>
      </c>
    </row>
    <row r="256" spans="1:8" ht="57.6" x14ac:dyDescent="0.3">
      <c r="A256" s="40">
        <v>8</v>
      </c>
      <c r="B256" s="110" t="s">
        <v>1385</v>
      </c>
      <c r="C256" s="40">
        <v>1</v>
      </c>
      <c r="D256" s="41">
        <v>102.9</v>
      </c>
      <c r="E256" s="40">
        <v>200</v>
      </c>
      <c r="F256" s="40">
        <f t="shared" si="25"/>
        <v>20580</v>
      </c>
      <c r="G256" s="55">
        <v>0.65</v>
      </c>
      <c r="H256" s="42">
        <f>(1-G256)*F256</f>
        <v>7202.9999999999991</v>
      </c>
    </row>
    <row r="257" spans="1:10" ht="57.6" x14ac:dyDescent="0.3">
      <c r="A257" s="40">
        <v>9</v>
      </c>
      <c r="B257" s="110" t="s">
        <v>1386</v>
      </c>
      <c r="C257" s="40">
        <v>1</v>
      </c>
      <c r="D257" s="41">
        <v>3.25</v>
      </c>
      <c r="E257" s="40">
        <v>150</v>
      </c>
      <c r="F257" s="40">
        <f t="shared" si="25"/>
        <v>487.5</v>
      </c>
      <c r="G257" s="55">
        <v>0.65</v>
      </c>
      <c r="H257" s="42">
        <f>(1-G257)*F257</f>
        <v>170.625</v>
      </c>
    </row>
    <row r="258" spans="1:10" ht="86.4" x14ac:dyDescent="0.3">
      <c r="A258" s="40">
        <v>10</v>
      </c>
      <c r="B258" s="110" t="s">
        <v>1703</v>
      </c>
      <c r="C258" s="40">
        <v>1</v>
      </c>
      <c r="D258" s="54">
        <f>4.5*7.3</f>
        <v>32.85</v>
      </c>
      <c r="E258" s="40">
        <v>150</v>
      </c>
      <c r="F258" s="40">
        <f t="shared" si="25"/>
        <v>4927.5</v>
      </c>
      <c r="G258" s="55">
        <v>0.4</v>
      </c>
      <c r="H258" s="42">
        <f>F258*(1-G258)</f>
        <v>2956.5</v>
      </c>
    </row>
    <row r="259" spans="1:10" x14ac:dyDescent="0.3">
      <c r="A259" s="53">
        <v>11</v>
      </c>
      <c r="B259" s="110" t="s">
        <v>16</v>
      </c>
      <c r="C259" s="40">
        <v>1</v>
      </c>
      <c r="D259" s="54">
        <v>455.68</v>
      </c>
      <c r="E259" s="40">
        <v>45</v>
      </c>
      <c r="F259" s="40">
        <f t="shared" si="25"/>
        <v>20505.599999999999</v>
      </c>
      <c r="G259" s="74">
        <v>0.5</v>
      </c>
      <c r="H259" s="42">
        <f>F259*(1-G259)</f>
        <v>10252.799999999999</v>
      </c>
    </row>
    <row r="260" spans="1:10" x14ac:dyDescent="0.3">
      <c r="A260" s="40"/>
      <c r="B260" s="57" t="s">
        <v>7</v>
      </c>
      <c r="C260" s="40"/>
      <c r="D260" s="54"/>
      <c r="E260" s="40"/>
      <c r="F260" s="40"/>
      <c r="G260" s="55"/>
      <c r="H260" s="58">
        <f>SUM(H249:H259)</f>
        <v>1589881.5250000001</v>
      </c>
    </row>
    <row r="261" spans="1:10" x14ac:dyDescent="0.3">
      <c r="A261" s="40">
        <v>12</v>
      </c>
      <c r="B261" s="57" t="s">
        <v>8</v>
      </c>
      <c r="C261" s="40">
        <v>1</v>
      </c>
      <c r="D261" s="54">
        <v>12978</v>
      </c>
      <c r="E261" s="40">
        <v>8</v>
      </c>
      <c r="F261" s="40">
        <f>10000*E261+2978*0.75*E261</f>
        <v>97868</v>
      </c>
      <c r="G261" s="55">
        <v>0</v>
      </c>
      <c r="H261" s="58">
        <f>(1-G261)*F261</f>
        <v>97868</v>
      </c>
    </row>
    <row r="262" spans="1:10" x14ac:dyDescent="0.3">
      <c r="A262" s="51"/>
      <c r="B262" s="57" t="s">
        <v>9</v>
      </c>
      <c r="C262" s="39"/>
      <c r="D262" s="59"/>
      <c r="E262" s="39"/>
      <c r="F262" s="39"/>
      <c r="G262" s="39"/>
      <c r="H262" s="58">
        <f>H260+H261</f>
        <v>1687749.5250000001</v>
      </c>
    </row>
    <row r="263" spans="1:10" x14ac:dyDescent="0.3">
      <c r="A263" s="51"/>
      <c r="B263" s="57"/>
      <c r="C263" s="39"/>
      <c r="D263" s="59"/>
      <c r="E263" s="39"/>
      <c r="F263" s="39"/>
      <c r="G263" s="39"/>
      <c r="H263" s="58"/>
    </row>
    <row r="264" spans="1:10" ht="28.8" x14ac:dyDescent="0.3">
      <c r="A264" s="47"/>
      <c r="B264" s="95" t="s">
        <v>319</v>
      </c>
      <c r="C264" s="47" t="s">
        <v>1918</v>
      </c>
      <c r="D264" s="96"/>
      <c r="E264" s="79" t="s">
        <v>320</v>
      </c>
      <c r="F264" s="97"/>
      <c r="G264" s="47"/>
      <c r="H264" s="98"/>
    </row>
    <row r="265" spans="1:10" x14ac:dyDescent="0.3">
      <c r="A265" s="39"/>
      <c r="B265" s="107" t="s">
        <v>0</v>
      </c>
      <c r="C265" s="107" t="s">
        <v>1</v>
      </c>
      <c r="D265" s="108" t="s">
        <v>2</v>
      </c>
      <c r="E265" s="109" t="s">
        <v>3</v>
      </c>
      <c r="F265" s="109" t="s">
        <v>4</v>
      </c>
      <c r="G265" s="109" t="s">
        <v>5</v>
      </c>
      <c r="H265" s="106" t="s">
        <v>6</v>
      </c>
    </row>
    <row r="266" spans="1:10" ht="100.8" x14ac:dyDescent="0.3">
      <c r="A266" s="51">
        <v>1</v>
      </c>
      <c r="B266" s="102" t="s">
        <v>1391</v>
      </c>
      <c r="C266" s="40">
        <v>1</v>
      </c>
      <c r="D266" s="41">
        <v>1217</v>
      </c>
      <c r="E266" s="40">
        <v>600</v>
      </c>
      <c r="F266" s="68">
        <f t="shared" ref="F266:F272" si="27">D266*E266</f>
        <v>730200</v>
      </c>
      <c r="G266" s="55">
        <v>0.5</v>
      </c>
      <c r="H266" s="52">
        <f t="shared" ref="H266:H272" si="28">F266*(1-G266)</f>
        <v>365100</v>
      </c>
      <c r="J266" s="38" t="s">
        <v>134</v>
      </c>
    </row>
    <row r="267" spans="1:10" ht="57.6" x14ac:dyDescent="0.3">
      <c r="A267" s="51">
        <v>2</v>
      </c>
      <c r="B267" s="66" t="s">
        <v>321</v>
      </c>
      <c r="C267" s="40">
        <v>1</v>
      </c>
      <c r="D267" s="41">
        <v>214</v>
      </c>
      <c r="E267" s="40">
        <v>350</v>
      </c>
      <c r="F267" s="68">
        <f t="shared" si="27"/>
        <v>74900</v>
      </c>
      <c r="G267" s="55">
        <v>0.5</v>
      </c>
      <c r="H267" s="52">
        <f t="shared" si="28"/>
        <v>37450</v>
      </c>
    </row>
    <row r="268" spans="1:10" ht="86.4" x14ac:dyDescent="0.3">
      <c r="A268" s="51">
        <v>3</v>
      </c>
      <c r="B268" s="64" t="s">
        <v>1392</v>
      </c>
      <c r="C268" s="40">
        <v>1</v>
      </c>
      <c r="D268" s="41">
        <v>735</v>
      </c>
      <c r="E268" s="40">
        <v>200</v>
      </c>
      <c r="F268" s="68">
        <f t="shared" si="27"/>
        <v>147000</v>
      </c>
      <c r="G268" s="55">
        <v>0.5</v>
      </c>
      <c r="H268" s="52">
        <f t="shared" si="28"/>
        <v>73500</v>
      </c>
    </row>
    <row r="269" spans="1:10" ht="57.6" x14ac:dyDescent="0.3">
      <c r="A269" s="51">
        <v>4</v>
      </c>
      <c r="B269" s="64" t="s">
        <v>322</v>
      </c>
      <c r="C269" s="40">
        <v>1</v>
      </c>
      <c r="D269" s="41">
        <v>17</v>
      </c>
      <c r="E269" s="40">
        <v>100</v>
      </c>
      <c r="F269" s="68">
        <f t="shared" si="27"/>
        <v>1700</v>
      </c>
      <c r="G269" s="55">
        <v>0.5</v>
      </c>
      <c r="H269" s="52">
        <f t="shared" si="28"/>
        <v>850</v>
      </c>
    </row>
    <row r="270" spans="1:10" ht="57.6" x14ac:dyDescent="0.3">
      <c r="A270" s="51">
        <v>5</v>
      </c>
      <c r="B270" s="64" t="s">
        <v>323</v>
      </c>
      <c r="C270" s="40">
        <v>1</v>
      </c>
      <c r="D270" s="41">
        <v>19</v>
      </c>
      <c r="E270" s="40">
        <v>100</v>
      </c>
      <c r="F270" s="68">
        <f t="shared" si="27"/>
        <v>1900</v>
      </c>
      <c r="G270" s="55">
        <v>0.5</v>
      </c>
      <c r="H270" s="52">
        <f t="shared" si="28"/>
        <v>950</v>
      </c>
    </row>
    <row r="271" spans="1:10" ht="57.6" x14ac:dyDescent="0.3">
      <c r="A271" s="51">
        <v>6</v>
      </c>
      <c r="B271" s="64" t="s">
        <v>324</v>
      </c>
      <c r="C271" s="40">
        <v>1</v>
      </c>
      <c r="D271" s="41">
        <v>8</v>
      </c>
      <c r="E271" s="40">
        <v>100</v>
      </c>
      <c r="F271" s="68">
        <f t="shared" si="27"/>
        <v>800</v>
      </c>
      <c r="G271" s="55">
        <v>0.5</v>
      </c>
      <c r="H271" s="52">
        <f t="shared" si="28"/>
        <v>400</v>
      </c>
    </row>
    <row r="272" spans="1:10" ht="28.8" x14ac:dyDescent="0.3">
      <c r="A272" s="40">
        <v>7</v>
      </c>
      <c r="B272" s="66" t="s">
        <v>1431</v>
      </c>
      <c r="C272" s="40">
        <v>1</v>
      </c>
      <c r="D272" s="41">
        <f>130.9*4</f>
        <v>523.6</v>
      </c>
      <c r="E272" s="40">
        <v>45</v>
      </c>
      <c r="F272" s="68">
        <f t="shared" si="27"/>
        <v>23562</v>
      </c>
      <c r="G272" s="55">
        <v>0.5</v>
      </c>
      <c r="H272" s="52">
        <f t="shared" si="28"/>
        <v>11781</v>
      </c>
    </row>
    <row r="273" spans="1:8" x14ac:dyDescent="0.3">
      <c r="A273" s="39"/>
      <c r="B273" s="103" t="s">
        <v>318</v>
      </c>
      <c r="C273" s="40"/>
      <c r="D273" s="41"/>
      <c r="E273" s="40"/>
      <c r="F273" s="68"/>
      <c r="G273" s="40"/>
      <c r="H273" s="106">
        <f>SUM(H266:H272)</f>
        <v>490031</v>
      </c>
    </row>
    <row r="274" spans="1:8" x14ac:dyDescent="0.3">
      <c r="A274" s="40">
        <v>8</v>
      </c>
      <c r="B274" s="103" t="s">
        <v>325</v>
      </c>
      <c r="C274" s="40">
        <v>1</v>
      </c>
      <c r="D274" s="41">
        <v>17137</v>
      </c>
      <c r="E274" s="40">
        <v>8</v>
      </c>
      <c r="F274" s="68">
        <f>(10000*E274)+(7137*E274*0.75)</f>
        <v>122822</v>
      </c>
      <c r="G274" s="55">
        <v>0</v>
      </c>
      <c r="H274" s="106">
        <f>F274*(1-G274)</f>
        <v>122822</v>
      </c>
    </row>
    <row r="275" spans="1:8" x14ac:dyDescent="0.3">
      <c r="A275" s="40"/>
      <c r="B275" s="103" t="s">
        <v>9</v>
      </c>
      <c r="C275" s="40"/>
      <c r="D275" s="41"/>
      <c r="E275" s="40"/>
      <c r="F275" s="68"/>
      <c r="G275" s="40"/>
      <c r="H275" s="106">
        <f>H273+H274</f>
        <v>612853</v>
      </c>
    </row>
    <row r="276" spans="1:8" x14ac:dyDescent="0.3">
      <c r="A276" s="44"/>
      <c r="B276" s="92">
        <v>883</v>
      </c>
      <c r="C276" s="47" t="s">
        <v>326</v>
      </c>
      <c r="D276" s="111"/>
      <c r="E276" s="44" t="s">
        <v>327</v>
      </c>
      <c r="F276" s="63"/>
      <c r="G276" s="60"/>
      <c r="H276" s="48"/>
    </row>
    <row r="277" spans="1:8" x14ac:dyDescent="0.3">
      <c r="A277" s="40"/>
      <c r="B277" s="99" t="s">
        <v>328</v>
      </c>
      <c r="C277" s="49" t="s">
        <v>1</v>
      </c>
      <c r="D277" s="112" t="s">
        <v>2</v>
      </c>
      <c r="E277" s="51" t="s">
        <v>309</v>
      </c>
      <c r="F277" s="65" t="s">
        <v>4</v>
      </c>
      <c r="G277" s="51" t="s">
        <v>5</v>
      </c>
      <c r="H277" s="52" t="s">
        <v>6</v>
      </c>
    </row>
    <row r="278" spans="1:8" ht="100.8" x14ac:dyDescent="0.3">
      <c r="A278" s="40">
        <v>1</v>
      </c>
      <c r="B278" s="102" t="s">
        <v>1549</v>
      </c>
      <c r="C278" s="40">
        <v>1</v>
      </c>
      <c r="D278" s="41">
        <v>2651</v>
      </c>
      <c r="E278" s="40">
        <v>250</v>
      </c>
      <c r="F278" s="68">
        <f>D278*E278</f>
        <v>662750</v>
      </c>
      <c r="G278" s="55">
        <v>0.95</v>
      </c>
      <c r="H278" s="42">
        <f>F278*(1-G278)</f>
        <v>33137.500000000029</v>
      </c>
    </row>
    <row r="279" spans="1:8" ht="57.6" x14ac:dyDescent="0.3">
      <c r="A279" s="40">
        <v>2</v>
      </c>
      <c r="B279" s="64" t="s">
        <v>329</v>
      </c>
      <c r="C279" s="40">
        <v>1</v>
      </c>
      <c r="D279" s="41">
        <v>78</v>
      </c>
      <c r="E279" s="40">
        <v>300</v>
      </c>
      <c r="F279" s="68">
        <f>D279*E279</f>
        <v>23400</v>
      </c>
      <c r="G279" s="55">
        <v>0.5</v>
      </c>
      <c r="H279" s="42">
        <f>F279*(1-G279)</f>
        <v>11700</v>
      </c>
    </row>
    <row r="280" spans="1:8" ht="57.6" x14ac:dyDescent="0.3">
      <c r="A280" s="40">
        <v>3</v>
      </c>
      <c r="B280" s="66" t="s">
        <v>330</v>
      </c>
      <c r="C280" s="40">
        <v>1</v>
      </c>
      <c r="D280" s="41">
        <v>228</v>
      </c>
      <c r="E280" s="40">
        <v>100</v>
      </c>
      <c r="F280" s="68">
        <f>(D280*E280)</f>
        <v>22800</v>
      </c>
      <c r="G280" s="55">
        <v>0.5</v>
      </c>
      <c r="H280" s="42">
        <f>(1-G280)*F280</f>
        <v>11400</v>
      </c>
    </row>
    <row r="281" spans="1:8" ht="43.2" x14ac:dyDescent="0.3">
      <c r="A281" s="40">
        <v>4</v>
      </c>
      <c r="B281" s="66" t="s">
        <v>331</v>
      </c>
      <c r="C281" s="40">
        <v>1</v>
      </c>
      <c r="D281" s="41">
        <v>150</v>
      </c>
      <c r="E281" s="40">
        <v>80</v>
      </c>
      <c r="F281" s="68">
        <f>(D281*E281)</f>
        <v>12000</v>
      </c>
      <c r="G281" s="55">
        <v>0.5</v>
      </c>
      <c r="H281" s="42">
        <f>(1-G281)*F281</f>
        <v>6000</v>
      </c>
    </row>
    <row r="282" spans="1:8" ht="28.8" x14ac:dyDescent="0.3">
      <c r="A282" s="40">
        <v>5</v>
      </c>
      <c r="B282" s="66" t="s">
        <v>1432</v>
      </c>
      <c r="C282" s="40">
        <v>1</v>
      </c>
      <c r="D282" s="41">
        <f>106*4</f>
        <v>424</v>
      </c>
      <c r="E282" s="40">
        <v>45</v>
      </c>
      <c r="F282" s="68">
        <f>(D282*E282)</f>
        <v>19080</v>
      </c>
      <c r="G282" s="55"/>
      <c r="H282" s="42">
        <f>(1-G282)*F282</f>
        <v>19080</v>
      </c>
    </row>
    <row r="283" spans="1:8" x14ac:dyDescent="0.3">
      <c r="A283" s="40"/>
      <c r="B283" s="103" t="s">
        <v>318</v>
      </c>
      <c r="C283" s="40"/>
      <c r="D283" s="41"/>
      <c r="E283" s="40"/>
      <c r="F283" s="68"/>
      <c r="G283" s="55"/>
      <c r="H283" s="58">
        <f>SUM(H278:H282)</f>
        <v>81317.500000000029</v>
      </c>
    </row>
    <row r="284" spans="1:8" x14ac:dyDescent="0.3">
      <c r="A284" s="40">
        <v>6</v>
      </c>
      <c r="B284" s="103" t="s">
        <v>8</v>
      </c>
      <c r="C284" s="40">
        <v>1</v>
      </c>
      <c r="D284" s="41">
        <v>11180</v>
      </c>
      <c r="E284" s="40">
        <v>8</v>
      </c>
      <c r="F284" s="68">
        <f>(10000*E284)+(1180*E284*0.75)</f>
        <v>87080</v>
      </c>
      <c r="G284" s="55">
        <v>0</v>
      </c>
      <c r="H284" s="42">
        <f>F284*(1-G284)</f>
        <v>87080</v>
      </c>
    </row>
    <row r="285" spans="1:8" x14ac:dyDescent="0.3">
      <c r="A285" s="113"/>
      <c r="B285" s="114" t="s">
        <v>9</v>
      </c>
      <c r="C285" s="115"/>
      <c r="D285" s="116"/>
      <c r="E285" s="115"/>
      <c r="F285" s="117"/>
      <c r="G285" s="115"/>
      <c r="H285" s="118">
        <f>H284+H283</f>
        <v>168397.50000000003</v>
      </c>
    </row>
    <row r="286" spans="1:8" x14ac:dyDescent="0.3">
      <c r="A286" s="94"/>
      <c r="B286" s="95">
        <v>884</v>
      </c>
      <c r="C286" s="47" t="s">
        <v>332</v>
      </c>
      <c r="D286" s="96"/>
      <c r="E286" s="119" t="s">
        <v>333</v>
      </c>
      <c r="F286" s="97"/>
      <c r="G286" s="47"/>
      <c r="H286" s="98"/>
    </row>
    <row r="287" spans="1:8" s="3" customFormat="1" x14ac:dyDescent="0.3">
      <c r="A287" s="39"/>
      <c r="B287" s="120" t="s">
        <v>328</v>
      </c>
      <c r="C287" s="107" t="s">
        <v>1</v>
      </c>
      <c r="D287" s="121" t="s">
        <v>2</v>
      </c>
      <c r="E287" s="109" t="s">
        <v>309</v>
      </c>
      <c r="F287" s="122" t="s">
        <v>4</v>
      </c>
      <c r="G287" s="109" t="s">
        <v>5</v>
      </c>
      <c r="H287" s="106" t="s">
        <v>6</v>
      </c>
    </row>
    <row r="288" spans="1:8" ht="72" x14ac:dyDescent="0.3">
      <c r="A288" s="40">
        <v>1</v>
      </c>
      <c r="B288" s="102" t="s">
        <v>334</v>
      </c>
      <c r="C288" s="40">
        <v>1</v>
      </c>
      <c r="D288" s="41">
        <v>295.27999999999997</v>
      </c>
      <c r="E288" s="40">
        <v>400</v>
      </c>
      <c r="F288" s="68">
        <f>C288*D288*E288</f>
        <v>118111.99999999999</v>
      </c>
      <c r="G288" s="55">
        <v>0.5</v>
      </c>
      <c r="H288" s="42">
        <f>F288*(1-G288)</f>
        <v>59055.999999999993</v>
      </c>
    </row>
    <row r="289" spans="1:8" ht="86.4" x14ac:dyDescent="0.3">
      <c r="A289" s="40">
        <v>2</v>
      </c>
      <c r="B289" s="102" t="s">
        <v>1393</v>
      </c>
      <c r="C289" s="40">
        <v>1</v>
      </c>
      <c r="D289" s="41">
        <v>980.5</v>
      </c>
      <c r="E289" s="40">
        <v>350</v>
      </c>
      <c r="F289" s="68">
        <f>C289*D289*E289</f>
        <v>343175</v>
      </c>
      <c r="G289" s="55">
        <v>0.6</v>
      </c>
      <c r="H289" s="42">
        <f t="shared" ref="H289:H305" si="29">F289*(1-G289)</f>
        <v>137270</v>
      </c>
    </row>
    <row r="290" spans="1:8" ht="86.4" x14ac:dyDescent="0.3">
      <c r="A290" s="40">
        <v>3</v>
      </c>
      <c r="B290" s="102" t="s">
        <v>335</v>
      </c>
      <c r="C290" s="40">
        <v>1</v>
      </c>
      <c r="D290" s="41">
        <v>805.35</v>
      </c>
      <c r="E290" s="40">
        <v>350</v>
      </c>
      <c r="F290" s="68">
        <f t="shared" ref="F290:F302" si="30">C290*D290*E290</f>
        <v>281872.5</v>
      </c>
      <c r="G290" s="55">
        <v>0.6</v>
      </c>
      <c r="H290" s="42">
        <f t="shared" si="29"/>
        <v>112749</v>
      </c>
    </row>
    <row r="291" spans="1:8" ht="57.6" x14ac:dyDescent="0.3">
      <c r="A291" s="40">
        <v>4</v>
      </c>
      <c r="B291" s="102" t="s">
        <v>336</v>
      </c>
      <c r="C291" s="40">
        <v>1</v>
      </c>
      <c r="D291" s="41">
        <v>95</v>
      </c>
      <c r="E291" s="40">
        <v>300</v>
      </c>
      <c r="F291" s="68">
        <f t="shared" si="30"/>
        <v>28500</v>
      </c>
      <c r="G291" s="55">
        <v>0.6</v>
      </c>
      <c r="H291" s="42">
        <f t="shared" si="29"/>
        <v>11400</v>
      </c>
    </row>
    <row r="292" spans="1:8" ht="57.6" x14ac:dyDescent="0.3">
      <c r="A292" s="40">
        <v>5</v>
      </c>
      <c r="B292" s="102" t="s">
        <v>337</v>
      </c>
      <c r="C292" s="40">
        <v>1</v>
      </c>
      <c r="D292" s="41">
        <v>96</v>
      </c>
      <c r="E292" s="40">
        <v>300</v>
      </c>
      <c r="F292" s="68">
        <f t="shared" si="30"/>
        <v>28800</v>
      </c>
      <c r="G292" s="55">
        <v>0.6</v>
      </c>
      <c r="H292" s="42">
        <f t="shared" si="29"/>
        <v>11520</v>
      </c>
    </row>
    <row r="293" spans="1:8" ht="57.6" x14ac:dyDescent="0.3">
      <c r="A293" s="40">
        <v>6</v>
      </c>
      <c r="B293" s="102" t="s">
        <v>338</v>
      </c>
      <c r="C293" s="40">
        <v>1</v>
      </c>
      <c r="D293" s="41">
        <v>652</v>
      </c>
      <c r="E293" s="40">
        <v>300</v>
      </c>
      <c r="F293" s="68">
        <f t="shared" si="30"/>
        <v>195600</v>
      </c>
      <c r="G293" s="55">
        <v>0.6</v>
      </c>
      <c r="H293" s="42">
        <f t="shared" si="29"/>
        <v>78240</v>
      </c>
    </row>
    <row r="294" spans="1:8" ht="57.6" x14ac:dyDescent="0.3">
      <c r="A294" s="40">
        <v>7</v>
      </c>
      <c r="B294" s="102" t="s">
        <v>339</v>
      </c>
      <c r="C294" s="40">
        <v>1</v>
      </c>
      <c r="D294" s="41">
        <v>124</v>
      </c>
      <c r="E294" s="40">
        <v>300</v>
      </c>
      <c r="F294" s="68">
        <f t="shared" si="30"/>
        <v>37200</v>
      </c>
      <c r="G294" s="55">
        <v>0.6</v>
      </c>
      <c r="H294" s="42">
        <f t="shared" si="29"/>
        <v>14880</v>
      </c>
    </row>
    <row r="295" spans="1:8" ht="57.6" x14ac:dyDescent="0.3">
      <c r="A295" s="40">
        <v>8</v>
      </c>
      <c r="B295" s="102" t="s">
        <v>340</v>
      </c>
      <c r="C295" s="40">
        <v>1</v>
      </c>
      <c r="D295" s="41">
        <v>95</v>
      </c>
      <c r="E295" s="40">
        <v>300</v>
      </c>
      <c r="F295" s="68">
        <f t="shared" si="30"/>
        <v>28500</v>
      </c>
      <c r="G295" s="55">
        <v>0.6</v>
      </c>
      <c r="H295" s="42">
        <f t="shared" si="29"/>
        <v>11400</v>
      </c>
    </row>
    <row r="296" spans="1:8" ht="57.6" x14ac:dyDescent="0.3">
      <c r="A296" s="40">
        <v>9</v>
      </c>
      <c r="B296" s="102" t="s">
        <v>341</v>
      </c>
      <c r="C296" s="40">
        <v>1</v>
      </c>
      <c r="D296" s="41">
        <v>10</v>
      </c>
      <c r="E296" s="40">
        <v>100</v>
      </c>
      <c r="F296" s="68">
        <f t="shared" si="30"/>
        <v>1000</v>
      </c>
      <c r="G296" s="55">
        <v>0.5</v>
      </c>
      <c r="H296" s="42">
        <f t="shared" si="29"/>
        <v>500</v>
      </c>
    </row>
    <row r="297" spans="1:8" ht="57.6" x14ac:dyDescent="0.3">
      <c r="A297" s="40">
        <v>10</v>
      </c>
      <c r="B297" s="102" t="s">
        <v>342</v>
      </c>
      <c r="C297" s="40">
        <v>1</v>
      </c>
      <c r="D297" s="41">
        <v>6.5</v>
      </c>
      <c r="E297" s="40">
        <v>100</v>
      </c>
      <c r="F297" s="68">
        <f t="shared" si="30"/>
        <v>650</v>
      </c>
      <c r="G297" s="55">
        <v>0.5</v>
      </c>
      <c r="H297" s="42">
        <f t="shared" si="29"/>
        <v>325</v>
      </c>
    </row>
    <row r="298" spans="1:8" ht="43.2" x14ac:dyDescent="0.3">
      <c r="A298" s="40">
        <v>11</v>
      </c>
      <c r="B298" s="102" t="s">
        <v>343</v>
      </c>
      <c r="C298" s="40">
        <v>1</v>
      </c>
      <c r="D298" s="41">
        <v>55.2</v>
      </c>
      <c r="E298" s="40">
        <v>80</v>
      </c>
      <c r="F298" s="68">
        <f t="shared" si="30"/>
        <v>4416</v>
      </c>
      <c r="G298" s="55">
        <v>0.5</v>
      </c>
      <c r="H298" s="42">
        <f t="shared" si="29"/>
        <v>2208</v>
      </c>
    </row>
    <row r="299" spans="1:8" ht="57.6" x14ac:dyDescent="0.3">
      <c r="A299" s="40">
        <v>12</v>
      </c>
      <c r="B299" s="102" t="s">
        <v>344</v>
      </c>
      <c r="C299" s="40">
        <v>1</v>
      </c>
      <c r="D299" s="41">
        <v>66</v>
      </c>
      <c r="E299" s="40">
        <v>50</v>
      </c>
      <c r="F299" s="68">
        <f t="shared" si="30"/>
        <v>3300</v>
      </c>
      <c r="G299" s="55">
        <v>0.5</v>
      </c>
      <c r="H299" s="42">
        <f t="shared" si="29"/>
        <v>1650</v>
      </c>
    </row>
    <row r="300" spans="1:8" ht="43.2" x14ac:dyDescent="0.3">
      <c r="A300" s="40">
        <v>13</v>
      </c>
      <c r="B300" s="102" t="s">
        <v>345</v>
      </c>
      <c r="C300" s="40">
        <v>1</v>
      </c>
      <c r="D300" s="41">
        <v>45</v>
      </c>
      <c r="E300" s="40">
        <v>80</v>
      </c>
      <c r="F300" s="68">
        <f t="shared" si="30"/>
        <v>3600</v>
      </c>
      <c r="G300" s="55">
        <v>0.5</v>
      </c>
      <c r="H300" s="42">
        <f t="shared" si="29"/>
        <v>1800</v>
      </c>
    </row>
    <row r="301" spans="1:8" ht="28.8" x14ac:dyDescent="0.3">
      <c r="A301" s="40">
        <v>14</v>
      </c>
      <c r="B301" s="102" t="s">
        <v>346</v>
      </c>
      <c r="C301" s="40">
        <v>1</v>
      </c>
      <c r="D301" s="41">
        <v>70</v>
      </c>
      <c r="E301" s="40">
        <v>80</v>
      </c>
      <c r="F301" s="68">
        <f t="shared" si="30"/>
        <v>5600</v>
      </c>
      <c r="G301" s="55">
        <v>0.5</v>
      </c>
      <c r="H301" s="42">
        <f t="shared" si="29"/>
        <v>2800</v>
      </c>
    </row>
    <row r="302" spans="1:8" ht="57.6" x14ac:dyDescent="0.3">
      <c r="A302" s="40">
        <v>15</v>
      </c>
      <c r="B302" s="102" t="s">
        <v>347</v>
      </c>
      <c r="C302" s="40">
        <v>1</v>
      </c>
      <c r="D302" s="41">
        <v>15</v>
      </c>
      <c r="E302" s="40">
        <v>100</v>
      </c>
      <c r="F302" s="68">
        <f t="shared" si="30"/>
        <v>1500</v>
      </c>
      <c r="G302" s="55">
        <v>0.5</v>
      </c>
      <c r="H302" s="42">
        <f t="shared" si="29"/>
        <v>750</v>
      </c>
    </row>
    <row r="303" spans="1:8" ht="28.8" x14ac:dyDescent="0.3">
      <c r="A303" s="40">
        <v>16</v>
      </c>
      <c r="B303" s="102" t="s">
        <v>348</v>
      </c>
      <c r="C303" s="49">
        <v>1</v>
      </c>
      <c r="D303" s="112">
        <f>109*4</f>
        <v>436</v>
      </c>
      <c r="E303" s="123">
        <v>35</v>
      </c>
      <c r="F303" s="65">
        <f>D303*E303</f>
        <v>15260</v>
      </c>
      <c r="G303" s="55">
        <v>0.5</v>
      </c>
      <c r="H303" s="42">
        <f t="shared" si="29"/>
        <v>7630</v>
      </c>
    </row>
    <row r="304" spans="1:8" x14ac:dyDescent="0.3">
      <c r="A304" s="83"/>
      <c r="B304" s="103" t="s">
        <v>318</v>
      </c>
      <c r="C304" s="40"/>
      <c r="D304" s="41"/>
      <c r="E304" s="40"/>
      <c r="F304" s="68"/>
      <c r="G304" s="55"/>
      <c r="H304" s="58">
        <f>SUM(H288:H303)</f>
        <v>454178</v>
      </c>
    </row>
    <row r="305" spans="1:8" x14ac:dyDescent="0.3">
      <c r="A305" s="83">
        <v>17</v>
      </c>
      <c r="B305" s="103" t="s">
        <v>8</v>
      </c>
      <c r="C305" s="40">
        <v>1</v>
      </c>
      <c r="D305" s="41">
        <v>11911</v>
      </c>
      <c r="E305" s="40">
        <v>8</v>
      </c>
      <c r="F305" s="68">
        <f>(10000*E305)+(1911*E305*0.75)</f>
        <v>91466</v>
      </c>
      <c r="G305" s="55">
        <v>0</v>
      </c>
      <c r="H305" s="42">
        <f t="shared" si="29"/>
        <v>91466</v>
      </c>
    </row>
    <row r="306" spans="1:8" x14ac:dyDescent="0.3">
      <c r="A306" s="83"/>
      <c r="B306" s="103" t="s">
        <v>9</v>
      </c>
      <c r="C306" s="40"/>
      <c r="D306" s="41"/>
      <c r="E306" s="40"/>
      <c r="F306" s="68"/>
      <c r="G306" s="55"/>
      <c r="H306" s="58">
        <f>H304+H305</f>
        <v>545644</v>
      </c>
    </row>
    <row r="307" spans="1:8" x14ac:dyDescent="0.3">
      <c r="A307" s="47"/>
      <c r="B307" s="95" t="s">
        <v>349</v>
      </c>
      <c r="C307" s="47" t="s">
        <v>350</v>
      </c>
      <c r="D307" s="96"/>
      <c r="E307" s="79" t="s">
        <v>351</v>
      </c>
      <c r="F307" s="97"/>
      <c r="G307" s="47"/>
      <c r="H307" s="98"/>
    </row>
    <row r="308" spans="1:8" s="3" customFormat="1" x14ac:dyDescent="0.3">
      <c r="A308" s="39"/>
      <c r="B308" s="120" t="s">
        <v>328</v>
      </c>
      <c r="C308" s="107" t="s">
        <v>1</v>
      </c>
      <c r="D308" s="121" t="s">
        <v>2</v>
      </c>
      <c r="E308" s="109" t="s">
        <v>309</v>
      </c>
      <c r="F308" s="122" t="s">
        <v>4</v>
      </c>
      <c r="G308" s="109" t="s">
        <v>5</v>
      </c>
      <c r="H308" s="106" t="s">
        <v>6</v>
      </c>
    </row>
    <row r="309" spans="1:8" ht="72" x14ac:dyDescent="0.3">
      <c r="A309" s="40">
        <v>1</v>
      </c>
      <c r="B309" s="102" t="s">
        <v>352</v>
      </c>
      <c r="C309" s="40">
        <v>1</v>
      </c>
      <c r="D309" s="41">
        <v>150</v>
      </c>
      <c r="E309" s="40">
        <v>250</v>
      </c>
      <c r="F309" s="68">
        <f t="shared" ref="F309:F323" si="31">D309*E309</f>
        <v>37500</v>
      </c>
      <c r="G309" s="55">
        <v>0.5</v>
      </c>
      <c r="H309" s="52">
        <f>F309*(1-G309)</f>
        <v>18750</v>
      </c>
    </row>
    <row r="310" spans="1:8" ht="57.6" x14ac:dyDescent="0.3">
      <c r="A310" s="40">
        <v>2</v>
      </c>
      <c r="B310" s="66" t="s">
        <v>353</v>
      </c>
      <c r="C310" s="40">
        <v>1</v>
      </c>
      <c r="D310" s="41">
        <v>102</v>
      </c>
      <c r="E310" s="40">
        <v>250</v>
      </c>
      <c r="F310" s="68">
        <f t="shared" si="31"/>
        <v>25500</v>
      </c>
      <c r="G310" s="55">
        <v>0.5</v>
      </c>
      <c r="H310" s="52">
        <f>F310*(1-G310)</f>
        <v>12750</v>
      </c>
    </row>
    <row r="311" spans="1:8" ht="57.6" x14ac:dyDescent="0.3">
      <c r="A311" s="40">
        <v>3</v>
      </c>
      <c r="B311" s="102" t="s">
        <v>354</v>
      </c>
      <c r="C311" s="40">
        <v>1</v>
      </c>
      <c r="D311" s="41">
        <v>96</v>
      </c>
      <c r="E311" s="40">
        <v>250</v>
      </c>
      <c r="F311" s="68">
        <f t="shared" si="31"/>
        <v>24000</v>
      </c>
      <c r="G311" s="55">
        <v>0.5</v>
      </c>
      <c r="H311" s="52">
        <f>F311*(1-G311)</f>
        <v>12000</v>
      </c>
    </row>
    <row r="312" spans="1:8" ht="57.6" x14ac:dyDescent="0.3">
      <c r="A312" s="40">
        <v>4</v>
      </c>
      <c r="B312" s="102" t="s">
        <v>355</v>
      </c>
      <c r="C312" s="40">
        <v>1</v>
      </c>
      <c r="D312" s="41">
        <v>36</v>
      </c>
      <c r="E312" s="40">
        <v>120</v>
      </c>
      <c r="F312" s="68">
        <f t="shared" si="31"/>
        <v>4320</v>
      </c>
      <c r="G312" s="55">
        <v>0.5</v>
      </c>
      <c r="H312" s="52">
        <f>F312*(1-G312)</f>
        <v>2160</v>
      </c>
    </row>
    <row r="313" spans="1:8" ht="57.6" x14ac:dyDescent="0.3">
      <c r="A313" s="40">
        <v>5</v>
      </c>
      <c r="B313" s="66" t="s">
        <v>356</v>
      </c>
      <c r="C313" s="40">
        <v>1</v>
      </c>
      <c r="D313" s="41">
        <v>27</v>
      </c>
      <c r="E313" s="40">
        <v>100</v>
      </c>
      <c r="F313" s="68">
        <f t="shared" si="31"/>
        <v>2700</v>
      </c>
      <c r="G313" s="55">
        <v>0.5</v>
      </c>
      <c r="H313" s="52">
        <f t="shared" ref="H313:H325" si="32">F313*(1-G313)</f>
        <v>1350</v>
      </c>
    </row>
    <row r="314" spans="1:8" ht="57.6" x14ac:dyDescent="0.3">
      <c r="A314" s="40">
        <v>6</v>
      </c>
      <c r="B314" s="66" t="s">
        <v>357</v>
      </c>
      <c r="C314" s="40">
        <v>1</v>
      </c>
      <c r="D314" s="41">
        <v>168</v>
      </c>
      <c r="E314" s="40">
        <v>250</v>
      </c>
      <c r="F314" s="68">
        <f t="shared" si="31"/>
        <v>42000</v>
      </c>
      <c r="G314" s="55">
        <v>0.5</v>
      </c>
      <c r="H314" s="52">
        <f t="shared" si="32"/>
        <v>21000</v>
      </c>
    </row>
    <row r="315" spans="1:8" ht="57.6" x14ac:dyDescent="0.3">
      <c r="A315" s="40">
        <v>7</v>
      </c>
      <c r="B315" s="66" t="s">
        <v>358</v>
      </c>
      <c r="C315" s="40">
        <v>1</v>
      </c>
      <c r="D315" s="41">
        <v>148.80000000000001</v>
      </c>
      <c r="E315" s="40">
        <v>250</v>
      </c>
      <c r="F315" s="68">
        <f t="shared" si="31"/>
        <v>37200</v>
      </c>
      <c r="G315" s="55">
        <v>0.5</v>
      </c>
      <c r="H315" s="52">
        <f t="shared" si="32"/>
        <v>18600</v>
      </c>
    </row>
    <row r="316" spans="1:8" ht="57.6" x14ac:dyDescent="0.3">
      <c r="A316" s="40">
        <v>8</v>
      </c>
      <c r="B316" s="66" t="s">
        <v>359</v>
      </c>
      <c r="C316" s="40">
        <v>1</v>
      </c>
      <c r="D316" s="41">
        <v>192</v>
      </c>
      <c r="E316" s="40">
        <v>250</v>
      </c>
      <c r="F316" s="68">
        <f t="shared" si="31"/>
        <v>48000</v>
      </c>
      <c r="G316" s="55">
        <v>0.5</v>
      </c>
      <c r="H316" s="52">
        <f t="shared" si="32"/>
        <v>24000</v>
      </c>
    </row>
    <row r="317" spans="1:8" ht="43.2" x14ac:dyDescent="0.3">
      <c r="A317" s="40">
        <v>9</v>
      </c>
      <c r="B317" s="66" t="s">
        <v>360</v>
      </c>
      <c r="C317" s="40">
        <v>1</v>
      </c>
      <c r="D317" s="41">
        <v>192</v>
      </c>
      <c r="E317" s="40">
        <v>250</v>
      </c>
      <c r="F317" s="68">
        <f t="shared" si="31"/>
        <v>48000</v>
      </c>
      <c r="G317" s="55">
        <v>0.5</v>
      </c>
      <c r="H317" s="52">
        <f t="shared" si="32"/>
        <v>24000</v>
      </c>
    </row>
    <row r="318" spans="1:8" ht="57.6" x14ac:dyDescent="0.3">
      <c r="A318" s="40">
        <v>10</v>
      </c>
      <c r="B318" s="66" t="s">
        <v>1704</v>
      </c>
      <c r="C318" s="40">
        <v>1</v>
      </c>
      <c r="D318" s="41">
        <v>144</v>
      </c>
      <c r="E318" s="40">
        <v>250</v>
      </c>
      <c r="F318" s="68">
        <f t="shared" si="31"/>
        <v>36000</v>
      </c>
      <c r="G318" s="55">
        <v>0.5</v>
      </c>
      <c r="H318" s="52">
        <f t="shared" si="32"/>
        <v>18000</v>
      </c>
    </row>
    <row r="319" spans="1:8" ht="43.2" x14ac:dyDescent="0.3">
      <c r="A319" s="40">
        <v>11</v>
      </c>
      <c r="B319" s="66" t="s">
        <v>361</v>
      </c>
      <c r="C319" s="40">
        <v>1</v>
      </c>
      <c r="D319" s="41">
        <v>20</v>
      </c>
      <c r="E319" s="40">
        <v>50</v>
      </c>
      <c r="F319" s="68">
        <f t="shared" si="31"/>
        <v>1000</v>
      </c>
      <c r="G319" s="55">
        <v>0.5</v>
      </c>
      <c r="H319" s="52">
        <f t="shared" si="32"/>
        <v>500</v>
      </c>
    </row>
    <row r="320" spans="1:8" ht="43.2" x14ac:dyDescent="0.3">
      <c r="A320" s="40">
        <v>12</v>
      </c>
      <c r="B320" s="66" t="s">
        <v>362</v>
      </c>
      <c r="C320" s="40">
        <v>1</v>
      </c>
      <c r="D320" s="41">
        <v>36.5</v>
      </c>
      <c r="E320" s="40">
        <v>50</v>
      </c>
      <c r="F320" s="68">
        <f t="shared" si="31"/>
        <v>1825</v>
      </c>
      <c r="G320" s="55">
        <v>0.5</v>
      </c>
      <c r="H320" s="52">
        <f t="shared" si="32"/>
        <v>912.5</v>
      </c>
    </row>
    <row r="321" spans="1:9" ht="43.2" x14ac:dyDescent="0.3">
      <c r="A321" s="40">
        <v>13</v>
      </c>
      <c r="B321" s="66" t="s">
        <v>363</v>
      </c>
      <c r="C321" s="40">
        <v>1</v>
      </c>
      <c r="D321" s="41">
        <v>140</v>
      </c>
      <c r="E321" s="40">
        <v>50</v>
      </c>
      <c r="F321" s="68">
        <f t="shared" si="31"/>
        <v>7000</v>
      </c>
      <c r="G321" s="55">
        <v>0.5</v>
      </c>
      <c r="H321" s="52">
        <f t="shared" si="32"/>
        <v>3500</v>
      </c>
    </row>
    <row r="322" spans="1:9" ht="57.6" x14ac:dyDescent="0.3">
      <c r="A322" s="40">
        <v>14</v>
      </c>
      <c r="B322" s="66" t="s">
        <v>347</v>
      </c>
      <c r="C322" s="40">
        <v>1</v>
      </c>
      <c r="D322" s="41">
        <v>9.1999999999999993</v>
      </c>
      <c r="E322" s="40">
        <v>100</v>
      </c>
      <c r="F322" s="68">
        <f t="shared" si="31"/>
        <v>919.99999999999989</v>
      </c>
      <c r="G322" s="55">
        <v>0.5</v>
      </c>
      <c r="H322" s="52">
        <f t="shared" si="32"/>
        <v>459.99999999999994</v>
      </c>
    </row>
    <row r="323" spans="1:9" x14ac:dyDescent="0.3">
      <c r="A323" s="40">
        <v>15</v>
      </c>
      <c r="B323" s="66" t="s">
        <v>364</v>
      </c>
      <c r="C323" s="40">
        <v>1</v>
      </c>
      <c r="D323" s="41">
        <f>95.6*4</f>
        <v>382.4</v>
      </c>
      <c r="E323" s="40">
        <v>22</v>
      </c>
      <c r="F323" s="68">
        <f t="shared" si="31"/>
        <v>8412.7999999999993</v>
      </c>
      <c r="G323" s="55">
        <v>0.5</v>
      </c>
      <c r="H323" s="52">
        <f t="shared" si="32"/>
        <v>4206.3999999999996</v>
      </c>
      <c r="I323" s="124"/>
    </row>
    <row r="324" spans="1:9" x14ac:dyDescent="0.3">
      <c r="A324" s="40"/>
      <c r="B324" s="103" t="s">
        <v>318</v>
      </c>
      <c r="C324" s="40"/>
      <c r="D324" s="41"/>
      <c r="E324" s="40"/>
      <c r="F324" s="68"/>
      <c r="G324" s="55"/>
      <c r="H324" s="106">
        <f>SUM(H309:H323)</f>
        <v>162188.9</v>
      </c>
      <c r="I324" s="124"/>
    </row>
    <row r="325" spans="1:9" x14ac:dyDescent="0.3">
      <c r="A325" s="40">
        <v>16</v>
      </c>
      <c r="B325" s="103" t="s">
        <v>8</v>
      </c>
      <c r="C325" s="40">
        <v>1</v>
      </c>
      <c r="D325" s="41">
        <v>9326</v>
      </c>
      <c r="E325" s="40">
        <v>8</v>
      </c>
      <c r="F325" s="68">
        <f>C325*D325*E325</f>
        <v>74608</v>
      </c>
      <c r="G325" s="55">
        <v>0</v>
      </c>
      <c r="H325" s="52">
        <f t="shared" si="32"/>
        <v>74608</v>
      </c>
      <c r="I325" s="124"/>
    </row>
    <row r="326" spans="1:9" x14ac:dyDescent="0.3">
      <c r="A326" s="40"/>
      <c r="B326" s="103" t="s">
        <v>9</v>
      </c>
      <c r="C326" s="40"/>
      <c r="D326" s="41"/>
      <c r="E326" s="40"/>
      <c r="F326" s="68"/>
      <c r="G326" s="55"/>
      <c r="H326" s="106">
        <f>H324+H325</f>
        <v>236796.9</v>
      </c>
    </row>
    <row r="327" spans="1:9" x14ac:dyDescent="0.3">
      <c r="A327" s="44"/>
      <c r="B327" s="92" t="s">
        <v>349</v>
      </c>
      <c r="C327" s="44" t="s">
        <v>365</v>
      </c>
      <c r="D327" s="125"/>
      <c r="E327" s="44" t="s">
        <v>366</v>
      </c>
      <c r="F327" s="63"/>
      <c r="G327" s="60"/>
      <c r="H327" s="48"/>
    </row>
    <row r="328" spans="1:9" x14ac:dyDescent="0.3">
      <c r="A328" s="40"/>
      <c r="B328" s="120" t="s">
        <v>328</v>
      </c>
      <c r="C328" s="107" t="s">
        <v>1</v>
      </c>
      <c r="D328" s="121" t="s">
        <v>2</v>
      </c>
      <c r="E328" s="109" t="s">
        <v>309</v>
      </c>
      <c r="F328" s="122" t="s">
        <v>4</v>
      </c>
      <c r="G328" s="109" t="s">
        <v>5</v>
      </c>
      <c r="H328" s="106" t="s">
        <v>6</v>
      </c>
    </row>
    <row r="329" spans="1:9" ht="100.8" x14ac:dyDescent="0.3">
      <c r="A329" s="40">
        <v>1</v>
      </c>
      <c r="B329" s="102" t="s">
        <v>367</v>
      </c>
      <c r="C329" s="40">
        <v>1</v>
      </c>
      <c r="D329" s="41">
        <v>1854</v>
      </c>
      <c r="E329" s="40">
        <v>350</v>
      </c>
      <c r="F329" s="68">
        <f>C329*D329*E329</f>
        <v>648900</v>
      </c>
      <c r="G329" s="55">
        <v>0.5</v>
      </c>
      <c r="H329" s="42">
        <f>F329*(1-G329)</f>
        <v>324450</v>
      </c>
    </row>
    <row r="330" spans="1:9" ht="72" x14ac:dyDescent="0.3">
      <c r="A330" s="40">
        <v>2</v>
      </c>
      <c r="B330" s="102" t="s">
        <v>368</v>
      </c>
      <c r="C330" s="40">
        <v>1</v>
      </c>
      <c r="D330" s="41">
        <v>545</v>
      </c>
      <c r="E330" s="40">
        <v>300</v>
      </c>
      <c r="F330" s="68">
        <f t="shared" ref="F330:F342" si="33">C330*D330*E330</f>
        <v>163500</v>
      </c>
      <c r="G330" s="55">
        <v>0.5</v>
      </c>
      <c r="H330" s="42">
        <f t="shared" ref="H330:H342" si="34">F330*(1-G330)</f>
        <v>81750</v>
      </c>
    </row>
    <row r="331" spans="1:9" ht="72" x14ac:dyDescent="0.3">
      <c r="A331" s="40"/>
      <c r="B331" s="102" t="s">
        <v>369</v>
      </c>
      <c r="C331" s="40">
        <v>1</v>
      </c>
      <c r="D331" s="41">
        <v>363</v>
      </c>
      <c r="E331" s="40">
        <v>300</v>
      </c>
      <c r="F331" s="68">
        <f t="shared" si="33"/>
        <v>108900</v>
      </c>
      <c r="G331" s="55">
        <v>0.5</v>
      </c>
      <c r="H331" s="42">
        <f t="shared" si="34"/>
        <v>54450</v>
      </c>
      <c r="I331" s="126"/>
    </row>
    <row r="332" spans="1:9" ht="72" x14ac:dyDescent="0.3">
      <c r="A332" s="39">
        <v>2</v>
      </c>
      <c r="B332" s="102" t="s">
        <v>370</v>
      </c>
      <c r="C332" s="40">
        <v>1</v>
      </c>
      <c r="D332" s="41">
        <v>586</v>
      </c>
      <c r="E332" s="40">
        <v>300</v>
      </c>
      <c r="F332" s="68">
        <f t="shared" si="33"/>
        <v>175800</v>
      </c>
      <c r="G332" s="55">
        <v>0.5</v>
      </c>
      <c r="H332" s="42">
        <f t="shared" si="34"/>
        <v>87900</v>
      </c>
    </row>
    <row r="333" spans="1:9" ht="72" x14ac:dyDescent="0.3">
      <c r="A333" s="40">
        <v>3</v>
      </c>
      <c r="B333" s="102" t="s">
        <v>371</v>
      </c>
      <c r="C333" s="40">
        <v>1</v>
      </c>
      <c r="D333" s="41">
        <v>42</v>
      </c>
      <c r="E333" s="40">
        <v>100</v>
      </c>
      <c r="F333" s="68">
        <f t="shared" si="33"/>
        <v>4200</v>
      </c>
      <c r="G333" s="55">
        <v>0.5</v>
      </c>
      <c r="H333" s="42">
        <f t="shared" si="34"/>
        <v>2100</v>
      </c>
    </row>
    <row r="334" spans="1:9" ht="72" x14ac:dyDescent="0.3">
      <c r="A334" s="40">
        <v>4</v>
      </c>
      <c r="B334" s="102" t="s">
        <v>372</v>
      </c>
      <c r="C334" s="40">
        <v>1</v>
      </c>
      <c r="D334" s="41">
        <v>71.5</v>
      </c>
      <c r="E334" s="40">
        <v>250</v>
      </c>
      <c r="F334" s="68">
        <f t="shared" si="33"/>
        <v>17875</v>
      </c>
      <c r="G334" s="55">
        <v>0.5</v>
      </c>
      <c r="H334" s="42">
        <f t="shared" si="34"/>
        <v>8937.5</v>
      </c>
    </row>
    <row r="335" spans="1:9" ht="72" x14ac:dyDescent="0.3">
      <c r="A335" s="40">
        <v>5</v>
      </c>
      <c r="B335" s="102" t="s">
        <v>373</v>
      </c>
      <c r="C335" s="40">
        <v>1</v>
      </c>
      <c r="D335" s="41">
        <v>214.25</v>
      </c>
      <c r="E335" s="40">
        <v>250</v>
      </c>
      <c r="F335" s="68">
        <f t="shared" si="33"/>
        <v>53562.5</v>
      </c>
      <c r="G335" s="55">
        <v>0.5</v>
      </c>
      <c r="H335" s="42">
        <f t="shared" si="34"/>
        <v>26781.25</v>
      </c>
    </row>
    <row r="336" spans="1:9" ht="72" x14ac:dyDescent="0.3">
      <c r="A336" s="40">
        <v>6</v>
      </c>
      <c r="B336" s="102" t="s">
        <v>374</v>
      </c>
      <c r="C336" s="40">
        <v>1</v>
      </c>
      <c r="D336" s="41">
        <v>190</v>
      </c>
      <c r="E336" s="40">
        <v>200</v>
      </c>
      <c r="F336" s="68">
        <f t="shared" si="33"/>
        <v>38000</v>
      </c>
      <c r="G336" s="55">
        <v>0.5</v>
      </c>
      <c r="H336" s="42">
        <f t="shared" si="34"/>
        <v>19000</v>
      </c>
    </row>
    <row r="337" spans="1:8" ht="86.4" x14ac:dyDescent="0.3">
      <c r="A337" s="40">
        <v>7</v>
      </c>
      <c r="B337" s="102" t="s">
        <v>375</v>
      </c>
      <c r="C337" s="40">
        <v>1</v>
      </c>
      <c r="D337" s="41">
        <v>115.5</v>
      </c>
      <c r="E337" s="40">
        <v>250</v>
      </c>
      <c r="F337" s="68">
        <f t="shared" si="33"/>
        <v>28875</v>
      </c>
      <c r="G337" s="55">
        <v>0.5</v>
      </c>
      <c r="H337" s="42">
        <f t="shared" si="34"/>
        <v>14437.5</v>
      </c>
    </row>
    <row r="338" spans="1:8" ht="72" x14ac:dyDescent="0.3">
      <c r="A338" s="40">
        <v>8</v>
      </c>
      <c r="B338" s="102" t="s">
        <v>376</v>
      </c>
      <c r="C338" s="40">
        <v>1</v>
      </c>
      <c r="D338" s="41">
        <v>91.8</v>
      </c>
      <c r="E338" s="40">
        <v>100</v>
      </c>
      <c r="F338" s="68">
        <f t="shared" si="33"/>
        <v>9180</v>
      </c>
      <c r="G338" s="55">
        <v>0.5</v>
      </c>
      <c r="H338" s="42">
        <f t="shared" si="34"/>
        <v>4590</v>
      </c>
    </row>
    <row r="339" spans="1:8" ht="43.2" x14ac:dyDescent="0.3">
      <c r="A339" s="40">
        <v>9</v>
      </c>
      <c r="B339" s="102" t="s">
        <v>377</v>
      </c>
      <c r="C339" s="40">
        <v>1</v>
      </c>
      <c r="D339" s="41">
        <v>16.8</v>
      </c>
      <c r="E339" s="40">
        <v>50</v>
      </c>
      <c r="F339" s="68">
        <f t="shared" si="33"/>
        <v>840</v>
      </c>
      <c r="G339" s="55">
        <v>0.5</v>
      </c>
      <c r="H339" s="42">
        <f t="shared" si="34"/>
        <v>420</v>
      </c>
    </row>
    <row r="340" spans="1:8" ht="43.2" x14ac:dyDescent="0.3">
      <c r="A340" s="40">
        <v>10</v>
      </c>
      <c r="B340" s="102" t="s">
        <v>378</v>
      </c>
      <c r="C340" s="40">
        <v>1</v>
      </c>
      <c r="D340" s="41">
        <v>75</v>
      </c>
      <c r="E340" s="40">
        <v>50</v>
      </c>
      <c r="F340" s="68">
        <f t="shared" si="33"/>
        <v>3750</v>
      </c>
      <c r="G340" s="55">
        <v>0.5</v>
      </c>
      <c r="H340" s="42">
        <f t="shared" si="34"/>
        <v>1875</v>
      </c>
    </row>
    <row r="341" spans="1:8" ht="43.2" x14ac:dyDescent="0.3">
      <c r="A341" s="40">
        <v>11</v>
      </c>
      <c r="B341" s="102" t="s">
        <v>379</v>
      </c>
      <c r="C341" s="40">
        <v>1</v>
      </c>
      <c r="D341" s="41">
        <v>71.5</v>
      </c>
      <c r="E341" s="40">
        <v>50</v>
      </c>
      <c r="F341" s="68">
        <f t="shared" si="33"/>
        <v>3575</v>
      </c>
      <c r="G341" s="55">
        <v>0.5</v>
      </c>
      <c r="H341" s="42">
        <f t="shared" si="34"/>
        <v>1787.5</v>
      </c>
    </row>
    <row r="342" spans="1:8" ht="28.8" x14ac:dyDescent="0.3">
      <c r="A342" s="40">
        <v>5</v>
      </c>
      <c r="B342" s="66" t="s">
        <v>1303</v>
      </c>
      <c r="C342" s="51">
        <v>1</v>
      </c>
      <c r="D342" s="112">
        <f>103.1*4</f>
        <v>412.4</v>
      </c>
      <c r="E342" s="51">
        <v>22</v>
      </c>
      <c r="F342" s="68">
        <f t="shared" si="33"/>
        <v>9072.7999999999993</v>
      </c>
      <c r="G342" s="55">
        <v>0.5</v>
      </c>
      <c r="H342" s="42">
        <f t="shared" si="34"/>
        <v>4536.3999999999996</v>
      </c>
    </row>
    <row r="343" spans="1:8" x14ac:dyDescent="0.3">
      <c r="A343" s="40"/>
      <c r="B343" s="103" t="s">
        <v>318</v>
      </c>
      <c r="C343" s="40"/>
      <c r="D343" s="41"/>
      <c r="E343" s="40"/>
      <c r="F343" s="68"/>
      <c r="G343" s="55"/>
      <c r="H343" s="58">
        <f>SUM(H329:H342)</f>
        <v>633015.15</v>
      </c>
    </row>
    <row r="344" spans="1:8" x14ac:dyDescent="0.3">
      <c r="A344" s="40">
        <v>6</v>
      </c>
      <c r="B344" s="103" t="s">
        <v>8</v>
      </c>
      <c r="C344" s="40">
        <v>1</v>
      </c>
      <c r="D344" s="41">
        <v>10757</v>
      </c>
      <c r="E344" s="40">
        <v>8</v>
      </c>
      <c r="F344" s="68">
        <f>(10000*E344)+(757*E344*0.75)</f>
        <v>84542</v>
      </c>
      <c r="G344" s="55">
        <v>0</v>
      </c>
      <c r="H344" s="58">
        <f>F344*(1-G344)</f>
        <v>84542</v>
      </c>
    </row>
    <row r="345" spans="1:8" x14ac:dyDescent="0.3">
      <c r="A345" s="40"/>
      <c r="B345" s="120" t="s">
        <v>9</v>
      </c>
      <c r="C345" s="109"/>
      <c r="D345" s="121"/>
      <c r="E345" s="109"/>
      <c r="F345" s="122"/>
      <c r="G345" s="109"/>
      <c r="H345" s="106">
        <f>H344+H343</f>
        <v>717557.15</v>
      </c>
    </row>
    <row r="346" spans="1:8" x14ac:dyDescent="0.3">
      <c r="A346" s="40"/>
      <c r="B346" s="120"/>
      <c r="C346" s="109"/>
      <c r="D346" s="121"/>
      <c r="E346" s="109"/>
      <c r="F346" s="122"/>
      <c r="G346" s="109"/>
      <c r="H346" s="106"/>
    </row>
    <row r="347" spans="1:8" ht="43.2" x14ac:dyDescent="0.3">
      <c r="A347" s="47"/>
      <c r="B347" s="95">
        <v>889</v>
      </c>
      <c r="C347" s="47" t="s">
        <v>380</v>
      </c>
      <c r="D347" s="96"/>
      <c r="E347" s="79" t="s">
        <v>381</v>
      </c>
      <c r="F347" s="97"/>
      <c r="G347" s="47"/>
      <c r="H347" s="98"/>
    </row>
    <row r="348" spans="1:8" x14ac:dyDescent="0.3">
      <c r="A348" s="40"/>
      <c r="B348" s="120" t="s">
        <v>328</v>
      </c>
      <c r="C348" s="107" t="s">
        <v>1</v>
      </c>
      <c r="D348" s="121" t="s">
        <v>2</v>
      </c>
      <c r="E348" s="109" t="s">
        <v>309</v>
      </c>
      <c r="F348" s="122" t="s">
        <v>4</v>
      </c>
      <c r="G348" s="109" t="s">
        <v>5</v>
      </c>
      <c r="H348" s="106" t="s">
        <v>6</v>
      </c>
    </row>
    <row r="349" spans="1:8" ht="100.8" x14ac:dyDescent="0.3">
      <c r="A349" s="40">
        <v>1</v>
      </c>
      <c r="B349" s="102" t="s">
        <v>1394</v>
      </c>
      <c r="C349" s="40">
        <v>1</v>
      </c>
      <c r="D349" s="41">
        <v>1111</v>
      </c>
      <c r="E349" s="40">
        <v>450</v>
      </c>
      <c r="F349" s="68">
        <f t="shared" ref="F349:F359" si="35">D349*E349</f>
        <v>499950</v>
      </c>
      <c r="G349" s="55">
        <v>0.5</v>
      </c>
      <c r="H349" s="52">
        <f t="shared" ref="H349:H361" si="36">F349*(1-G349)</f>
        <v>249975</v>
      </c>
    </row>
    <row r="350" spans="1:8" ht="72" x14ac:dyDescent="0.3">
      <c r="A350" s="40">
        <v>2</v>
      </c>
      <c r="B350" s="64" t="s">
        <v>382</v>
      </c>
      <c r="C350" s="40">
        <v>1</v>
      </c>
      <c r="D350" s="41">
        <v>70</v>
      </c>
      <c r="E350" s="40">
        <v>300</v>
      </c>
      <c r="F350" s="68">
        <f t="shared" si="35"/>
        <v>21000</v>
      </c>
      <c r="G350" s="55">
        <v>0.5</v>
      </c>
      <c r="H350" s="52">
        <f t="shared" si="36"/>
        <v>10500</v>
      </c>
    </row>
    <row r="351" spans="1:8" ht="86.4" x14ac:dyDescent="0.3">
      <c r="A351" s="40">
        <v>3</v>
      </c>
      <c r="B351" s="64" t="s">
        <v>383</v>
      </c>
      <c r="C351" s="40">
        <v>1</v>
      </c>
      <c r="D351" s="41">
        <v>168</v>
      </c>
      <c r="E351" s="40">
        <v>300</v>
      </c>
      <c r="F351" s="68">
        <f t="shared" si="35"/>
        <v>50400</v>
      </c>
      <c r="G351" s="55">
        <v>0.7</v>
      </c>
      <c r="H351" s="52">
        <f t="shared" si="36"/>
        <v>15120.000000000002</v>
      </c>
    </row>
    <row r="352" spans="1:8" ht="57.6" x14ac:dyDescent="0.3">
      <c r="A352" s="40">
        <v>4</v>
      </c>
      <c r="B352" s="64" t="s">
        <v>384</v>
      </c>
      <c r="C352" s="40">
        <v>1</v>
      </c>
      <c r="D352" s="41">
        <v>112.65</v>
      </c>
      <c r="E352" s="40">
        <v>250</v>
      </c>
      <c r="F352" s="68">
        <f t="shared" si="35"/>
        <v>28162.5</v>
      </c>
      <c r="G352" s="55">
        <v>0.6</v>
      </c>
      <c r="H352" s="52">
        <f t="shared" si="36"/>
        <v>11265</v>
      </c>
    </row>
    <row r="353" spans="1:8" ht="72" x14ac:dyDescent="0.3">
      <c r="A353" s="40">
        <v>5</v>
      </c>
      <c r="B353" s="102" t="s">
        <v>385</v>
      </c>
      <c r="C353" s="40">
        <v>1</v>
      </c>
      <c r="D353" s="41">
        <v>161</v>
      </c>
      <c r="E353" s="40">
        <v>300</v>
      </c>
      <c r="F353" s="68">
        <f t="shared" si="35"/>
        <v>48300</v>
      </c>
      <c r="G353" s="55">
        <v>0.5</v>
      </c>
      <c r="H353" s="52">
        <f t="shared" si="36"/>
        <v>24150</v>
      </c>
    </row>
    <row r="354" spans="1:8" ht="86.4" x14ac:dyDescent="0.3">
      <c r="A354" s="40">
        <v>6</v>
      </c>
      <c r="B354" s="66" t="s">
        <v>1415</v>
      </c>
      <c r="C354" s="51">
        <v>1</v>
      </c>
      <c r="D354" s="112">
        <v>230</v>
      </c>
      <c r="E354" s="51">
        <v>300</v>
      </c>
      <c r="F354" s="65">
        <f t="shared" si="35"/>
        <v>69000</v>
      </c>
      <c r="G354" s="74">
        <v>0.5</v>
      </c>
      <c r="H354" s="52">
        <f t="shared" si="36"/>
        <v>34500</v>
      </c>
    </row>
    <row r="355" spans="1:8" ht="43.2" x14ac:dyDescent="0.3">
      <c r="A355" s="40">
        <v>7</v>
      </c>
      <c r="B355" s="66" t="s">
        <v>386</v>
      </c>
      <c r="C355" s="51">
        <v>1</v>
      </c>
      <c r="D355" s="112">
        <v>10.5</v>
      </c>
      <c r="E355" s="51">
        <v>50</v>
      </c>
      <c r="F355" s="65">
        <f t="shared" si="35"/>
        <v>525</v>
      </c>
      <c r="G355" s="74">
        <v>0.5</v>
      </c>
      <c r="H355" s="52">
        <f t="shared" si="36"/>
        <v>262.5</v>
      </c>
    </row>
    <row r="356" spans="1:8" ht="57.6" x14ac:dyDescent="0.3">
      <c r="A356" s="40">
        <v>8</v>
      </c>
      <c r="B356" s="66" t="s">
        <v>387</v>
      </c>
      <c r="C356" s="51">
        <v>1</v>
      </c>
      <c r="D356" s="112">
        <v>16.8</v>
      </c>
      <c r="E356" s="51">
        <v>100</v>
      </c>
      <c r="F356" s="65">
        <f t="shared" si="35"/>
        <v>1680</v>
      </c>
      <c r="G356" s="74">
        <v>0.5</v>
      </c>
      <c r="H356" s="52">
        <f t="shared" si="36"/>
        <v>840</v>
      </c>
    </row>
    <row r="357" spans="1:8" ht="43.2" x14ac:dyDescent="0.3">
      <c r="A357" s="40">
        <v>9</v>
      </c>
      <c r="B357" s="66" t="s">
        <v>388</v>
      </c>
      <c r="C357" s="51">
        <v>1</v>
      </c>
      <c r="D357" s="112">
        <v>76.8</v>
      </c>
      <c r="E357" s="51">
        <v>80</v>
      </c>
      <c r="F357" s="65">
        <f t="shared" si="35"/>
        <v>6144</v>
      </c>
      <c r="G357" s="74">
        <v>0.5</v>
      </c>
      <c r="H357" s="52">
        <f t="shared" si="36"/>
        <v>3072</v>
      </c>
    </row>
    <row r="358" spans="1:8" ht="57.6" x14ac:dyDescent="0.3">
      <c r="A358" s="40">
        <v>10</v>
      </c>
      <c r="B358" s="66" t="s">
        <v>389</v>
      </c>
      <c r="C358" s="51">
        <v>2</v>
      </c>
      <c r="D358" s="112">
        <v>10</v>
      </c>
      <c r="E358" s="51">
        <v>100</v>
      </c>
      <c r="F358" s="65">
        <f t="shared" si="35"/>
        <v>1000</v>
      </c>
      <c r="G358" s="74">
        <v>0.5</v>
      </c>
      <c r="H358" s="52">
        <f t="shared" si="36"/>
        <v>500</v>
      </c>
    </row>
    <row r="359" spans="1:8" ht="28.8" x14ac:dyDescent="0.3">
      <c r="A359" s="40">
        <v>11</v>
      </c>
      <c r="B359" s="66" t="s">
        <v>1416</v>
      </c>
      <c r="C359" s="51">
        <v>1</v>
      </c>
      <c r="D359" s="112">
        <f>122.36*4</f>
        <v>489.44</v>
      </c>
      <c r="E359" s="51">
        <v>22</v>
      </c>
      <c r="F359" s="65">
        <f t="shared" si="35"/>
        <v>10767.68</v>
      </c>
      <c r="G359" s="74">
        <v>0.5</v>
      </c>
      <c r="H359" s="52">
        <f t="shared" si="36"/>
        <v>5383.84</v>
      </c>
    </row>
    <row r="360" spans="1:8" x14ac:dyDescent="0.3">
      <c r="A360" s="40"/>
      <c r="B360" s="103" t="s">
        <v>318</v>
      </c>
      <c r="C360" s="40"/>
      <c r="D360" s="41"/>
      <c r="E360" s="40"/>
      <c r="F360" s="68"/>
      <c r="G360" s="55"/>
      <c r="H360" s="106">
        <f>SUM(H349:H359)</f>
        <v>355568.34</v>
      </c>
    </row>
    <row r="361" spans="1:8" x14ac:dyDescent="0.3">
      <c r="A361" s="40">
        <v>12</v>
      </c>
      <c r="B361" s="103" t="s">
        <v>325</v>
      </c>
      <c r="C361" s="40">
        <v>1</v>
      </c>
      <c r="D361" s="41">
        <v>14973</v>
      </c>
      <c r="E361" s="40">
        <v>8</v>
      </c>
      <c r="F361" s="68">
        <f>(10000*E361)+(4973*E361*0.75)</f>
        <v>109838</v>
      </c>
      <c r="G361" s="74">
        <v>0</v>
      </c>
      <c r="H361" s="52">
        <f t="shared" si="36"/>
        <v>109838</v>
      </c>
    </row>
    <row r="362" spans="1:8" x14ac:dyDescent="0.3">
      <c r="A362" s="40"/>
      <c r="B362" s="103" t="s">
        <v>9</v>
      </c>
      <c r="C362" s="40"/>
      <c r="D362" s="41"/>
      <c r="E362" s="40"/>
      <c r="F362" s="68"/>
      <c r="G362" s="55"/>
      <c r="H362" s="106">
        <f>H360+H361</f>
        <v>465406.34</v>
      </c>
    </row>
    <row r="363" spans="1:8" x14ac:dyDescent="0.3">
      <c r="A363" s="43"/>
      <c r="B363" s="62">
        <v>890</v>
      </c>
      <c r="C363" s="44" t="s">
        <v>391</v>
      </c>
      <c r="D363" s="45"/>
      <c r="E363" s="44" t="s">
        <v>392</v>
      </c>
      <c r="F363" s="63"/>
      <c r="G363" s="60"/>
      <c r="H363" s="48"/>
    </row>
    <row r="364" spans="1:8" s="3" customFormat="1" x14ac:dyDescent="0.3">
      <c r="A364" s="127"/>
      <c r="B364" s="128" t="s">
        <v>0</v>
      </c>
      <c r="C364" s="129" t="s">
        <v>1</v>
      </c>
      <c r="D364" s="130" t="s">
        <v>2</v>
      </c>
      <c r="E364" s="131" t="s">
        <v>3</v>
      </c>
      <c r="F364" s="132" t="s">
        <v>4</v>
      </c>
      <c r="G364" s="131" t="s">
        <v>5</v>
      </c>
      <c r="H364" s="118" t="s">
        <v>6</v>
      </c>
    </row>
    <row r="365" spans="1:8" ht="72" x14ac:dyDescent="0.3">
      <c r="A365" s="113">
        <v>1</v>
      </c>
      <c r="B365" s="66" t="s">
        <v>1417</v>
      </c>
      <c r="C365" s="113">
        <v>1</v>
      </c>
      <c r="D365" s="133">
        <v>457.5</v>
      </c>
      <c r="E365" s="113">
        <v>300</v>
      </c>
      <c r="F365" s="134">
        <f>D365*E365</f>
        <v>137250</v>
      </c>
      <c r="G365" s="135">
        <v>0.5</v>
      </c>
      <c r="H365" s="136">
        <f t="shared" ref="H365:H376" si="37">F365*(1-G365)</f>
        <v>68625</v>
      </c>
    </row>
    <row r="366" spans="1:8" ht="72" x14ac:dyDescent="0.3">
      <c r="A366" s="113">
        <v>2</v>
      </c>
      <c r="B366" s="66" t="s">
        <v>1395</v>
      </c>
      <c r="C366" s="113">
        <v>1</v>
      </c>
      <c r="D366" s="133">
        <v>416</v>
      </c>
      <c r="E366" s="113">
        <v>300</v>
      </c>
      <c r="F366" s="134">
        <f t="shared" ref="F366:F374" si="38">C366*D366*E366</f>
        <v>124800</v>
      </c>
      <c r="G366" s="135">
        <v>0.5</v>
      </c>
      <c r="H366" s="136">
        <f t="shared" si="37"/>
        <v>62400</v>
      </c>
    </row>
    <row r="367" spans="1:8" ht="72" x14ac:dyDescent="0.3">
      <c r="A367" s="113">
        <v>3</v>
      </c>
      <c r="B367" s="66" t="s">
        <v>1418</v>
      </c>
      <c r="C367" s="113">
        <v>1</v>
      </c>
      <c r="D367" s="133">
        <v>171</v>
      </c>
      <c r="E367" s="113">
        <v>300</v>
      </c>
      <c r="F367" s="134">
        <f t="shared" si="38"/>
        <v>51300</v>
      </c>
      <c r="G367" s="135">
        <v>0.5</v>
      </c>
      <c r="H367" s="136">
        <f t="shared" si="37"/>
        <v>25650</v>
      </c>
    </row>
    <row r="368" spans="1:8" ht="86.4" x14ac:dyDescent="0.3">
      <c r="A368" s="113">
        <v>4</v>
      </c>
      <c r="B368" s="66" t="s">
        <v>393</v>
      </c>
      <c r="C368" s="113">
        <v>1</v>
      </c>
      <c r="D368" s="133">
        <v>158</v>
      </c>
      <c r="E368" s="113">
        <v>400</v>
      </c>
      <c r="F368" s="134">
        <f t="shared" si="38"/>
        <v>63200</v>
      </c>
      <c r="G368" s="135">
        <v>0.5</v>
      </c>
      <c r="H368" s="136">
        <f t="shared" si="37"/>
        <v>31600</v>
      </c>
    </row>
    <row r="369" spans="1:8" ht="72" x14ac:dyDescent="0.3">
      <c r="A369" s="113">
        <v>5</v>
      </c>
      <c r="B369" s="66" t="s">
        <v>1396</v>
      </c>
      <c r="C369" s="113">
        <v>1</v>
      </c>
      <c r="D369" s="133">
        <v>270</v>
      </c>
      <c r="E369" s="113">
        <v>350</v>
      </c>
      <c r="F369" s="134">
        <f t="shared" si="38"/>
        <v>94500</v>
      </c>
      <c r="G369" s="135">
        <v>0.5</v>
      </c>
      <c r="H369" s="136">
        <f t="shared" si="37"/>
        <v>47250</v>
      </c>
    </row>
    <row r="370" spans="1:8" ht="57.6" x14ac:dyDescent="0.3">
      <c r="A370" s="113">
        <v>6</v>
      </c>
      <c r="B370" s="66" t="s">
        <v>394</v>
      </c>
      <c r="C370" s="113">
        <v>1</v>
      </c>
      <c r="D370" s="133">
        <v>52</v>
      </c>
      <c r="E370" s="113">
        <v>250</v>
      </c>
      <c r="F370" s="134">
        <f t="shared" si="38"/>
        <v>13000</v>
      </c>
      <c r="G370" s="135">
        <v>0.5</v>
      </c>
      <c r="H370" s="136">
        <f t="shared" si="37"/>
        <v>6500</v>
      </c>
    </row>
    <row r="371" spans="1:8" ht="72" x14ac:dyDescent="0.3">
      <c r="A371" s="113">
        <v>7</v>
      </c>
      <c r="B371" s="66" t="s">
        <v>374</v>
      </c>
      <c r="C371" s="113">
        <v>1</v>
      </c>
      <c r="D371" s="133">
        <v>64</v>
      </c>
      <c r="E371" s="113">
        <v>200</v>
      </c>
      <c r="F371" s="134">
        <f t="shared" si="38"/>
        <v>12800</v>
      </c>
      <c r="G371" s="135">
        <v>0.5</v>
      </c>
      <c r="H371" s="136">
        <f t="shared" si="37"/>
        <v>6400</v>
      </c>
    </row>
    <row r="372" spans="1:8" ht="72" x14ac:dyDescent="0.3">
      <c r="A372" s="113">
        <v>8</v>
      </c>
      <c r="B372" s="66" t="s">
        <v>395</v>
      </c>
      <c r="C372" s="113">
        <v>1</v>
      </c>
      <c r="D372" s="133">
        <v>430</v>
      </c>
      <c r="E372" s="113">
        <v>150</v>
      </c>
      <c r="F372" s="134">
        <f t="shared" si="38"/>
        <v>64500</v>
      </c>
      <c r="G372" s="135">
        <v>0.5</v>
      </c>
      <c r="H372" s="136">
        <f t="shared" si="37"/>
        <v>32250</v>
      </c>
    </row>
    <row r="373" spans="1:8" ht="57.6" x14ac:dyDescent="0.3">
      <c r="A373" s="113">
        <v>9</v>
      </c>
      <c r="B373" s="66" t="s">
        <v>396</v>
      </c>
      <c r="C373" s="113">
        <v>1</v>
      </c>
      <c r="D373" s="133">
        <v>4</v>
      </c>
      <c r="E373" s="113">
        <v>100</v>
      </c>
      <c r="F373" s="134">
        <f t="shared" si="38"/>
        <v>400</v>
      </c>
      <c r="G373" s="135">
        <v>0.5</v>
      </c>
      <c r="H373" s="136">
        <f t="shared" si="37"/>
        <v>200</v>
      </c>
    </row>
    <row r="374" spans="1:8" ht="28.8" x14ac:dyDescent="0.3">
      <c r="A374" s="113">
        <v>10</v>
      </c>
      <c r="B374" s="66" t="s">
        <v>1419</v>
      </c>
      <c r="C374" s="113">
        <v>1</v>
      </c>
      <c r="D374" s="133">
        <f>111.5*4</f>
        <v>446</v>
      </c>
      <c r="E374" s="113">
        <v>22</v>
      </c>
      <c r="F374" s="134">
        <f t="shared" si="38"/>
        <v>9812</v>
      </c>
      <c r="G374" s="135">
        <v>0.5</v>
      </c>
      <c r="H374" s="136">
        <f t="shared" si="37"/>
        <v>4906</v>
      </c>
    </row>
    <row r="375" spans="1:8" x14ac:dyDescent="0.3">
      <c r="A375" s="113"/>
      <c r="B375" s="70" t="s">
        <v>7</v>
      </c>
      <c r="C375" s="40"/>
      <c r="D375" s="54"/>
      <c r="E375" s="40"/>
      <c r="F375" s="68"/>
      <c r="G375" s="55"/>
      <c r="H375" s="58">
        <f>SUM(H365:H374)</f>
        <v>285781</v>
      </c>
    </row>
    <row r="376" spans="1:8" x14ac:dyDescent="0.3">
      <c r="A376" s="113">
        <v>11</v>
      </c>
      <c r="B376" s="70" t="s">
        <v>8</v>
      </c>
      <c r="C376" s="40">
        <v>1</v>
      </c>
      <c r="D376" s="54">
        <v>12424</v>
      </c>
      <c r="E376" s="40">
        <v>8</v>
      </c>
      <c r="F376" s="68">
        <f>(10000*E376)+(2424*E376*0.75)</f>
        <v>94544</v>
      </c>
      <c r="G376" s="55">
        <v>0</v>
      </c>
      <c r="H376" s="136">
        <f t="shared" si="37"/>
        <v>94544</v>
      </c>
    </row>
    <row r="377" spans="1:8" x14ac:dyDescent="0.3">
      <c r="A377" s="115"/>
      <c r="B377" s="70" t="s">
        <v>9</v>
      </c>
      <c r="C377" s="39"/>
      <c r="D377" s="59"/>
      <c r="E377" s="39"/>
      <c r="F377" s="71"/>
      <c r="G377" s="39"/>
      <c r="H377" s="58">
        <f>H375+H376</f>
        <v>380325</v>
      </c>
    </row>
    <row r="378" spans="1:8" x14ac:dyDescent="0.3">
      <c r="A378" s="40"/>
      <c r="B378" s="40"/>
      <c r="C378" s="40"/>
      <c r="D378" s="41"/>
      <c r="E378" s="40"/>
      <c r="F378" s="40"/>
      <c r="G378" s="40"/>
      <c r="H378" s="42"/>
    </row>
    <row r="379" spans="1:8" x14ac:dyDescent="0.3">
      <c r="A379" s="137"/>
      <c r="B379" s="78" t="s">
        <v>1101</v>
      </c>
      <c r="C379" s="47" t="s">
        <v>1102</v>
      </c>
      <c r="D379" s="138"/>
      <c r="E379" s="47" t="s">
        <v>1103</v>
      </c>
      <c r="F379" s="60"/>
      <c r="G379" s="60"/>
      <c r="H379" s="48"/>
    </row>
    <row r="380" spans="1:8" s="3" customFormat="1" x14ac:dyDescent="0.3">
      <c r="A380" s="39"/>
      <c r="B380" s="107" t="s">
        <v>10</v>
      </c>
      <c r="C380" s="107" t="s">
        <v>1</v>
      </c>
      <c r="D380" s="108" t="s">
        <v>2</v>
      </c>
      <c r="E380" s="109" t="s">
        <v>3</v>
      </c>
      <c r="F380" s="109" t="s">
        <v>4</v>
      </c>
      <c r="G380" s="109" t="s">
        <v>5</v>
      </c>
      <c r="H380" s="106" t="s">
        <v>6</v>
      </c>
    </row>
    <row r="381" spans="1:8" ht="129.6" x14ac:dyDescent="0.3">
      <c r="A381" s="53">
        <v>1</v>
      </c>
      <c r="B381" s="53" t="s">
        <v>1705</v>
      </c>
      <c r="C381" s="40">
        <v>1</v>
      </c>
      <c r="D381" s="91">
        <v>158.27000000000001</v>
      </c>
      <c r="E381" s="40">
        <v>450</v>
      </c>
      <c r="F381" s="40">
        <f t="shared" ref="F381:F386" si="39">C381*D381*E381</f>
        <v>71221.5</v>
      </c>
      <c r="G381" s="55">
        <v>0.3</v>
      </c>
      <c r="H381" s="42">
        <f t="shared" ref="H381:H386" si="40">F381*(1-G381)</f>
        <v>49855.049999999996</v>
      </c>
    </row>
    <row r="382" spans="1:8" ht="100.8" x14ac:dyDescent="0.3">
      <c r="A382" s="53">
        <v>2</v>
      </c>
      <c r="B382" s="53" t="s">
        <v>1706</v>
      </c>
      <c r="C382" s="40">
        <v>1</v>
      </c>
      <c r="D382" s="91">
        <v>1645.84</v>
      </c>
      <c r="E382" s="40">
        <v>300</v>
      </c>
      <c r="F382" s="40">
        <f t="shared" si="39"/>
        <v>493752</v>
      </c>
      <c r="G382" s="55">
        <v>0.4</v>
      </c>
      <c r="H382" s="42">
        <f t="shared" si="40"/>
        <v>296251.2</v>
      </c>
    </row>
    <row r="383" spans="1:8" ht="129.6" x14ac:dyDescent="0.3">
      <c r="A383" s="53">
        <v>3</v>
      </c>
      <c r="B383" s="53" t="s">
        <v>1707</v>
      </c>
      <c r="C383" s="40">
        <v>1</v>
      </c>
      <c r="D383" s="91">
        <v>2818.11</v>
      </c>
      <c r="E383" s="40">
        <v>550</v>
      </c>
      <c r="F383" s="40">
        <f t="shared" si="39"/>
        <v>1549960.5</v>
      </c>
      <c r="G383" s="55">
        <v>0.5</v>
      </c>
      <c r="H383" s="42">
        <f t="shared" si="40"/>
        <v>774980.25</v>
      </c>
    </row>
    <row r="384" spans="1:8" ht="100.8" x14ac:dyDescent="0.3">
      <c r="A384" s="53">
        <v>4</v>
      </c>
      <c r="B384" s="53" t="s">
        <v>1507</v>
      </c>
      <c r="C384" s="40">
        <v>1</v>
      </c>
      <c r="D384" s="91">
        <v>44.1</v>
      </c>
      <c r="E384" s="40">
        <v>200</v>
      </c>
      <c r="F384" s="40">
        <f t="shared" si="39"/>
        <v>8820</v>
      </c>
      <c r="G384" s="55">
        <v>0.5</v>
      </c>
      <c r="H384" s="42">
        <f t="shared" si="40"/>
        <v>4410</v>
      </c>
    </row>
    <row r="385" spans="1:8" ht="28.8" x14ac:dyDescent="0.3">
      <c r="A385" s="53">
        <v>5</v>
      </c>
      <c r="B385" s="53" t="s">
        <v>1104</v>
      </c>
      <c r="C385" s="40">
        <v>1</v>
      </c>
      <c r="D385" s="91">
        <v>33.57</v>
      </c>
      <c r="E385" s="40">
        <v>22</v>
      </c>
      <c r="F385" s="40">
        <f t="shared" si="39"/>
        <v>738.54</v>
      </c>
      <c r="G385" s="55">
        <v>0.4</v>
      </c>
      <c r="H385" s="42">
        <f t="shared" si="40"/>
        <v>443.12399999999997</v>
      </c>
    </row>
    <row r="386" spans="1:8" ht="28.8" x14ac:dyDescent="0.3">
      <c r="A386" s="53">
        <v>6</v>
      </c>
      <c r="B386" s="53" t="s">
        <v>1457</v>
      </c>
      <c r="C386" s="40">
        <v>1</v>
      </c>
      <c r="D386" s="91">
        <f>D385*3</f>
        <v>100.71000000000001</v>
      </c>
      <c r="E386" s="40">
        <v>45</v>
      </c>
      <c r="F386" s="40">
        <f t="shared" si="39"/>
        <v>4531.9500000000007</v>
      </c>
      <c r="G386" s="55">
        <v>0.5</v>
      </c>
      <c r="H386" s="42">
        <f t="shared" si="40"/>
        <v>2265.9750000000004</v>
      </c>
    </row>
    <row r="387" spans="1:8" x14ac:dyDescent="0.3">
      <c r="A387" s="53"/>
      <c r="B387" s="57" t="s">
        <v>7</v>
      </c>
      <c r="C387" s="40"/>
      <c r="D387" s="54"/>
      <c r="E387" s="40"/>
      <c r="F387" s="40"/>
      <c r="G387" s="55"/>
      <c r="H387" s="58">
        <f>SUM(H381:H386)</f>
        <v>1128205.5990000002</v>
      </c>
    </row>
    <row r="388" spans="1:8" x14ac:dyDescent="0.3">
      <c r="A388" s="53">
        <v>7</v>
      </c>
      <c r="B388" s="57" t="s">
        <v>8</v>
      </c>
      <c r="C388" s="40">
        <v>1</v>
      </c>
      <c r="D388" s="54">
        <v>11127</v>
      </c>
      <c r="E388" s="40">
        <v>8</v>
      </c>
      <c r="F388" s="40">
        <f>10000*E388+1127*0.75*E388</f>
        <v>86762</v>
      </c>
      <c r="G388" s="55">
        <v>0</v>
      </c>
      <c r="H388" s="58">
        <f>(1-G388)*F388</f>
        <v>86762</v>
      </c>
    </row>
    <row r="389" spans="1:8" x14ac:dyDescent="0.3">
      <c r="A389" s="53"/>
      <c r="B389" s="57" t="s">
        <v>9</v>
      </c>
      <c r="C389" s="39"/>
      <c r="D389" s="59"/>
      <c r="E389" s="39"/>
      <c r="F389" s="39"/>
      <c r="G389" s="39"/>
      <c r="H389" s="58">
        <f>H387+H388</f>
        <v>1214967.5990000002</v>
      </c>
    </row>
    <row r="390" spans="1:8" x14ac:dyDescent="0.3">
      <c r="A390" s="137"/>
      <c r="B390" s="139" t="s">
        <v>1105</v>
      </c>
      <c r="C390" s="140" t="s">
        <v>1265</v>
      </c>
      <c r="D390" s="141"/>
      <c r="E390" s="140" t="s">
        <v>351</v>
      </c>
      <c r="F390" s="142"/>
      <c r="G390" s="142"/>
      <c r="H390" s="143"/>
    </row>
    <row r="391" spans="1:8" x14ac:dyDescent="0.3">
      <c r="A391" s="40"/>
      <c r="B391" s="49" t="s">
        <v>10</v>
      </c>
      <c r="C391" s="107" t="s">
        <v>1</v>
      </c>
      <c r="D391" s="50" t="s">
        <v>2</v>
      </c>
      <c r="E391" s="51" t="s">
        <v>3</v>
      </c>
      <c r="F391" s="51" t="s">
        <v>4</v>
      </c>
      <c r="G391" s="51" t="s">
        <v>5</v>
      </c>
      <c r="H391" s="52" t="s">
        <v>6</v>
      </c>
    </row>
    <row r="392" spans="1:8" ht="158.4" x14ac:dyDescent="0.3">
      <c r="A392" s="53">
        <v>1</v>
      </c>
      <c r="B392" s="53" t="s">
        <v>1708</v>
      </c>
      <c r="C392" s="40">
        <v>1</v>
      </c>
      <c r="D392" s="91">
        <v>1945.5</v>
      </c>
      <c r="E392" s="40">
        <v>850</v>
      </c>
      <c r="F392" s="40">
        <f>C392*D392*E392</f>
        <v>1653675</v>
      </c>
      <c r="G392" s="55">
        <v>0.6</v>
      </c>
      <c r="H392" s="42">
        <f t="shared" ref="H392:H402" si="41">F392*(1-G392)</f>
        <v>661470</v>
      </c>
    </row>
    <row r="393" spans="1:8" ht="57.6" x14ac:dyDescent="0.3">
      <c r="A393" s="53">
        <v>2</v>
      </c>
      <c r="B393" s="53" t="s">
        <v>1709</v>
      </c>
      <c r="C393" s="40">
        <v>1</v>
      </c>
      <c r="D393" s="91">
        <v>163.84</v>
      </c>
      <c r="E393" s="40">
        <v>300</v>
      </c>
      <c r="F393" s="40">
        <f t="shared" ref="F393:F402" si="42">C393*D393*E393</f>
        <v>49152</v>
      </c>
      <c r="G393" s="55">
        <v>0.4</v>
      </c>
      <c r="H393" s="42">
        <f t="shared" si="41"/>
        <v>29491.199999999997</v>
      </c>
    </row>
    <row r="394" spans="1:8" ht="72" x14ac:dyDescent="0.3">
      <c r="A394" s="53">
        <v>3</v>
      </c>
      <c r="B394" s="53" t="s">
        <v>1710</v>
      </c>
      <c r="C394" s="40">
        <v>1</v>
      </c>
      <c r="D394" s="91">
        <v>230.58</v>
      </c>
      <c r="E394" s="40">
        <v>400</v>
      </c>
      <c r="F394" s="40">
        <f t="shared" si="42"/>
        <v>92232</v>
      </c>
      <c r="G394" s="55">
        <v>0.5</v>
      </c>
      <c r="H394" s="42">
        <f t="shared" si="41"/>
        <v>46116</v>
      </c>
    </row>
    <row r="395" spans="1:8" ht="86.4" x14ac:dyDescent="0.3">
      <c r="A395" s="53">
        <v>4</v>
      </c>
      <c r="B395" s="53" t="s">
        <v>1711</v>
      </c>
      <c r="C395" s="40">
        <v>1</v>
      </c>
      <c r="D395" s="91">
        <v>29.7</v>
      </c>
      <c r="E395" s="40">
        <v>350</v>
      </c>
      <c r="F395" s="40">
        <f t="shared" si="42"/>
        <v>10395</v>
      </c>
      <c r="G395" s="55">
        <v>0.5</v>
      </c>
      <c r="H395" s="42">
        <f t="shared" si="41"/>
        <v>5197.5</v>
      </c>
    </row>
    <row r="396" spans="1:8" ht="72" x14ac:dyDescent="0.3">
      <c r="A396" s="53">
        <v>5</v>
      </c>
      <c r="B396" s="53" t="s">
        <v>1712</v>
      </c>
      <c r="C396" s="40">
        <v>1</v>
      </c>
      <c r="D396" s="91">
        <v>11.88</v>
      </c>
      <c r="E396" s="40">
        <v>100</v>
      </c>
      <c r="F396" s="40">
        <f t="shared" si="42"/>
        <v>1188</v>
      </c>
      <c r="G396" s="55">
        <v>0.4</v>
      </c>
      <c r="H396" s="42">
        <f t="shared" si="41"/>
        <v>712.8</v>
      </c>
    </row>
    <row r="397" spans="1:8" ht="72" x14ac:dyDescent="0.3">
      <c r="A397" s="53">
        <v>6</v>
      </c>
      <c r="B397" s="53" t="s">
        <v>1713</v>
      </c>
      <c r="C397" s="40">
        <v>1</v>
      </c>
      <c r="D397" s="91">
        <v>21.6</v>
      </c>
      <c r="E397" s="40">
        <v>100</v>
      </c>
      <c r="F397" s="40">
        <f t="shared" si="42"/>
        <v>2160</v>
      </c>
      <c r="G397" s="55">
        <v>0.4</v>
      </c>
      <c r="H397" s="42">
        <f t="shared" si="41"/>
        <v>1296</v>
      </c>
    </row>
    <row r="398" spans="1:8" ht="57.6" x14ac:dyDescent="0.3">
      <c r="A398" s="53">
        <v>7</v>
      </c>
      <c r="B398" s="53" t="s">
        <v>1327</v>
      </c>
      <c r="C398" s="40">
        <v>1</v>
      </c>
      <c r="D398" s="91">
        <v>81.900000000000006</v>
      </c>
      <c r="E398" s="40">
        <v>80</v>
      </c>
      <c r="F398" s="40">
        <f t="shared" si="42"/>
        <v>6552</v>
      </c>
      <c r="G398" s="55">
        <v>0.5</v>
      </c>
      <c r="H398" s="42">
        <f t="shared" si="41"/>
        <v>3276</v>
      </c>
    </row>
    <row r="399" spans="1:8" ht="57.6" x14ac:dyDescent="0.3">
      <c r="A399" s="53">
        <v>8</v>
      </c>
      <c r="B399" s="53" t="s">
        <v>1328</v>
      </c>
      <c r="C399" s="40">
        <v>1</v>
      </c>
      <c r="D399" s="91">
        <v>85.5</v>
      </c>
      <c r="E399" s="40">
        <v>80</v>
      </c>
      <c r="F399" s="40">
        <f t="shared" si="42"/>
        <v>6840</v>
      </c>
      <c r="G399" s="55">
        <v>0.5</v>
      </c>
      <c r="H399" s="42">
        <f t="shared" si="41"/>
        <v>3420</v>
      </c>
    </row>
    <row r="400" spans="1:8" ht="57.6" x14ac:dyDescent="0.3">
      <c r="A400" s="53">
        <v>9</v>
      </c>
      <c r="B400" s="53" t="s">
        <v>1329</v>
      </c>
      <c r="C400" s="40">
        <v>1</v>
      </c>
      <c r="D400" s="91">
        <v>49.95</v>
      </c>
      <c r="E400" s="40">
        <v>80</v>
      </c>
      <c r="F400" s="40">
        <f t="shared" si="42"/>
        <v>3996</v>
      </c>
      <c r="G400" s="55">
        <v>0.5</v>
      </c>
      <c r="H400" s="42">
        <f t="shared" si="41"/>
        <v>1998</v>
      </c>
    </row>
    <row r="401" spans="1:8" ht="86.4" x14ac:dyDescent="0.3">
      <c r="A401" s="53">
        <v>10</v>
      </c>
      <c r="B401" s="53" t="s">
        <v>1106</v>
      </c>
      <c r="C401" s="40">
        <v>1</v>
      </c>
      <c r="D401" s="91">
        <v>25.9</v>
      </c>
      <c r="E401" s="40">
        <v>100</v>
      </c>
      <c r="F401" s="40">
        <f t="shared" si="42"/>
        <v>2590</v>
      </c>
      <c r="G401" s="55">
        <v>0.6</v>
      </c>
      <c r="H401" s="42">
        <f t="shared" si="41"/>
        <v>1036</v>
      </c>
    </row>
    <row r="402" spans="1:8" ht="43.2" x14ac:dyDescent="0.3">
      <c r="A402" s="53">
        <v>11</v>
      </c>
      <c r="B402" s="53" t="s">
        <v>1107</v>
      </c>
      <c r="C402" s="40">
        <v>1</v>
      </c>
      <c r="D402" s="91">
        <v>475.5</v>
      </c>
      <c r="E402" s="40">
        <v>22</v>
      </c>
      <c r="F402" s="40">
        <f t="shared" si="42"/>
        <v>10461</v>
      </c>
      <c r="G402" s="55">
        <v>0.5</v>
      </c>
      <c r="H402" s="42">
        <f t="shared" si="41"/>
        <v>5230.5</v>
      </c>
    </row>
    <row r="403" spans="1:8" x14ac:dyDescent="0.3">
      <c r="A403" s="53"/>
      <c r="B403" s="57" t="s">
        <v>7</v>
      </c>
      <c r="C403" s="40"/>
      <c r="D403" s="54"/>
      <c r="E403" s="40"/>
      <c r="F403" s="40"/>
      <c r="G403" s="55"/>
      <c r="H403" s="58">
        <f>SUM(H392:H402)</f>
        <v>759244</v>
      </c>
    </row>
    <row r="404" spans="1:8" x14ac:dyDescent="0.3">
      <c r="A404" s="53">
        <v>12</v>
      </c>
      <c r="B404" s="57" t="s">
        <v>8</v>
      </c>
      <c r="C404" s="40">
        <v>1</v>
      </c>
      <c r="D404" s="54">
        <v>14130</v>
      </c>
      <c r="E404" s="40">
        <v>8</v>
      </c>
      <c r="F404" s="40">
        <f>(10000*5)+(4130*0.75*E404)</f>
        <v>74780</v>
      </c>
      <c r="G404" s="55">
        <v>0</v>
      </c>
      <c r="H404" s="58">
        <f>(1-G404)*F404</f>
        <v>74780</v>
      </c>
    </row>
    <row r="405" spans="1:8" x14ac:dyDescent="0.3">
      <c r="A405" s="53"/>
      <c r="B405" s="57" t="s">
        <v>9</v>
      </c>
      <c r="C405" s="39"/>
      <c r="D405" s="59"/>
      <c r="E405" s="39"/>
      <c r="F405" s="39"/>
      <c r="G405" s="39"/>
      <c r="H405" s="58">
        <f>H403+H404</f>
        <v>834024</v>
      </c>
    </row>
    <row r="406" spans="1:8" x14ac:dyDescent="0.3">
      <c r="A406" s="44"/>
      <c r="B406" s="86" t="s">
        <v>54</v>
      </c>
      <c r="C406" s="44" t="s">
        <v>55</v>
      </c>
      <c r="D406" s="73"/>
      <c r="E406" s="46" t="s">
        <v>56</v>
      </c>
      <c r="F406" s="47"/>
      <c r="G406" s="47"/>
      <c r="H406" s="98"/>
    </row>
    <row r="407" spans="1:8" x14ac:dyDescent="0.3">
      <c r="A407" s="39"/>
      <c r="B407" s="107" t="s">
        <v>0</v>
      </c>
      <c r="C407" s="107" t="s">
        <v>1</v>
      </c>
      <c r="D407" s="108" t="s">
        <v>2</v>
      </c>
      <c r="E407" s="109" t="s">
        <v>3</v>
      </c>
      <c r="F407" s="109" t="s">
        <v>4</v>
      </c>
      <c r="G407" s="109" t="s">
        <v>5</v>
      </c>
      <c r="H407" s="106" t="s">
        <v>6</v>
      </c>
    </row>
    <row r="408" spans="1:8" ht="57.6" x14ac:dyDescent="0.3">
      <c r="A408" s="40">
        <v>1</v>
      </c>
      <c r="B408" s="110" t="s">
        <v>57</v>
      </c>
      <c r="C408" s="40">
        <v>1</v>
      </c>
      <c r="D408" s="54">
        <f>6.1*3.3</f>
        <v>20.13</v>
      </c>
      <c r="E408" s="40">
        <v>250</v>
      </c>
      <c r="F408" s="40">
        <f t="shared" ref="F408:F414" si="43">C408*D408*E408</f>
        <v>5032.5</v>
      </c>
      <c r="G408" s="55">
        <v>0.5</v>
      </c>
      <c r="H408" s="42">
        <f>F408*(1-G408)</f>
        <v>2516.25</v>
      </c>
    </row>
    <row r="409" spans="1:8" ht="57.6" x14ac:dyDescent="0.3">
      <c r="A409" s="40">
        <v>2</v>
      </c>
      <c r="B409" s="53" t="s">
        <v>58</v>
      </c>
      <c r="C409" s="40">
        <v>1</v>
      </c>
      <c r="D409" s="41">
        <v>30</v>
      </c>
      <c r="E409" s="40">
        <v>80</v>
      </c>
      <c r="F409" s="40">
        <f t="shared" si="43"/>
        <v>2400</v>
      </c>
      <c r="G409" s="55">
        <v>0.5</v>
      </c>
      <c r="H409" s="42">
        <f>(1-G409)*F409</f>
        <v>1200</v>
      </c>
    </row>
    <row r="410" spans="1:8" ht="57.6" x14ac:dyDescent="0.3">
      <c r="A410" s="40">
        <v>3</v>
      </c>
      <c r="B410" s="110" t="s">
        <v>59</v>
      </c>
      <c r="C410" s="40">
        <v>1</v>
      </c>
      <c r="D410" s="54">
        <f>(1.4*5.4)+(7.8*5.4)</f>
        <v>49.680000000000007</v>
      </c>
      <c r="E410" s="40">
        <v>150</v>
      </c>
      <c r="F410" s="40">
        <f t="shared" si="43"/>
        <v>7452.0000000000009</v>
      </c>
      <c r="G410" s="55">
        <v>0.5</v>
      </c>
      <c r="H410" s="42">
        <f>F410*(1-G410)</f>
        <v>3726.0000000000005</v>
      </c>
    </row>
    <row r="411" spans="1:8" ht="43.2" x14ac:dyDescent="0.3">
      <c r="A411" s="40">
        <v>4</v>
      </c>
      <c r="B411" s="110" t="s">
        <v>60</v>
      </c>
      <c r="C411" s="40">
        <v>1</v>
      </c>
      <c r="D411" s="54">
        <v>38.6</v>
      </c>
      <c r="E411" s="40">
        <v>100</v>
      </c>
      <c r="F411" s="40">
        <f t="shared" si="43"/>
        <v>3860</v>
      </c>
      <c r="G411" s="55">
        <v>0.5</v>
      </c>
      <c r="H411" s="42">
        <f>F411*(1-G411)</f>
        <v>1930</v>
      </c>
    </row>
    <row r="412" spans="1:8" ht="57.6" x14ac:dyDescent="0.3">
      <c r="A412" s="40">
        <v>5</v>
      </c>
      <c r="B412" s="110" t="s">
        <v>61</v>
      </c>
      <c r="C412" s="40">
        <v>1</v>
      </c>
      <c r="D412" s="54">
        <f>(3.5*1.5)+(4.5*3)+78</f>
        <v>96.75</v>
      </c>
      <c r="E412" s="40">
        <v>200</v>
      </c>
      <c r="F412" s="40">
        <f t="shared" si="43"/>
        <v>19350</v>
      </c>
      <c r="G412" s="55">
        <v>0.5</v>
      </c>
      <c r="H412" s="42">
        <f>F412*(1-G412)</f>
        <v>9675</v>
      </c>
    </row>
    <row r="413" spans="1:8" ht="57.6" x14ac:dyDescent="0.3">
      <c r="A413" s="40">
        <v>6</v>
      </c>
      <c r="B413" s="110" t="s">
        <v>45</v>
      </c>
      <c r="C413" s="40">
        <v>1</v>
      </c>
      <c r="D413" s="54">
        <f>3*6.3</f>
        <v>18.899999999999999</v>
      </c>
      <c r="E413" s="40">
        <v>200</v>
      </c>
      <c r="F413" s="40">
        <f t="shared" si="43"/>
        <v>3779.9999999999995</v>
      </c>
      <c r="G413" s="55">
        <v>0.5</v>
      </c>
      <c r="H413" s="42">
        <f>F413*(1-G413)</f>
        <v>1889.9999999999998</v>
      </c>
    </row>
    <row r="414" spans="1:8" x14ac:dyDescent="0.3">
      <c r="A414" s="53">
        <v>7</v>
      </c>
      <c r="B414" s="110" t="s">
        <v>16</v>
      </c>
      <c r="C414" s="40">
        <v>1</v>
      </c>
      <c r="D414" s="54">
        <v>731</v>
      </c>
      <c r="E414" s="40">
        <v>45</v>
      </c>
      <c r="F414" s="40">
        <f t="shared" si="43"/>
        <v>32895</v>
      </c>
      <c r="G414" s="74">
        <v>0.5</v>
      </c>
      <c r="H414" s="42">
        <f>F414*(1-G414)</f>
        <v>16447.5</v>
      </c>
    </row>
    <row r="415" spans="1:8" x14ac:dyDescent="0.3">
      <c r="A415" s="40"/>
      <c r="B415" s="57" t="s">
        <v>7</v>
      </c>
      <c r="C415" s="40"/>
      <c r="D415" s="54"/>
      <c r="E415" s="40"/>
      <c r="F415" s="40"/>
      <c r="G415" s="55"/>
      <c r="H415" s="58">
        <f>SUM(H408:H414)</f>
        <v>37384.75</v>
      </c>
    </row>
    <row r="416" spans="1:8" x14ac:dyDescent="0.3">
      <c r="A416" s="40">
        <v>8</v>
      </c>
      <c r="B416" s="57" t="s">
        <v>8</v>
      </c>
      <c r="C416" s="40">
        <v>1</v>
      </c>
      <c r="D416" s="54">
        <f>17807+13558+2023.5</f>
        <v>33388.5</v>
      </c>
      <c r="E416" s="40">
        <v>8</v>
      </c>
      <c r="F416" s="40">
        <f>10000*E416+10000*0.75*E416+10000*0.5*E416+3388.5*0.25*E416</f>
        <v>186777</v>
      </c>
      <c r="G416" s="55">
        <v>0</v>
      </c>
      <c r="H416" s="58">
        <f>(1-G416)*F416</f>
        <v>186777</v>
      </c>
    </row>
    <row r="417" spans="1:8" x14ac:dyDescent="0.3">
      <c r="A417" s="51"/>
      <c r="B417" s="57" t="s">
        <v>9</v>
      </c>
      <c r="C417" s="39"/>
      <c r="D417" s="59"/>
      <c r="E417" s="39"/>
      <c r="F417" s="39"/>
      <c r="G417" s="39"/>
      <c r="H417" s="58">
        <f>H415+H416</f>
        <v>224161.75</v>
      </c>
    </row>
    <row r="418" spans="1:8" x14ac:dyDescent="0.3">
      <c r="A418" s="40"/>
      <c r="B418" s="40"/>
      <c r="C418" s="40"/>
      <c r="D418" s="41"/>
      <c r="E418" s="40"/>
      <c r="F418" s="40"/>
      <c r="G418" s="40"/>
      <c r="H418" s="42"/>
    </row>
    <row r="419" spans="1:8" x14ac:dyDescent="0.3">
      <c r="A419" s="43"/>
      <c r="B419" s="86">
        <v>920</v>
      </c>
      <c r="C419" s="47" t="s">
        <v>1420</v>
      </c>
      <c r="D419" s="45"/>
      <c r="E419" s="44" t="s">
        <v>1931</v>
      </c>
      <c r="F419" s="60"/>
      <c r="G419" s="60"/>
      <c r="H419" s="48"/>
    </row>
    <row r="420" spans="1:8" x14ac:dyDescent="0.3">
      <c r="A420" s="39"/>
      <c r="B420" s="107" t="s">
        <v>0</v>
      </c>
      <c r="C420" s="107" t="s">
        <v>1</v>
      </c>
      <c r="D420" s="108" t="s">
        <v>2</v>
      </c>
      <c r="E420" s="109" t="s">
        <v>3</v>
      </c>
      <c r="F420" s="109" t="s">
        <v>4</v>
      </c>
      <c r="G420" s="109" t="s">
        <v>5</v>
      </c>
      <c r="H420" s="106" t="s">
        <v>6</v>
      </c>
    </row>
    <row r="421" spans="1:8" ht="72" x14ac:dyDescent="0.3">
      <c r="A421" s="40">
        <v>1</v>
      </c>
      <c r="B421" s="110" t="s">
        <v>1714</v>
      </c>
      <c r="C421" s="40">
        <v>1</v>
      </c>
      <c r="D421" s="54">
        <v>487.5</v>
      </c>
      <c r="E421" s="40">
        <v>400</v>
      </c>
      <c r="F421" s="40">
        <f>C421*D421*E421</f>
        <v>195000</v>
      </c>
      <c r="G421" s="55">
        <v>0.5</v>
      </c>
      <c r="H421" s="42">
        <f>F421*(1-G421)</f>
        <v>97500</v>
      </c>
    </row>
    <row r="422" spans="1:8" ht="72" x14ac:dyDescent="0.3">
      <c r="A422" s="40">
        <v>2</v>
      </c>
      <c r="B422" s="110" t="s">
        <v>1715</v>
      </c>
      <c r="C422" s="40">
        <v>1</v>
      </c>
      <c r="D422" s="54">
        <v>965.25</v>
      </c>
      <c r="E422" s="40">
        <v>400</v>
      </c>
      <c r="F422" s="40">
        <f>C422*D422*E422</f>
        <v>386100</v>
      </c>
      <c r="G422" s="55">
        <v>0.5</v>
      </c>
      <c r="H422" s="42">
        <f>F422*(1-G422)</f>
        <v>193050</v>
      </c>
    </row>
    <row r="423" spans="1:8" ht="43.2" x14ac:dyDescent="0.3">
      <c r="A423" s="40">
        <v>3</v>
      </c>
      <c r="B423" s="53" t="s">
        <v>1421</v>
      </c>
      <c r="C423" s="40">
        <v>1</v>
      </c>
      <c r="D423" s="41">
        <v>31.5</v>
      </c>
      <c r="E423" s="40">
        <v>50</v>
      </c>
      <c r="F423" s="40">
        <f>C423*D423*E423</f>
        <v>1575</v>
      </c>
      <c r="G423" s="55">
        <v>0.5</v>
      </c>
      <c r="H423" s="42">
        <f>(1-G423)*F423</f>
        <v>787.5</v>
      </c>
    </row>
    <row r="424" spans="1:8" ht="57.6" x14ac:dyDescent="0.3">
      <c r="A424" s="40">
        <v>4</v>
      </c>
      <c r="B424" s="110" t="s">
        <v>1422</v>
      </c>
      <c r="C424" s="40">
        <v>1</v>
      </c>
      <c r="D424" s="41">
        <v>44</v>
      </c>
      <c r="E424" s="40">
        <v>100</v>
      </c>
      <c r="F424" s="40">
        <f>C424*D424*E424</f>
        <v>4400</v>
      </c>
      <c r="G424" s="55">
        <v>0.65</v>
      </c>
      <c r="H424" s="42">
        <f>(1-G424)*F424</f>
        <v>1540</v>
      </c>
    </row>
    <row r="425" spans="1:8" x14ac:dyDescent="0.3">
      <c r="A425" s="53">
        <v>5</v>
      </c>
      <c r="B425" s="110" t="s">
        <v>16</v>
      </c>
      <c r="C425" s="40">
        <v>1</v>
      </c>
      <c r="D425" s="54">
        <v>180</v>
      </c>
      <c r="E425" s="40">
        <v>45</v>
      </c>
      <c r="F425" s="40">
        <f>C425*D425*E425</f>
        <v>8100</v>
      </c>
      <c r="G425" s="74">
        <v>0.5</v>
      </c>
      <c r="H425" s="42">
        <f>F425*(1-G425)</f>
        <v>4050</v>
      </c>
    </row>
    <row r="426" spans="1:8" x14ac:dyDescent="0.3">
      <c r="A426" s="40"/>
      <c r="B426" s="57" t="s">
        <v>7</v>
      </c>
      <c r="C426" s="40"/>
      <c r="D426" s="54"/>
      <c r="E426" s="40"/>
      <c r="F426" s="40"/>
      <c r="G426" s="55"/>
      <c r="H426" s="58">
        <f>SUM(H421:H425)</f>
        <v>296927.5</v>
      </c>
    </row>
    <row r="427" spans="1:8" x14ac:dyDescent="0.3">
      <c r="A427" s="40">
        <v>6</v>
      </c>
      <c r="B427" s="57" t="s">
        <v>8</v>
      </c>
      <c r="C427" s="40">
        <v>1</v>
      </c>
      <c r="D427" s="54">
        <v>5590</v>
      </c>
      <c r="E427" s="40">
        <v>8</v>
      </c>
      <c r="F427" s="40">
        <f>C427*D427*E427</f>
        <v>44720</v>
      </c>
      <c r="G427" s="55">
        <v>0</v>
      </c>
      <c r="H427" s="58">
        <f>(1-G427)*F427</f>
        <v>44720</v>
      </c>
    </row>
    <row r="428" spans="1:8" x14ac:dyDescent="0.3">
      <c r="A428" s="51"/>
      <c r="B428" s="57" t="s">
        <v>9</v>
      </c>
      <c r="C428" s="39"/>
      <c r="D428" s="59"/>
      <c r="E428" s="39"/>
      <c r="F428" s="39"/>
      <c r="G428" s="39"/>
      <c r="H428" s="58">
        <f>SUM(H426:H427)</f>
        <v>341647.5</v>
      </c>
    </row>
    <row r="429" spans="1:8" x14ac:dyDescent="0.3">
      <c r="A429" s="51"/>
      <c r="B429" s="57"/>
      <c r="C429" s="39"/>
      <c r="D429" s="59"/>
      <c r="E429" s="39"/>
      <c r="F429" s="39"/>
      <c r="G429" s="39"/>
      <c r="H429" s="58"/>
    </row>
    <row r="430" spans="1:8" x14ac:dyDescent="0.3">
      <c r="A430" s="43"/>
      <c r="B430" s="62">
        <v>921</v>
      </c>
      <c r="C430" s="44" t="s">
        <v>397</v>
      </c>
      <c r="D430" s="45"/>
      <c r="E430" s="46" t="s">
        <v>398</v>
      </c>
      <c r="F430" s="97"/>
      <c r="G430" s="60"/>
      <c r="H430" s="48"/>
    </row>
    <row r="431" spans="1:8" x14ac:dyDescent="0.3">
      <c r="A431" s="40"/>
      <c r="B431" s="64" t="s">
        <v>0</v>
      </c>
      <c r="C431" s="49" t="s">
        <v>1</v>
      </c>
      <c r="D431" s="50" t="s">
        <v>2</v>
      </c>
      <c r="E431" s="51" t="s">
        <v>3</v>
      </c>
      <c r="F431" s="65" t="s">
        <v>4</v>
      </c>
      <c r="G431" s="51" t="s">
        <v>5</v>
      </c>
      <c r="H431" s="52" t="s">
        <v>6</v>
      </c>
    </row>
    <row r="432" spans="1:8" ht="86.4" x14ac:dyDescent="0.3">
      <c r="A432" s="40">
        <v>1</v>
      </c>
      <c r="B432" s="144" t="s">
        <v>399</v>
      </c>
      <c r="C432" s="40">
        <v>1</v>
      </c>
      <c r="D432" s="54">
        <v>3986</v>
      </c>
      <c r="E432" s="40">
        <v>350</v>
      </c>
      <c r="F432" s="68">
        <f>C432*D432*E432</f>
        <v>1395100</v>
      </c>
      <c r="G432" s="55">
        <v>0.5</v>
      </c>
      <c r="H432" s="42">
        <f>F432*(1-G432)</f>
        <v>697550</v>
      </c>
    </row>
    <row r="433" spans="1:8" ht="86.4" x14ac:dyDescent="0.3">
      <c r="A433" s="40">
        <v>2</v>
      </c>
      <c r="B433" s="144" t="s">
        <v>1423</v>
      </c>
      <c r="C433" s="40">
        <v>1</v>
      </c>
      <c r="D433" s="54">
        <v>88.8</v>
      </c>
      <c r="E433" s="40">
        <v>250</v>
      </c>
      <c r="F433" s="68">
        <f>C433*D433*E433</f>
        <v>22200</v>
      </c>
      <c r="G433" s="55">
        <v>0.5</v>
      </c>
      <c r="H433" s="42">
        <f>F433*(1-G433)</f>
        <v>11100</v>
      </c>
    </row>
    <row r="434" spans="1:8" ht="72" x14ac:dyDescent="0.3">
      <c r="A434" s="40">
        <v>3</v>
      </c>
      <c r="B434" s="144" t="s">
        <v>400</v>
      </c>
      <c r="C434" s="40">
        <v>2</v>
      </c>
      <c r="D434" s="54">
        <v>7</v>
      </c>
      <c r="E434" s="40">
        <v>100</v>
      </c>
      <c r="F434" s="68">
        <f>C434*D434*E434</f>
        <v>1400</v>
      </c>
      <c r="G434" s="55">
        <v>0.5</v>
      </c>
      <c r="H434" s="42">
        <f>F434*(1-G434)</f>
        <v>700</v>
      </c>
    </row>
    <row r="435" spans="1:8" ht="57.6" x14ac:dyDescent="0.3">
      <c r="A435" s="40">
        <v>4</v>
      </c>
      <c r="B435" s="144" t="s">
        <v>1424</v>
      </c>
      <c r="C435" s="40">
        <v>1</v>
      </c>
      <c r="D435" s="54">
        <v>13</v>
      </c>
      <c r="E435" s="40">
        <v>100</v>
      </c>
      <c r="F435" s="68">
        <f>C435*D435*E435</f>
        <v>1300</v>
      </c>
      <c r="G435" s="55">
        <v>0.5</v>
      </c>
      <c r="H435" s="42">
        <f>F435*(1-G435)</f>
        <v>650</v>
      </c>
    </row>
    <row r="436" spans="1:8" ht="28.8" x14ac:dyDescent="0.3">
      <c r="A436" s="40">
        <v>6</v>
      </c>
      <c r="B436" s="144" t="s">
        <v>1433</v>
      </c>
      <c r="C436" s="40">
        <v>1</v>
      </c>
      <c r="D436" s="54">
        <f>201.5*4</f>
        <v>806</v>
      </c>
      <c r="E436" s="40">
        <v>45</v>
      </c>
      <c r="F436" s="68">
        <f>C436*D436*E436</f>
        <v>36270</v>
      </c>
      <c r="G436" s="55">
        <v>0.5</v>
      </c>
      <c r="H436" s="42">
        <f>F436*(1-G436)</f>
        <v>18135</v>
      </c>
    </row>
    <row r="437" spans="1:8" x14ac:dyDescent="0.3">
      <c r="A437" s="40"/>
      <c r="B437" s="70" t="s">
        <v>7</v>
      </c>
      <c r="C437" s="40"/>
      <c r="D437" s="54"/>
      <c r="E437" s="40"/>
      <c r="F437" s="68" t="s">
        <v>134</v>
      </c>
      <c r="G437" s="55"/>
      <c r="H437" s="58">
        <f>SUM(H432:H435)</f>
        <v>710000</v>
      </c>
    </row>
    <row r="438" spans="1:8" x14ac:dyDescent="0.3">
      <c r="A438" s="40">
        <v>7</v>
      </c>
      <c r="B438" s="70" t="s">
        <v>8</v>
      </c>
      <c r="C438" s="40">
        <v>1</v>
      </c>
      <c r="D438" s="54">
        <v>40630</v>
      </c>
      <c r="E438" s="40">
        <v>8</v>
      </c>
      <c r="F438" s="68">
        <f>(10000*E438)+(10000*E438*0.75)+(10000*E438*0.5)+(10630*E438*0.25)</f>
        <v>201260</v>
      </c>
      <c r="G438" s="55">
        <v>0</v>
      </c>
      <c r="H438" s="58">
        <f>(1-G438)*F438</f>
        <v>201260</v>
      </c>
    </row>
    <row r="439" spans="1:8" x14ac:dyDescent="0.3">
      <c r="A439" s="51"/>
      <c r="B439" s="70" t="s">
        <v>9</v>
      </c>
      <c r="C439" s="39"/>
      <c r="D439" s="59"/>
      <c r="E439" s="39"/>
      <c r="F439" s="71"/>
      <c r="G439" s="39"/>
      <c r="H439" s="58">
        <f>H437+H438</f>
        <v>911260</v>
      </c>
    </row>
    <row r="440" spans="1:8" x14ac:dyDescent="0.3">
      <c r="A440" s="51"/>
      <c r="B440" s="70"/>
      <c r="C440" s="39"/>
      <c r="D440" s="59"/>
      <c r="E440" s="39"/>
      <c r="F440" s="71"/>
      <c r="G440" s="39"/>
      <c r="H440" s="58"/>
    </row>
    <row r="441" spans="1:8" x14ac:dyDescent="0.3">
      <c r="A441" s="43"/>
      <c r="B441" s="62" t="s">
        <v>1932</v>
      </c>
      <c r="C441" s="44" t="s">
        <v>952</v>
      </c>
      <c r="D441" s="73"/>
      <c r="E441" s="44" t="s">
        <v>953</v>
      </c>
      <c r="F441" s="60"/>
      <c r="G441" s="60"/>
      <c r="H441" s="48"/>
    </row>
    <row r="442" spans="1:8" s="3" customFormat="1" x14ac:dyDescent="0.3">
      <c r="A442" s="39"/>
      <c r="B442" s="107" t="s">
        <v>10</v>
      </c>
      <c r="C442" s="107" t="s">
        <v>1</v>
      </c>
      <c r="D442" s="108" t="s">
        <v>2</v>
      </c>
      <c r="E442" s="109" t="s">
        <v>3</v>
      </c>
      <c r="F442" s="109" t="s">
        <v>4</v>
      </c>
      <c r="G442" s="109" t="s">
        <v>5</v>
      </c>
      <c r="H442" s="106" t="s">
        <v>6</v>
      </c>
    </row>
    <row r="443" spans="1:8" ht="115.2" x14ac:dyDescent="0.3">
      <c r="A443" s="53">
        <v>1</v>
      </c>
      <c r="B443" s="53" t="s">
        <v>1550</v>
      </c>
      <c r="C443" s="40">
        <v>1</v>
      </c>
      <c r="D443" s="91">
        <v>1130.94</v>
      </c>
      <c r="E443" s="40">
        <v>500</v>
      </c>
      <c r="F443" s="40">
        <f>C443*D443*E443</f>
        <v>565470</v>
      </c>
      <c r="G443" s="55">
        <v>0.3</v>
      </c>
      <c r="H443" s="42">
        <f>F443*(1-G443)</f>
        <v>395829</v>
      </c>
    </row>
    <row r="444" spans="1:8" ht="129.6" x14ac:dyDescent="0.3">
      <c r="A444" s="53">
        <v>2</v>
      </c>
      <c r="B444" s="53" t="s">
        <v>1551</v>
      </c>
      <c r="C444" s="40">
        <v>1</v>
      </c>
      <c r="D444" s="91">
        <v>1308</v>
      </c>
      <c r="E444" s="40">
        <v>500</v>
      </c>
      <c r="F444" s="40">
        <f>C444*D444*E444</f>
        <v>654000</v>
      </c>
      <c r="G444" s="55">
        <v>0.4</v>
      </c>
      <c r="H444" s="42">
        <f>F444*(1-G444)</f>
        <v>392400</v>
      </c>
    </row>
    <row r="445" spans="1:8" ht="115.2" x14ac:dyDescent="0.3">
      <c r="A445" s="53">
        <v>3</v>
      </c>
      <c r="B445" s="53" t="s">
        <v>1716</v>
      </c>
      <c r="C445" s="40">
        <v>1</v>
      </c>
      <c r="D445" s="91">
        <v>647.59</v>
      </c>
      <c r="E445" s="40">
        <v>450</v>
      </c>
      <c r="F445" s="40">
        <f>C445*D445*E445</f>
        <v>291415.5</v>
      </c>
      <c r="G445" s="55">
        <v>0.5</v>
      </c>
      <c r="H445" s="42">
        <f>F445*(1-G445)</f>
        <v>145707.75</v>
      </c>
    </row>
    <row r="446" spans="1:8" ht="100.8" x14ac:dyDescent="0.3">
      <c r="A446" s="53">
        <v>4</v>
      </c>
      <c r="B446" s="53" t="s">
        <v>1717</v>
      </c>
      <c r="C446" s="40">
        <v>1</v>
      </c>
      <c r="D446" s="91">
        <v>175</v>
      </c>
      <c r="E446" s="40">
        <v>400</v>
      </c>
      <c r="F446" s="40">
        <f>C446*D446*E446</f>
        <v>70000</v>
      </c>
      <c r="G446" s="55">
        <v>0.6</v>
      </c>
      <c r="H446" s="42">
        <f>F446*(1-G446)</f>
        <v>28000</v>
      </c>
    </row>
    <row r="447" spans="1:8" ht="115.2" x14ac:dyDescent="0.3">
      <c r="A447" s="53">
        <v>5</v>
      </c>
      <c r="B447" s="53" t="s">
        <v>1552</v>
      </c>
      <c r="C447" s="40">
        <v>1</v>
      </c>
      <c r="D447" s="91">
        <v>402</v>
      </c>
      <c r="E447" s="40">
        <v>450</v>
      </c>
      <c r="F447" s="40">
        <f>C447*D447*E447</f>
        <v>180900</v>
      </c>
      <c r="G447" s="55">
        <v>0.5</v>
      </c>
      <c r="H447" s="42">
        <f>F447*(1-G447)</f>
        <v>90450</v>
      </c>
    </row>
    <row r="448" spans="1:8" x14ac:dyDescent="0.3">
      <c r="A448" s="53"/>
      <c r="B448" s="57" t="s">
        <v>7</v>
      </c>
      <c r="C448" s="40"/>
      <c r="D448" s="54"/>
      <c r="E448" s="40"/>
      <c r="F448" s="40"/>
      <c r="G448" s="55"/>
      <c r="H448" s="58">
        <f>SUM(H443:H447)</f>
        <v>1052386.75</v>
      </c>
    </row>
    <row r="449" spans="1:8" x14ac:dyDescent="0.3">
      <c r="A449" s="53">
        <v>6</v>
      </c>
      <c r="B449" s="57" t="s">
        <v>8</v>
      </c>
      <c r="C449" s="40">
        <v>1</v>
      </c>
      <c r="D449" s="54">
        <v>6108</v>
      </c>
      <c r="E449" s="40">
        <v>8</v>
      </c>
      <c r="F449" s="40">
        <f>C449*D449*E449</f>
        <v>48864</v>
      </c>
      <c r="G449" s="55">
        <v>0</v>
      </c>
      <c r="H449" s="58">
        <f>(1-G449)*F449</f>
        <v>48864</v>
      </c>
    </row>
    <row r="450" spans="1:8" x14ac:dyDescent="0.3">
      <c r="A450" s="53"/>
      <c r="B450" s="57" t="s">
        <v>9</v>
      </c>
      <c r="C450" s="39"/>
      <c r="D450" s="59"/>
      <c r="E450" s="39"/>
      <c r="F450" s="39"/>
      <c r="G450" s="39"/>
      <c r="H450" s="58">
        <f>H448+H449</f>
        <v>1101250.75</v>
      </c>
    </row>
    <row r="451" spans="1:8" x14ac:dyDescent="0.3">
      <c r="A451" s="43"/>
      <c r="B451" s="62">
        <v>957</v>
      </c>
      <c r="C451" s="44" t="s">
        <v>954</v>
      </c>
      <c r="D451" s="73"/>
      <c r="E451" s="44" t="s">
        <v>955</v>
      </c>
      <c r="F451" s="60"/>
      <c r="G451" s="60"/>
      <c r="H451" s="48"/>
    </row>
    <row r="452" spans="1:8" s="3" customFormat="1" x14ac:dyDescent="0.3">
      <c r="A452" s="39"/>
      <c r="B452" s="107" t="s">
        <v>10</v>
      </c>
      <c r="C452" s="107" t="s">
        <v>1</v>
      </c>
      <c r="D452" s="108" t="s">
        <v>2</v>
      </c>
      <c r="E452" s="109" t="s">
        <v>3</v>
      </c>
      <c r="F452" s="109" t="s">
        <v>4</v>
      </c>
      <c r="G452" s="109" t="s">
        <v>5</v>
      </c>
      <c r="H452" s="106" t="s">
        <v>6</v>
      </c>
    </row>
    <row r="453" spans="1:8" ht="129.6" x14ac:dyDescent="0.3">
      <c r="A453" s="53">
        <v>1</v>
      </c>
      <c r="B453" s="53" t="s">
        <v>1718</v>
      </c>
      <c r="C453" s="40">
        <v>1</v>
      </c>
      <c r="D453" s="91">
        <v>175.5</v>
      </c>
      <c r="E453" s="40">
        <v>450</v>
      </c>
      <c r="F453" s="40">
        <f>C453*D453*E453</f>
        <v>78975</v>
      </c>
      <c r="G453" s="55">
        <v>0.3</v>
      </c>
      <c r="H453" s="42">
        <f>F453*(1-G453)</f>
        <v>55282.5</v>
      </c>
    </row>
    <row r="454" spans="1:8" ht="115.2" x14ac:dyDescent="0.3">
      <c r="A454" s="53">
        <v>2</v>
      </c>
      <c r="B454" s="53" t="s">
        <v>1553</v>
      </c>
      <c r="C454" s="40">
        <v>1</v>
      </c>
      <c r="D454" s="91">
        <v>260</v>
      </c>
      <c r="E454" s="40">
        <v>450</v>
      </c>
      <c r="F454" s="40">
        <f>C454*D454*E454</f>
        <v>117000</v>
      </c>
      <c r="G454" s="55">
        <v>0.6</v>
      </c>
      <c r="H454" s="42">
        <f>F454*(1-G454)</f>
        <v>46800</v>
      </c>
    </row>
    <row r="455" spans="1:8" ht="115.2" x14ac:dyDescent="0.3">
      <c r="A455" s="53">
        <v>3</v>
      </c>
      <c r="B455" s="53" t="s">
        <v>1554</v>
      </c>
      <c r="C455" s="40">
        <v>1</v>
      </c>
      <c r="D455" s="91">
        <v>255</v>
      </c>
      <c r="E455" s="40">
        <v>450</v>
      </c>
      <c r="F455" s="40">
        <f>C455*D455*E455</f>
        <v>114750</v>
      </c>
      <c r="G455" s="55">
        <v>0.5</v>
      </c>
      <c r="H455" s="42">
        <f>F455*(1-G455)</f>
        <v>57375</v>
      </c>
    </row>
    <row r="456" spans="1:8" ht="115.2" x14ac:dyDescent="0.3">
      <c r="A456" s="53">
        <v>4</v>
      </c>
      <c r="B456" s="53" t="s">
        <v>1555</v>
      </c>
      <c r="C456" s="40">
        <v>1</v>
      </c>
      <c r="D456" s="91">
        <v>287.82</v>
      </c>
      <c r="E456" s="40">
        <v>300</v>
      </c>
      <c r="F456" s="40">
        <f>C456*D456*E456</f>
        <v>86346</v>
      </c>
      <c r="G456" s="55">
        <v>0.5</v>
      </c>
      <c r="H456" s="42">
        <f>F456*(1-G456)</f>
        <v>43173</v>
      </c>
    </row>
    <row r="457" spans="1:8" ht="100.8" x14ac:dyDescent="0.3">
      <c r="A457" s="53">
        <v>5</v>
      </c>
      <c r="B457" s="53" t="s">
        <v>1719</v>
      </c>
      <c r="C457" s="40">
        <v>1</v>
      </c>
      <c r="D457" s="91">
        <v>175</v>
      </c>
      <c r="E457" s="40">
        <v>400</v>
      </c>
      <c r="F457" s="40">
        <f>C457*D457*E457</f>
        <v>70000</v>
      </c>
      <c r="G457" s="55">
        <v>0.3</v>
      </c>
      <c r="H457" s="42">
        <f>F457*(1-G457)</f>
        <v>49000</v>
      </c>
    </row>
    <row r="458" spans="1:8" x14ac:dyDescent="0.3">
      <c r="A458" s="53"/>
      <c r="B458" s="57" t="s">
        <v>7</v>
      </c>
      <c r="C458" s="40"/>
      <c r="D458" s="54"/>
      <c r="E458" s="40"/>
      <c r="F458" s="40"/>
      <c r="G458" s="55"/>
      <c r="H458" s="58">
        <f>SUM(H453:H457)</f>
        <v>251630.5</v>
      </c>
    </row>
    <row r="459" spans="1:8" x14ac:dyDescent="0.3">
      <c r="A459" s="53">
        <v>4</v>
      </c>
      <c r="B459" s="57" t="s">
        <v>8</v>
      </c>
      <c r="C459" s="40">
        <v>1</v>
      </c>
      <c r="D459" s="54">
        <v>3994</v>
      </c>
      <c r="E459" s="40">
        <v>8</v>
      </c>
      <c r="F459" s="40">
        <f>C459*D459*E459</f>
        <v>31952</v>
      </c>
      <c r="G459" s="55">
        <v>0</v>
      </c>
      <c r="H459" s="58">
        <f>(1-G459)*F459</f>
        <v>31952</v>
      </c>
    </row>
    <row r="460" spans="1:8" x14ac:dyDescent="0.3">
      <c r="A460" s="53"/>
      <c r="B460" s="57" t="s">
        <v>9</v>
      </c>
      <c r="C460" s="39"/>
      <c r="D460" s="59"/>
      <c r="E460" s="39"/>
      <c r="F460" s="39"/>
      <c r="G460" s="39"/>
      <c r="H460" s="58">
        <f>H458+H459</f>
        <v>283582.5</v>
      </c>
    </row>
    <row r="461" spans="1:8" x14ac:dyDescent="0.3">
      <c r="A461" s="43"/>
      <c r="B461" s="62">
        <v>958</v>
      </c>
      <c r="C461" s="44" t="s">
        <v>956</v>
      </c>
      <c r="D461" s="73"/>
      <c r="E461" s="44" t="s">
        <v>957</v>
      </c>
      <c r="F461" s="60"/>
      <c r="G461" s="60"/>
      <c r="H461" s="48"/>
    </row>
    <row r="462" spans="1:8" s="3" customFormat="1" x14ac:dyDescent="0.3">
      <c r="A462" s="39"/>
      <c r="B462" s="107" t="s">
        <v>10</v>
      </c>
      <c r="C462" s="107" t="s">
        <v>1</v>
      </c>
      <c r="D462" s="108" t="s">
        <v>2</v>
      </c>
      <c r="E462" s="109" t="s">
        <v>3</v>
      </c>
      <c r="F462" s="109" t="s">
        <v>4</v>
      </c>
      <c r="G462" s="109" t="s">
        <v>5</v>
      </c>
      <c r="H462" s="106" t="s">
        <v>6</v>
      </c>
    </row>
    <row r="463" spans="1:8" ht="115.2" x14ac:dyDescent="0.3">
      <c r="A463" s="53">
        <v>1</v>
      </c>
      <c r="B463" s="53" t="s">
        <v>1720</v>
      </c>
      <c r="C463" s="40">
        <v>1</v>
      </c>
      <c r="D463" s="91">
        <v>104.4</v>
      </c>
      <c r="E463" s="40">
        <v>450</v>
      </c>
      <c r="F463" s="40">
        <f>C463*D463*E463</f>
        <v>46980</v>
      </c>
      <c r="G463" s="55">
        <v>0.3</v>
      </c>
      <c r="H463" s="42">
        <f>F463*(1-G463)</f>
        <v>32886</v>
      </c>
    </row>
    <row r="464" spans="1:8" ht="115.2" x14ac:dyDescent="0.3">
      <c r="A464" s="53">
        <v>2</v>
      </c>
      <c r="B464" s="53" t="s">
        <v>1556</v>
      </c>
      <c r="C464" s="40">
        <v>1</v>
      </c>
      <c r="D464" s="91">
        <v>496.8</v>
      </c>
      <c r="E464" s="40">
        <v>450</v>
      </c>
      <c r="F464" s="40">
        <f>C464*D464*E464</f>
        <v>223560</v>
      </c>
      <c r="G464" s="55">
        <v>0.3</v>
      </c>
      <c r="H464" s="42">
        <f>F464*(1-G464)</f>
        <v>156492</v>
      </c>
    </row>
    <row r="465" spans="1:8" ht="115.2" x14ac:dyDescent="0.3">
      <c r="A465" s="53">
        <v>3</v>
      </c>
      <c r="B465" s="53" t="s">
        <v>1557</v>
      </c>
      <c r="C465" s="40">
        <v>1</v>
      </c>
      <c r="D465" s="91">
        <v>64</v>
      </c>
      <c r="E465" s="40">
        <v>200</v>
      </c>
      <c r="F465" s="40">
        <f>C465*D465*E465</f>
        <v>12800</v>
      </c>
      <c r="G465" s="55">
        <v>0.4</v>
      </c>
      <c r="H465" s="42">
        <f>F465*(1-G465)</f>
        <v>7680</v>
      </c>
    </row>
    <row r="466" spans="1:8" ht="28.8" x14ac:dyDescent="0.3">
      <c r="A466" s="53">
        <v>4</v>
      </c>
      <c r="B466" s="53" t="s">
        <v>958</v>
      </c>
      <c r="C466" s="40">
        <v>1</v>
      </c>
      <c r="D466" s="91">
        <v>106.04</v>
      </c>
      <c r="E466" s="40">
        <v>45</v>
      </c>
      <c r="F466" s="40">
        <f>C466*D466*E466</f>
        <v>4771.8</v>
      </c>
      <c r="G466" s="55">
        <v>0.4</v>
      </c>
      <c r="H466" s="42">
        <f>F466*(1-G466)</f>
        <v>2863.08</v>
      </c>
    </row>
    <row r="467" spans="1:8" x14ac:dyDescent="0.3">
      <c r="A467" s="53"/>
      <c r="B467" s="57" t="s">
        <v>7</v>
      </c>
      <c r="C467" s="40"/>
      <c r="D467" s="54"/>
      <c r="E467" s="40"/>
      <c r="F467" s="40"/>
      <c r="G467" s="55"/>
      <c r="H467" s="58">
        <f>SUM(H463:H466)</f>
        <v>199921.08</v>
      </c>
    </row>
    <row r="468" spans="1:8" x14ac:dyDescent="0.3">
      <c r="A468" s="53">
        <v>5</v>
      </c>
      <c r="B468" s="57" t="s">
        <v>8</v>
      </c>
      <c r="C468" s="40">
        <v>1</v>
      </c>
      <c r="D468" s="54">
        <v>2811</v>
      </c>
      <c r="E468" s="40">
        <v>8</v>
      </c>
      <c r="F468" s="40">
        <f>C468*D468*E468</f>
        <v>22488</v>
      </c>
      <c r="G468" s="55">
        <v>0</v>
      </c>
      <c r="H468" s="58">
        <f>(1-G468)*F468</f>
        <v>22488</v>
      </c>
    </row>
    <row r="469" spans="1:8" x14ac:dyDescent="0.3">
      <c r="A469" s="53"/>
      <c r="B469" s="57" t="s">
        <v>9</v>
      </c>
      <c r="C469" s="39"/>
      <c r="D469" s="59"/>
      <c r="E469" s="39"/>
      <c r="F469" s="39"/>
      <c r="G469" s="39"/>
      <c r="H469" s="58">
        <f>H467+H468</f>
        <v>222409.08</v>
      </c>
    </row>
    <row r="470" spans="1:8" x14ac:dyDescent="0.3">
      <c r="A470" s="43"/>
      <c r="B470" s="62">
        <v>959</v>
      </c>
      <c r="C470" s="44" t="s">
        <v>959</v>
      </c>
      <c r="D470" s="73"/>
      <c r="E470" s="44" t="s">
        <v>960</v>
      </c>
      <c r="F470" s="60"/>
      <c r="G470" s="60"/>
      <c r="H470" s="48"/>
    </row>
    <row r="471" spans="1:8" s="3" customFormat="1" x14ac:dyDescent="0.3">
      <c r="A471" s="39"/>
      <c r="B471" s="107" t="s">
        <v>10</v>
      </c>
      <c r="C471" s="107" t="s">
        <v>1</v>
      </c>
      <c r="D471" s="108" t="s">
        <v>2</v>
      </c>
      <c r="E471" s="109" t="s">
        <v>3</v>
      </c>
      <c r="F471" s="109" t="s">
        <v>4</v>
      </c>
      <c r="G471" s="109" t="s">
        <v>5</v>
      </c>
      <c r="H471" s="106" t="s">
        <v>6</v>
      </c>
    </row>
    <row r="472" spans="1:8" ht="115.2" x14ac:dyDescent="0.3">
      <c r="A472" s="53">
        <v>1</v>
      </c>
      <c r="B472" s="53" t="s">
        <v>1721</v>
      </c>
      <c r="C472" s="40">
        <v>1</v>
      </c>
      <c r="D472" s="91">
        <v>435.55</v>
      </c>
      <c r="E472" s="40">
        <v>300</v>
      </c>
      <c r="F472" s="40">
        <f>C472*D472*E472</f>
        <v>130665</v>
      </c>
      <c r="G472" s="55">
        <v>0.4</v>
      </c>
      <c r="H472" s="42">
        <f>F472*(1-G472)</f>
        <v>78399</v>
      </c>
    </row>
    <row r="473" spans="1:8" ht="28.8" x14ac:dyDescent="0.3">
      <c r="A473" s="53">
        <v>2</v>
      </c>
      <c r="B473" s="53" t="s">
        <v>961</v>
      </c>
      <c r="C473" s="40">
        <v>1</v>
      </c>
      <c r="D473" s="91">
        <v>99.56</v>
      </c>
      <c r="E473" s="40">
        <v>50</v>
      </c>
      <c r="F473" s="40">
        <f>C473*D473*E473</f>
        <v>4978</v>
      </c>
      <c r="G473" s="55">
        <v>0.4</v>
      </c>
      <c r="H473" s="42">
        <f>F473*(1-G473)</f>
        <v>2986.7999999999997</v>
      </c>
    </row>
    <row r="474" spans="1:8" x14ac:dyDescent="0.3">
      <c r="A474" s="53"/>
      <c r="B474" s="57" t="s">
        <v>7</v>
      </c>
      <c r="C474" s="40"/>
      <c r="D474" s="54"/>
      <c r="E474" s="40"/>
      <c r="F474" s="40"/>
      <c r="G474" s="55"/>
      <c r="H474" s="58">
        <f>SUM(H472:H473)</f>
        <v>81385.8</v>
      </c>
    </row>
    <row r="475" spans="1:8" x14ac:dyDescent="0.3">
      <c r="A475" s="53">
        <v>3</v>
      </c>
      <c r="B475" s="57" t="s">
        <v>8</v>
      </c>
      <c r="C475" s="40">
        <v>1</v>
      </c>
      <c r="D475" s="54">
        <v>2478</v>
      </c>
      <c r="E475" s="40">
        <v>8</v>
      </c>
      <c r="F475" s="40">
        <f>C475*D475*E475</f>
        <v>19824</v>
      </c>
      <c r="G475" s="55">
        <v>0</v>
      </c>
      <c r="H475" s="58">
        <f>(1-G475)*F475</f>
        <v>19824</v>
      </c>
    </row>
    <row r="476" spans="1:8" x14ac:dyDescent="0.3">
      <c r="A476" s="53"/>
      <c r="B476" s="57" t="s">
        <v>9</v>
      </c>
      <c r="C476" s="39"/>
      <c r="D476" s="59"/>
      <c r="E476" s="39"/>
      <c r="F476" s="39"/>
      <c r="G476" s="39"/>
      <c r="H476" s="58">
        <f>H474+H475</f>
        <v>101209.8</v>
      </c>
    </row>
    <row r="477" spans="1:8" x14ac:dyDescent="0.3">
      <c r="A477" s="43"/>
      <c r="B477" s="62">
        <v>960</v>
      </c>
      <c r="C477" s="44" t="s">
        <v>962</v>
      </c>
      <c r="D477" s="73"/>
      <c r="E477" s="44" t="s">
        <v>963</v>
      </c>
      <c r="F477" s="60"/>
      <c r="G477" s="60"/>
      <c r="H477" s="48"/>
    </row>
    <row r="478" spans="1:8" x14ac:dyDescent="0.3">
      <c r="A478" s="40"/>
      <c r="B478" s="49" t="s">
        <v>10</v>
      </c>
      <c r="C478" s="49" t="s">
        <v>1</v>
      </c>
      <c r="D478" s="50" t="s">
        <v>2</v>
      </c>
      <c r="E478" s="51" t="s">
        <v>3</v>
      </c>
      <c r="F478" s="51" t="s">
        <v>4</v>
      </c>
      <c r="G478" s="51" t="s">
        <v>5</v>
      </c>
      <c r="H478" s="52" t="s">
        <v>6</v>
      </c>
    </row>
    <row r="479" spans="1:8" ht="129.6" x14ac:dyDescent="0.3">
      <c r="A479" s="53">
        <v>1</v>
      </c>
      <c r="B479" s="53" t="s">
        <v>1722</v>
      </c>
      <c r="C479" s="40">
        <v>1</v>
      </c>
      <c r="D479" s="91">
        <v>602.55999999999995</v>
      </c>
      <c r="E479" s="40">
        <v>450</v>
      </c>
      <c r="F479" s="40">
        <f>C479*D479*E479</f>
        <v>271152</v>
      </c>
      <c r="G479" s="55">
        <v>0.4</v>
      </c>
      <c r="H479" s="42">
        <f>F479*(1-G479)</f>
        <v>162691.19999999998</v>
      </c>
    </row>
    <row r="480" spans="1:8" ht="129.6" x14ac:dyDescent="0.3">
      <c r="A480" s="53">
        <v>2</v>
      </c>
      <c r="B480" s="53" t="s">
        <v>1558</v>
      </c>
      <c r="C480" s="40">
        <v>1</v>
      </c>
      <c r="D480" s="91">
        <v>228</v>
      </c>
      <c r="E480" s="40">
        <v>450</v>
      </c>
      <c r="F480" s="40">
        <f>C480*D480*E480</f>
        <v>102600</v>
      </c>
      <c r="G480" s="55">
        <v>0.5</v>
      </c>
      <c r="H480" s="42">
        <f>F480*(1-G480)</f>
        <v>51300</v>
      </c>
    </row>
    <row r="481" spans="1:8" ht="115.2" x14ac:dyDescent="0.3">
      <c r="A481" s="53">
        <v>3</v>
      </c>
      <c r="B481" s="53" t="s">
        <v>1559</v>
      </c>
      <c r="C481" s="40">
        <v>1</v>
      </c>
      <c r="D481" s="91">
        <v>190</v>
      </c>
      <c r="E481" s="40">
        <v>450</v>
      </c>
      <c r="F481" s="40">
        <f>C481*D481*E481</f>
        <v>85500</v>
      </c>
      <c r="G481" s="55">
        <v>0.5</v>
      </c>
      <c r="H481" s="42">
        <f>F481*(1-G481)</f>
        <v>42750</v>
      </c>
    </row>
    <row r="482" spans="1:8" ht="129.6" x14ac:dyDescent="0.3">
      <c r="A482" s="53">
        <v>4</v>
      </c>
      <c r="B482" s="53" t="s">
        <v>1560</v>
      </c>
      <c r="C482" s="40">
        <v>1</v>
      </c>
      <c r="D482" s="91">
        <v>330</v>
      </c>
      <c r="E482" s="40">
        <v>450</v>
      </c>
      <c r="F482" s="40">
        <f>C482*D482*E482</f>
        <v>148500</v>
      </c>
      <c r="G482" s="55">
        <v>0.5</v>
      </c>
      <c r="H482" s="42">
        <f>F482*(1-G482)</f>
        <v>74250</v>
      </c>
    </row>
    <row r="483" spans="1:8" x14ac:dyDescent="0.3">
      <c r="A483" s="53"/>
      <c r="B483" s="57" t="s">
        <v>7</v>
      </c>
      <c r="C483" s="40"/>
      <c r="D483" s="54"/>
      <c r="E483" s="40"/>
      <c r="F483" s="40"/>
      <c r="G483" s="55"/>
      <c r="H483" s="58">
        <f>SUM(H479:H482)</f>
        <v>330991.19999999995</v>
      </c>
    </row>
    <row r="484" spans="1:8" x14ac:dyDescent="0.3">
      <c r="A484" s="53">
        <v>5</v>
      </c>
      <c r="B484" s="57" t="s">
        <v>8</v>
      </c>
      <c r="C484" s="40">
        <v>1</v>
      </c>
      <c r="D484" s="54">
        <v>2478</v>
      </c>
      <c r="E484" s="40">
        <v>8</v>
      </c>
      <c r="F484" s="40">
        <f>C484*D484*E484</f>
        <v>19824</v>
      </c>
      <c r="G484" s="55">
        <v>0</v>
      </c>
      <c r="H484" s="58">
        <f>(1-G484)*F484</f>
        <v>19824</v>
      </c>
    </row>
    <row r="485" spans="1:8" x14ac:dyDescent="0.3">
      <c r="A485" s="53"/>
      <c r="B485" s="57" t="s">
        <v>9</v>
      </c>
      <c r="C485" s="39"/>
      <c r="D485" s="59"/>
      <c r="E485" s="39"/>
      <c r="F485" s="39"/>
      <c r="G485" s="39"/>
      <c r="H485" s="58">
        <f>H483+H484</f>
        <v>350815.19999999995</v>
      </c>
    </row>
    <row r="486" spans="1:8" x14ac:dyDescent="0.3">
      <c r="A486" s="43"/>
      <c r="B486" s="62">
        <v>961</v>
      </c>
      <c r="C486" s="44" t="s">
        <v>964</v>
      </c>
      <c r="D486" s="73"/>
      <c r="E486" s="44" t="s">
        <v>965</v>
      </c>
      <c r="F486" s="60"/>
      <c r="G486" s="60"/>
      <c r="H486" s="48"/>
    </row>
    <row r="487" spans="1:8" x14ac:dyDescent="0.3">
      <c r="A487" s="40"/>
      <c r="B487" s="49" t="s">
        <v>10</v>
      </c>
      <c r="C487" s="49" t="s">
        <v>1</v>
      </c>
      <c r="D487" s="50" t="s">
        <v>2</v>
      </c>
      <c r="E487" s="51" t="s">
        <v>3</v>
      </c>
      <c r="F487" s="51" t="s">
        <v>4</v>
      </c>
      <c r="G487" s="51" t="s">
        <v>5</v>
      </c>
      <c r="H487" s="52" t="s">
        <v>6</v>
      </c>
    </row>
    <row r="488" spans="1:8" ht="129.6" x14ac:dyDescent="0.3">
      <c r="A488" s="53">
        <v>1</v>
      </c>
      <c r="B488" s="53" t="s">
        <v>1723</v>
      </c>
      <c r="C488" s="40">
        <v>1</v>
      </c>
      <c r="D488" s="91">
        <v>400</v>
      </c>
      <c r="E488" s="40">
        <v>400</v>
      </c>
      <c r="F488" s="40">
        <f>C488*D488*E488</f>
        <v>160000</v>
      </c>
      <c r="G488" s="55">
        <v>0.4</v>
      </c>
      <c r="H488" s="42">
        <f>F488*(1-G488)</f>
        <v>96000</v>
      </c>
    </row>
    <row r="489" spans="1:8" ht="115.2" x14ac:dyDescent="0.3">
      <c r="A489" s="53">
        <v>2</v>
      </c>
      <c r="B489" s="53" t="s">
        <v>1561</v>
      </c>
      <c r="C489" s="40">
        <v>1</v>
      </c>
      <c r="D489" s="91">
        <v>38.5</v>
      </c>
      <c r="E489" s="40">
        <v>200</v>
      </c>
      <c r="F489" s="40">
        <f>C489*D489*E489</f>
        <v>7700</v>
      </c>
      <c r="G489" s="55">
        <v>0.5</v>
      </c>
      <c r="H489" s="42">
        <f>F489*(1-G489)</f>
        <v>3850</v>
      </c>
    </row>
    <row r="490" spans="1:8" x14ac:dyDescent="0.3">
      <c r="A490" s="53"/>
      <c r="B490" s="57" t="s">
        <v>7</v>
      </c>
      <c r="C490" s="40"/>
      <c r="D490" s="54"/>
      <c r="E490" s="40"/>
      <c r="F490" s="40"/>
      <c r="G490" s="55"/>
      <c r="H490" s="58">
        <f>SUM(H488:H489)</f>
        <v>99850</v>
      </c>
    </row>
    <row r="491" spans="1:8" x14ac:dyDescent="0.3">
      <c r="A491" s="53">
        <v>3</v>
      </c>
      <c r="B491" s="57" t="s">
        <v>8</v>
      </c>
      <c r="C491" s="40">
        <v>1</v>
      </c>
      <c r="D491" s="54">
        <v>1735</v>
      </c>
      <c r="E491" s="40">
        <v>8</v>
      </c>
      <c r="F491" s="40">
        <f>C491*D491*E491</f>
        <v>13880</v>
      </c>
      <c r="G491" s="55">
        <v>0</v>
      </c>
      <c r="H491" s="58">
        <f>(1-G491)*F491</f>
        <v>13880</v>
      </c>
    </row>
    <row r="492" spans="1:8" x14ac:dyDescent="0.3">
      <c r="A492" s="53"/>
      <c r="B492" s="57" t="s">
        <v>9</v>
      </c>
      <c r="C492" s="39"/>
      <c r="D492" s="59"/>
      <c r="E492" s="39"/>
      <c r="F492" s="39"/>
      <c r="G492" s="39"/>
      <c r="H492" s="58">
        <f>H490+H491</f>
        <v>113730</v>
      </c>
    </row>
    <row r="493" spans="1:8" x14ac:dyDescent="0.3">
      <c r="A493" s="43"/>
      <c r="B493" s="62">
        <v>962</v>
      </c>
      <c r="C493" s="44" t="s">
        <v>966</v>
      </c>
      <c r="D493" s="73"/>
      <c r="E493" s="44" t="s">
        <v>967</v>
      </c>
      <c r="F493" s="60"/>
      <c r="G493" s="60"/>
      <c r="H493" s="48"/>
    </row>
    <row r="494" spans="1:8" s="3" customFormat="1" x14ac:dyDescent="0.3">
      <c r="A494" s="39"/>
      <c r="B494" s="107" t="s">
        <v>10</v>
      </c>
      <c r="C494" s="107" t="s">
        <v>1</v>
      </c>
      <c r="D494" s="108" t="s">
        <v>2</v>
      </c>
      <c r="E494" s="109" t="s">
        <v>3</v>
      </c>
      <c r="F494" s="109" t="s">
        <v>4</v>
      </c>
      <c r="G494" s="109" t="s">
        <v>5</v>
      </c>
      <c r="H494" s="106" t="s">
        <v>6</v>
      </c>
    </row>
    <row r="495" spans="1:8" ht="144" x14ac:dyDescent="0.3">
      <c r="A495" s="53">
        <v>1</v>
      </c>
      <c r="B495" s="53" t="s">
        <v>1724</v>
      </c>
      <c r="C495" s="40">
        <v>1</v>
      </c>
      <c r="D495" s="91">
        <v>274.39999999999998</v>
      </c>
      <c r="E495" s="40">
        <v>450</v>
      </c>
      <c r="F495" s="40">
        <f>C495*D495*E495</f>
        <v>123479.99999999999</v>
      </c>
      <c r="G495" s="55">
        <v>0.4</v>
      </c>
      <c r="H495" s="42">
        <f>F495*(1-G495)</f>
        <v>74087.999999999985</v>
      </c>
    </row>
    <row r="496" spans="1:8" ht="115.2" x14ac:dyDescent="0.3">
      <c r="A496" s="53">
        <v>2</v>
      </c>
      <c r="B496" s="53" t="s">
        <v>1725</v>
      </c>
      <c r="C496" s="40">
        <v>1</v>
      </c>
      <c r="D496" s="91">
        <v>384</v>
      </c>
      <c r="E496" s="40">
        <v>450</v>
      </c>
      <c r="F496" s="40">
        <f>C496*D496*E496</f>
        <v>172800</v>
      </c>
      <c r="G496" s="55">
        <v>0.4</v>
      </c>
      <c r="H496" s="42">
        <f>F496*(1-G496)</f>
        <v>103680</v>
      </c>
    </row>
    <row r="497" spans="1:8" ht="115.2" x14ac:dyDescent="0.3">
      <c r="A497" s="53">
        <v>3</v>
      </c>
      <c r="B497" s="53" t="s">
        <v>1726</v>
      </c>
      <c r="C497" s="40">
        <v>1</v>
      </c>
      <c r="D497" s="91">
        <v>384</v>
      </c>
      <c r="E497" s="40">
        <v>450</v>
      </c>
      <c r="F497" s="40">
        <f>C497*D497*E497</f>
        <v>172800</v>
      </c>
      <c r="G497" s="55">
        <v>0.4</v>
      </c>
      <c r="H497" s="42">
        <f>F497*(1-G497)</f>
        <v>103680</v>
      </c>
    </row>
    <row r="498" spans="1:8" ht="28.8" x14ac:dyDescent="0.3">
      <c r="A498" s="53">
        <v>4</v>
      </c>
      <c r="B498" s="53" t="s">
        <v>961</v>
      </c>
      <c r="C498" s="40">
        <v>1</v>
      </c>
      <c r="D498" s="91">
        <v>82.82</v>
      </c>
      <c r="E498" s="40">
        <v>50</v>
      </c>
      <c r="F498" s="40">
        <f>C498*D498*E498</f>
        <v>4141</v>
      </c>
      <c r="G498" s="55">
        <v>0.4</v>
      </c>
      <c r="H498" s="42">
        <f>F498*(1-G498)</f>
        <v>2484.6</v>
      </c>
    </row>
    <row r="499" spans="1:8" x14ac:dyDescent="0.3">
      <c r="A499" s="53"/>
      <c r="B499" s="57" t="s">
        <v>7</v>
      </c>
      <c r="C499" s="40"/>
      <c r="D499" s="54"/>
      <c r="E499" s="40"/>
      <c r="F499" s="40"/>
      <c r="G499" s="55"/>
      <c r="H499" s="58">
        <f>SUM(H495:H498)</f>
        <v>283932.59999999998</v>
      </c>
    </row>
    <row r="500" spans="1:8" x14ac:dyDescent="0.3">
      <c r="A500" s="53">
        <v>5</v>
      </c>
      <c r="B500" s="57" t="s">
        <v>8</v>
      </c>
      <c r="C500" s="40">
        <v>1</v>
      </c>
      <c r="D500" s="54">
        <v>1715</v>
      </c>
      <c r="E500" s="40">
        <v>8</v>
      </c>
      <c r="F500" s="40">
        <f>C500*D500*E500</f>
        <v>13720</v>
      </c>
      <c r="G500" s="55">
        <v>0</v>
      </c>
      <c r="H500" s="58">
        <f>(1-G500)*F500</f>
        <v>13720</v>
      </c>
    </row>
    <row r="501" spans="1:8" x14ac:dyDescent="0.3">
      <c r="A501" s="53"/>
      <c r="B501" s="57" t="s">
        <v>9</v>
      </c>
      <c r="C501" s="39"/>
      <c r="D501" s="59"/>
      <c r="E501" s="39"/>
      <c r="F501" s="39"/>
      <c r="G501" s="39"/>
      <c r="H501" s="58">
        <f>H499+H500</f>
        <v>297652.59999999998</v>
      </c>
    </row>
    <row r="502" spans="1:8" x14ac:dyDescent="0.3">
      <c r="A502" s="51"/>
      <c r="B502" s="57"/>
      <c r="C502" s="39"/>
      <c r="D502" s="59"/>
      <c r="E502" s="39"/>
      <c r="F502" s="39"/>
      <c r="G502" s="39"/>
      <c r="H502" s="58"/>
    </row>
    <row r="503" spans="1:8" x14ac:dyDescent="0.3">
      <c r="A503" s="43"/>
      <c r="B503" s="62">
        <v>978</v>
      </c>
      <c r="C503" s="44" t="s">
        <v>401</v>
      </c>
      <c r="D503" s="111"/>
      <c r="E503" s="44" t="s">
        <v>402</v>
      </c>
      <c r="F503" s="63"/>
      <c r="G503" s="60"/>
      <c r="H503" s="48"/>
    </row>
    <row r="504" spans="1:8" x14ac:dyDescent="0.3">
      <c r="A504" s="40"/>
      <c r="B504" s="64" t="s">
        <v>10</v>
      </c>
      <c r="C504" s="49" t="s">
        <v>1</v>
      </c>
      <c r="D504" s="112" t="s">
        <v>2</v>
      </c>
      <c r="E504" s="51" t="s">
        <v>3</v>
      </c>
      <c r="F504" s="65" t="s">
        <v>4</v>
      </c>
      <c r="G504" s="51" t="s">
        <v>5</v>
      </c>
      <c r="H504" s="52" t="s">
        <v>6</v>
      </c>
    </row>
    <row r="505" spans="1:8" ht="72" x14ac:dyDescent="0.3">
      <c r="A505" s="40">
        <v>1</v>
      </c>
      <c r="B505" s="64" t="s">
        <v>403</v>
      </c>
      <c r="C505" s="40">
        <v>1</v>
      </c>
      <c r="D505" s="41">
        <v>34</v>
      </c>
      <c r="E505" s="40">
        <v>300</v>
      </c>
      <c r="F505" s="68">
        <f>C505*D505*E505</f>
        <v>10200</v>
      </c>
      <c r="G505" s="55">
        <v>0.5</v>
      </c>
      <c r="H505" s="42">
        <f>F505*(1-G505)</f>
        <v>5100</v>
      </c>
    </row>
    <row r="506" spans="1:8" ht="28.8" x14ac:dyDescent="0.3">
      <c r="A506" s="40">
        <v>2</v>
      </c>
      <c r="B506" s="64" t="s">
        <v>404</v>
      </c>
      <c r="C506" s="40">
        <v>1</v>
      </c>
      <c r="D506" s="145">
        <f>54.5*6</f>
        <v>327</v>
      </c>
      <c r="E506" s="40">
        <v>22</v>
      </c>
      <c r="F506" s="68">
        <f>C506*D506*E506</f>
        <v>7194</v>
      </c>
      <c r="G506" s="55">
        <v>0.5</v>
      </c>
      <c r="H506" s="42">
        <f>(1-G506)*F506</f>
        <v>3597</v>
      </c>
    </row>
    <row r="507" spans="1:8" x14ac:dyDescent="0.3">
      <c r="A507" s="40"/>
      <c r="B507" s="70" t="s">
        <v>7</v>
      </c>
      <c r="C507" s="40"/>
      <c r="D507" s="145"/>
      <c r="E507" s="40"/>
      <c r="F507" s="68"/>
      <c r="G507" s="55"/>
      <c r="H507" s="58">
        <f>SUM(H505:H506)</f>
        <v>8697</v>
      </c>
    </row>
    <row r="508" spans="1:8" x14ac:dyDescent="0.3">
      <c r="A508" s="53">
        <v>3</v>
      </c>
      <c r="B508" s="70" t="s">
        <v>405</v>
      </c>
      <c r="C508" s="40">
        <v>1</v>
      </c>
      <c r="D508" s="146">
        <v>2977</v>
      </c>
      <c r="E508" s="40">
        <v>8</v>
      </c>
      <c r="F508" s="68">
        <f>C508*D508*E508</f>
        <v>23816</v>
      </c>
      <c r="G508" s="55">
        <v>0</v>
      </c>
      <c r="H508" s="58">
        <f>(1-G508)*F508</f>
        <v>23816</v>
      </c>
    </row>
    <row r="509" spans="1:8" x14ac:dyDescent="0.3">
      <c r="A509" s="53"/>
      <c r="B509" s="70" t="s">
        <v>9</v>
      </c>
      <c r="C509" s="40"/>
      <c r="D509" s="41"/>
      <c r="E509" s="40"/>
      <c r="F509" s="68"/>
      <c r="G509" s="40"/>
      <c r="H509" s="58">
        <f>SUM(H507:H508)</f>
        <v>32513</v>
      </c>
    </row>
    <row r="510" spans="1:8" x14ac:dyDescent="0.3">
      <c r="A510" s="40"/>
      <c r="B510" s="40"/>
      <c r="C510" s="40"/>
      <c r="D510" s="41"/>
      <c r="E510" s="40"/>
      <c r="F510" s="40"/>
      <c r="G510" s="40"/>
      <c r="H510" s="42"/>
    </row>
    <row r="511" spans="1:8" x14ac:dyDescent="0.3">
      <c r="A511" s="43"/>
      <c r="B511" s="62">
        <v>979</v>
      </c>
      <c r="C511" s="44" t="s">
        <v>406</v>
      </c>
      <c r="D511" s="111"/>
      <c r="E511" s="44" t="s">
        <v>407</v>
      </c>
      <c r="F511" s="63"/>
      <c r="G511" s="60"/>
      <c r="H511" s="48"/>
    </row>
    <row r="512" spans="1:8" s="3" customFormat="1" x14ac:dyDescent="0.3">
      <c r="A512" s="39"/>
      <c r="B512" s="147" t="s">
        <v>10</v>
      </c>
      <c r="C512" s="107" t="s">
        <v>1</v>
      </c>
      <c r="D512" s="121" t="s">
        <v>2</v>
      </c>
      <c r="E512" s="109" t="s">
        <v>3</v>
      </c>
      <c r="F512" s="122" t="s">
        <v>4</v>
      </c>
      <c r="G512" s="109" t="s">
        <v>5</v>
      </c>
      <c r="H512" s="106" t="s">
        <v>6</v>
      </c>
    </row>
    <row r="513" spans="1:8" ht="86.4" x14ac:dyDescent="0.3">
      <c r="A513" s="40">
        <v>1</v>
      </c>
      <c r="B513" s="64" t="s">
        <v>408</v>
      </c>
      <c r="C513" s="40">
        <v>1</v>
      </c>
      <c r="D513" s="41">
        <v>260.11</v>
      </c>
      <c r="E513" s="40">
        <v>450</v>
      </c>
      <c r="F513" s="68">
        <f>C513*D513*E513</f>
        <v>117049.5</v>
      </c>
      <c r="G513" s="55">
        <v>0.5</v>
      </c>
      <c r="H513" s="42">
        <f>F513*(1-G513)</f>
        <v>58524.75</v>
      </c>
    </row>
    <row r="514" spans="1:8" ht="57.6" x14ac:dyDescent="0.3">
      <c r="A514" s="40">
        <v>2</v>
      </c>
      <c r="B514" s="64" t="s">
        <v>409</v>
      </c>
      <c r="C514" s="40">
        <v>1</v>
      </c>
      <c r="D514" s="41">
        <v>17.5</v>
      </c>
      <c r="E514" s="40">
        <v>100</v>
      </c>
      <c r="F514" s="68">
        <f>D514*E514</f>
        <v>1750</v>
      </c>
      <c r="G514" s="55">
        <v>0.5</v>
      </c>
      <c r="H514" s="42">
        <f>F514*(1-G514)</f>
        <v>875</v>
      </c>
    </row>
    <row r="515" spans="1:8" ht="57.6" x14ac:dyDescent="0.3">
      <c r="A515" s="40">
        <v>3</v>
      </c>
      <c r="B515" s="64" t="s">
        <v>410</v>
      </c>
      <c r="C515" s="40">
        <v>1</v>
      </c>
      <c r="D515" s="41">
        <v>25</v>
      </c>
      <c r="E515" s="40">
        <v>100</v>
      </c>
      <c r="F515" s="68">
        <f>D515*E515</f>
        <v>2500</v>
      </c>
      <c r="G515" s="55">
        <v>0.5</v>
      </c>
      <c r="H515" s="42">
        <f>F515*(1-G515)</f>
        <v>1250</v>
      </c>
    </row>
    <row r="516" spans="1:8" ht="57.6" x14ac:dyDescent="0.3">
      <c r="A516" s="40">
        <v>4</v>
      </c>
      <c r="B516" s="64" t="s">
        <v>411</v>
      </c>
      <c r="C516" s="40">
        <v>1</v>
      </c>
      <c r="D516" s="41">
        <v>42</v>
      </c>
      <c r="E516" s="40">
        <v>150</v>
      </c>
      <c r="F516" s="68">
        <f>D516*E516</f>
        <v>6300</v>
      </c>
      <c r="G516" s="55">
        <v>0.5</v>
      </c>
      <c r="H516" s="42">
        <f>F516*(1-G516)</f>
        <v>3150</v>
      </c>
    </row>
    <row r="517" spans="1:8" ht="43.2" x14ac:dyDescent="0.3">
      <c r="A517" s="40">
        <v>5</v>
      </c>
      <c r="B517" s="64" t="s">
        <v>412</v>
      </c>
      <c r="C517" s="40">
        <v>1</v>
      </c>
      <c r="D517" s="41">
        <v>18</v>
      </c>
      <c r="E517" s="40">
        <v>50</v>
      </c>
      <c r="F517" s="68">
        <f>D517*E517</f>
        <v>900</v>
      </c>
      <c r="G517" s="55">
        <v>0.5</v>
      </c>
      <c r="H517" s="42">
        <f>F517*(1-G517)</f>
        <v>450</v>
      </c>
    </row>
    <row r="518" spans="1:8" ht="28.8" x14ac:dyDescent="0.3">
      <c r="A518" s="40">
        <v>5</v>
      </c>
      <c r="B518" s="64" t="s">
        <v>390</v>
      </c>
      <c r="C518" s="40">
        <v>1</v>
      </c>
      <c r="D518" s="145">
        <f>55.12*4</f>
        <v>220.48</v>
      </c>
      <c r="E518" s="40">
        <v>22</v>
      </c>
      <c r="F518" s="68">
        <f>C518*D518*E518</f>
        <v>4850.5599999999995</v>
      </c>
      <c r="G518" s="55">
        <v>0.5</v>
      </c>
      <c r="H518" s="42">
        <f>(1-G518)*F518</f>
        <v>2425.2799999999997</v>
      </c>
    </row>
    <row r="519" spans="1:8" x14ac:dyDescent="0.3">
      <c r="A519" s="40"/>
      <c r="B519" s="70" t="s">
        <v>7</v>
      </c>
      <c r="C519" s="40"/>
      <c r="D519" s="145"/>
      <c r="E519" s="40"/>
      <c r="F519" s="68"/>
      <c r="G519" s="55"/>
      <c r="H519" s="58">
        <f>SUM(H513:H518)</f>
        <v>66675.03</v>
      </c>
    </row>
    <row r="520" spans="1:8" x14ac:dyDescent="0.3">
      <c r="A520" s="53">
        <v>6</v>
      </c>
      <c r="B520" s="70" t="s">
        <v>405</v>
      </c>
      <c r="C520" s="40">
        <v>1</v>
      </c>
      <c r="D520" s="146">
        <v>3093</v>
      </c>
      <c r="E520" s="40">
        <v>8</v>
      </c>
      <c r="F520" s="68">
        <f>C520*D520*E520</f>
        <v>24744</v>
      </c>
      <c r="G520" s="55">
        <v>0</v>
      </c>
      <c r="H520" s="58">
        <f>(1-G520)*F520</f>
        <v>24744</v>
      </c>
    </row>
    <row r="521" spans="1:8" x14ac:dyDescent="0.3">
      <c r="A521" s="53"/>
      <c r="B521" s="70" t="s">
        <v>9</v>
      </c>
      <c r="C521" s="40"/>
      <c r="D521" s="41"/>
      <c r="E521" s="40"/>
      <c r="F521" s="68"/>
      <c r="G521" s="40"/>
      <c r="H521" s="58">
        <f>SUM(H519:H520)</f>
        <v>91419.03</v>
      </c>
    </row>
    <row r="522" spans="1:8" x14ac:dyDescent="0.3">
      <c r="A522" s="43"/>
      <c r="B522" s="62">
        <v>980</v>
      </c>
      <c r="C522" s="44" t="s">
        <v>413</v>
      </c>
      <c r="D522" s="45"/>
      <c r="E522" s="46" t="s">
        <v>414</v>
      </c>
      <c r="F522" s="63"/>
      <c r="G522" s="60"/>
      <c r="H522" s="48"/>
    </row>
    <row r="523" spans="1:8" s="3" customFormat="1" x14ac:dyDescent="0.3">
      <c r="A523" s="39"/>
      <c r="B523" s="147" t="s">
        <v>0</v>
      </c>
      <c r="C523" s="107" t="s">
        <v>1</v>
      </c>
      <c r="D523" s="108" t="s">
        <v>2</v>
      </c>
      <c r="E523" s="109" t="s">
        <v>3</v>
      </c>
      <c r="F523" s="122" t="s">
        <v>4</v>
      </c>
      <c r="G523" s="109" t="s">
        <v>5</v>
      </c>
      <c r="H523" s="106" t="s">
        <v>6</v>
      </c>
    </row>
    <row r="524" spans="1:8" ht="86.4" x14ac:dyDescent="0.3">
      <c r="A524" s="40">
        <v>1</v>
      </c>
      <c r="B524" s="64" t="s">
        <v>415</v>
      </c>
      <c r="C524" s="40">
        <v>1</v>
      </c>
      <c r="D524" s="54">
        <v>273</v>
      </c>
      <c r="E524" s="40">
        <v>450</v>
      </c>
      <c r="F524" s="68">
        <f>C524*D524*E524</f>
        <v>122850</v>
      </c>
      <c r="G524" s="55">
        <v>0.5</v>
      </c>
      <c r="H524" s="42">
        <f>F524*(1-G524)</f>
        <v>61425</v>
      </c>
    </row>
    <row r="525" spans="1:8" ht="57.6" x14ac:dyDescent="0.3">
      <c r="A525" s="40">
        <v>2</v>
      </c>
      <c r="B525" s="64" t="s">
        <v>416</v>
      </c>
      <c r="C525" s="40">
        <v>1</v>
      </c>
      <c r="D525" s="54">
        <v>88</v>
      </c>
      <c r="E525" s="40">
        <v>150</v>
      </c>
      <c r="F525" s="68">
        <f>C525*D525*E525</f>
        <v>13200</v>
      </c>
      <c r="G525" s="55">
        <v>0.5</v>
      </c>
      <c r="H525" s="42">
        <f>F525*(1-G525)</f>
        <v>6600</v>
      </c>
    </row>
    <row r="526" spans="1:8" ht="43.2" x14ac:dyDescent="0.3">
      <c r="A526" s="40">
        <v>3</v>
      </c>
      <c r="B526" s="64" t="s">
        <v>417</v>
      </c>
      <c r="C526" s="40">
        <v>1</v>
      </c>
      <c r="D526" s="54">
        <v>20</v>
      </c>
      <c r="E526" s="40">
        <v>100</v>
      </c>
      <c r="F526" s="68">
        <f>C526*D526*E526</f>
        <v>2000</v>
      </c>
      <c r="G526" s="55">
        <v>0.5</v>
      </c>
      <c r="H526" s="42">
        <f>F526*(1-G526)</f>
        <v>1000</v>
      </c>
    </row>
    <row r="527" spans="1:8" x14ac:dyDescent="0.3">
      <c r="A527" s="40">
        <v>4</v>
      </c>
      <c r="B527" s="64" t="s">
        <v>418</v>
      </c>
      <c r="C527" s="40">
        <v>1</v>
      </c>
      <c r="D527" s="54">
        <v>30</v>
      </c>
      <c r="E527" s="40">
        <v>100</v>
      </c>
      <c r="F527" s="68">
        <f>C527*D527*E527</f>
        <v>3000</v>
      </c>
      <c r="G527" s="55">
        <v>0.7</v>
      </c>
      <c r="H527" s="42">
        <f>F527*(1-G527)</f>
        <v>900.00000000000011</v>
      </c>
    </row>
    <row r="528" spans="1:8" ht="28.8" x14ac:dyDescent="0.3">
      <c r="A528" s="40">
        <v>5</v>
      </c>
      <c r="B528" s="64" t="s">
        <v>419</v>
      </c>
      <c r="C528" s="40">
        <v>1</v>
      </c>
      <c r="D528" s="54">
        <f>55.6*4</f>
        <v>222.4</v>
      </c>
      <c r="E528" s="40">
        <v>22</v>
      </c>
      <c r="F528" s="68">
        <f>C528*D528*E528*0.5</f>
        <v>2446.4</v>
      </c>
      <c r="G528" s="55">
        <v>0.5</v>
      </c>
      <c r="H528" s="42">
        <f>F528*(1-G528)</f>
        <v>1223.2</v>
      </c>
    </row>
    <row r="529" spans="1:8" x14ac:dyDescent="0.3">
      <c r="A529" s="40"/>
      <c r="B529" s="70" t="s">
        <v>7</v>
      </c>
      <c r="C529" s="40"/>
      <c r="D529" s="54"/>
      <c r="E529" s="40"/>
      <c r="F529" s="68"/>
      <c r="G529" s="55"/>
      <c r="H529" s="58">
        <f>SUM(H524:H528)</f>
        <v>71148.2</v>
      </c>
    </row>
    <row r="530" spans="1:8" x14ac:dyDescent="0.3">
      <c r="A530" s="40">
        <v>6</v>
      </c>
      <c r="B530" s="70" t="s">
        <v>8</v>
      </c>
      <c r="C530" s="40">
        <v>1</v>
      </c>
      <c r="D530" s="54">
        <v>3093</v>
      </c>
      <c r="E530" s="40">
        <v>8</v>
      </c>
      <c r="F530" s="68">
        <f>C530*D530*E530</f>
        <v>24744</v>
      </c>
      <c r="G530" s="55">
        <v>0</v>
      </c>
      <c r="H530" s="58">
        <f>(1-G530)*F530</f>
        <v>24744</v>
      </c>
    </row>
    <row r="531" spans="1:8" x14ac:dyDescent="0.3">
      <c r="A531" s="51"/>
      <c r="B531" s="70" t="s">
        <v>9</v>
      </c>
      <c r="C531" s="39"/>
      <c r="D531" s="59"/>
      <c r="E531" s="39"/>
      <c r="F531" s="71"/>
      <c r="G531" s="39"/>
      <c r="H531" s="58">
        <f>H529+H530</f>
        <v>95892.2</v>
      </c>
    </row>
    <row r="532" spans="1:8" x14ac:dyDescent="0.3">
      <c r="A532" s="43"/>
      <c r="B532" s="62">
        <v>981</v>
      </c>
      <c r="C532" s="44" t="s">
        <v>420</v>
      </c>
      <c r="D532" s="45"/>
      <c r="E532" s="46" t="s">
        <v>421</v>
      </c>
      <c r="F532" s="63"/>
      <c r="G532" s="60"/>
      <c r="H532" s="48"/>
    </row>
    <row r="533" spans="1:8" s="3" customFormat="1" x14ac:dyDescent="0.3">
      <c r="A533" s="39"/>
      <c r="B533" s="147" t="s">
        <v>0</v>
      </c>
      <c r="C533" s="107" t="s">
        <v>1</v>
      </c>
      <c r="D533" s="108" t="s">
        <v>2</v>
      </c>
      <c r="E533" s="109" t="s">
        <v>3</v>
      </c>
      <c r="F533" s="122" t="s">
        <v>4</v>
      </c>
      <c r="G533" s="109" t="s">
        <v>5</v>
      </c>
      <c r="H533" s="106" t="s">
        <v>6</v>
      </c>
    </row>
    <row r="534" spans="1:8" ht="86.4" x14ac:dyDescent="0.3">
      <c r="A534" s="40">
        <v>1</v>
      </c>
      <c r="B534" s="64" t="s">
        <v>422</v>
      </c>
      <c r="C534" s="40">
        <v>1</v>
      </c>
      <c r="D534" s="54">
        <v>207</v>
      </c>
      <c r="E534" s="40">
        <v>500</v>
      </c>
      <c r="F534" s="68">
        <f>C534*D534*E534</f>
        <v>103500</v>
      </c>
      <c r="G534" s="55">
        <v>0.5</v>
      </c>
      <c r="H534" s="42">
        <f>F534*(1-G534)</f>
        <v>51750</v>
      </c>
    </row>
    <row r="535" spans="1:8" ht="28.8" x14ac:dyDescent="0.3">
      <c r="A535" s="40"/>
      <c r="B535" s="144" t="s">
        <v>1430</v>
      </c>
      <c r="C535" s="40">
        <v>1</v>
      </c>
      <c r="D535" s="54">
        <f>46.3*4</f>
        <v>185.2</v>
      </c>
      <c r="E535" s="40">
        <v>45</v>
      </c>
      <c r="F535" s="68">
        <f>C535*D535*E535*0.5</f>
        <v>4167</v>
      </c>
      <c r="G535" s="55">
        <v>0.5</v>
      </c>
      <c r="H535" s="42">
        <f>F535*(1-G535)</f>
        <v>2083.5</v>
      </c>
    </row>
    <row r="536" spans="1:8" x14ac:dyDescent="0.3">
      <c r="A536" s="40"/>
      <c r="B536" s="70" t="s">
        <v>7</v>
      </c>
      <c r="C536" s="40"/>
      <c r="D536" s="54"/>
      <c r="E536" s="40"/>
      <c r="F536" s="68"/>
      <c r="G536" s="55"/>
      <c r="H536" s="58">
        <f>SUM(H534:H535)</f>
        <v>53833.5</v>
      </c>
    </row>
    <row r="537" spans="1:8" x14ac:dyDescent="0.3">
      <c r="A537" s="40">
        <v>2</v>
      </c>
      <c r="B537" s="70" t="s">
        <v>8</v>
      </c>
      <c r="C537" s="40">
        <v>1</v>
      </c>
      <c r="D537" s="54">
        <v>2151</v>
      </c>
      <c r="E537" s="40">
        <v>8</v>
      </c>
      <c r="F537" s="68">
        <f>C537*D537*E537</f>
        <v>17208</v>
      </c>
      <c r="G537" s="55">
        <v>0</v>
      </c>
      <c r="H537" s="58">
        <f>F537*(1-G537)</f>
        <v>17208</v>
      </c>
    </row>
    <row r="538" spans="1:8" x14ac:dyDescent="0.3">
      <c r="A538" s="51"/>
      <c r="B538" s="70" t="s">
        <v>9</v>
      </c>
      <c r="C538" s="39"/>
      <c r="D538" s="59"/>
      <c r="E538" s="39"/>
      <c r="F538" s="71"/>
      <c r="G538" s="39"/>
      <c r="H538" s="58">
        <f>SUM(H536:H537)</f>
        <v>71041.5</v>
      </c>
    </row>
    <row r="539" spans="1:8" x14ac:dyDescent="0.3">
      <c r="A539" s="43"/>
      <c r="B539" s="62" t="s">
        <v>423</v>
      </c>
      <c r="C539" s="44" t="s">
        <v>424</v>
      </c>
      <c r="D539" s="45"/>
      <c r="E539" s="46" t="s">
        <v>425</v>
      </c>
      <c r="F539" s="63"/>
      <c r="G539" s="60"/>
      <c r="H539" s="48"/>
    </row>
    <row r="540" spans="1:8" x14ac:dyDescent="0.3">
      <c r="A540" s="40"/>
      <c r="B540" s="64" t="s">
        <v>0</v>
      </c>
      <c r="C540" s="49" t="s">
        <v>1</v>
      </c>
      <c r="D540" s="50" t="s">
        <v>2</v>
      </c>
      <c r="E540" s="51" t="s">
        <v>3</v>
      </c>
      <c r="F540" s="65" t="s">
        <v>4</v>
      </c>
      <c r="G540" s="51" t="s">
        <v>5</v>
      </c>
      <c r="H540" s="52" t="s">
        <v>6</v>
      </c>
    </row>
    <row r="541" spans="1:8" ht="86.4" x14ac:dyDescent="0.3">
      <c r="A541" s="40">
        <v>1</v>
      </c>
      <c r="B541" s="64" t="s">
        <v>426</v>
      </c>
      <c r="C541" s="40">
        <v>1</v>
      </c>
      <c r="D541" s="54">
        <v>176</v>
      </c>
      <c r="E541" s="40">
        <v>500</v>
      </c>
      <c r="F541" s="68">
        <f>C541*D541*E541</f>
        <v>88000</v>
      </c>
      <c r="G541" s="55">
        <v>0.5</v>
      </c>
      <c r="H541" s="42">
        <f>F541*(1-G541)</f>
        <v>44000</v>
      </c>
    </row>
    <row r="542" spans="1:8" ht="72" x14ac:dyDescent="0.3">
      <c r="A542" s="40">
        <v>2</v>
      </c>
      <c r="B542" s="64" t="s">
        <v>427</v>
      </c>
      <c r="C542" s="40">
        <v>1</v>
      </c>
      <c r="D542" s="54">
        <v>20</v>
      </c>
      <c r="E542" s="40">
        <v>150</v>
      </c>
      <c r="F542" s="68">
        <f>C542*D542*E542</f>
        <v>3000</v>
      </c>
      <c r="G542" s="55">
        <v>0.5</v>
      </c>
      <c r="H542" s="42">
        <f>F542*(1-G542)</f>
        <v>1500</v>
      </c>
    </row>
    <row r="543" spans="1:8" ht="43.2" x14ac:dyDescent="0.3">
      <c r="A543" s="40">
        <v>3</v>
      </c>
      <c r="B543" s="64" t="s">
        <v>428</v>
      </c>
      <c r="C543" s="40">
        <v>1</v>
      </c>
      <c r="D543" s="54">
        <v>21</v>
      </c>
      <c r="E543" s="40">
        <v>50</v>
      </c>
      <c r="F543" s="68">
        <f>C543*D543*E543</f>
        <v>1050</v>
      </c>
      <c r="G543" s="55">
        <v>0.5</v>
      </c>
      <c r="H543" s="42">
        <f>F543*(1-G543)</f>
        <v>525</v>
      </c>
    </row>
    <row r="544" spans="1:8" x14ac:dyDescent="0.3">
      <c r="A544" s="40"/>
      <c r="B544" s="70" t="s">
        <v>7</v>
      </c>
      <c r="C544" s="40"/>
      <c r="D544" s="54"/>
      <c r="E544" s="40"/>
      <c r="F544" s="68"/>
      <c r="G544" s="55"/>
      <c r="H544" s="58">
        <f>SUM(H541:H543)</f>
        <v>46025</v>
      </c>
    </row>
    <row r="545" spans="1:8" x14ac:dyDescent="0.3">
      <c r="A545" s="40">
        <v>4</v>
      </c>
      <c r="B545" s="70" t="s">
        <v>8</v>
      </c>
      <c r="C545" s="40">
        <v>1</v>
      </c>
      <c r="D545" s="54">
        <v>1486</v>
      </c>
      <c r="E545" s="40">
        <v>8</v>
      </c>
      <c r="F545" s="68">
        <f>C545*D545*E545</f>
        <v>11888</v>
      </c>
      <c r="G545" s="55">
        <v>0</v>
      </c>
      <c r="H545" s="58">
        <f>(1-G545)*F545</f>
        <v>11888</v>
      </c>
    </row>
    <row r="546" spans="1:8" x14ac:dyDescent="0.3">
      <c r="A546" s="51"/>
      <c r="B546" s="70" t="s">
        <v>9</v>
      </c>
      <c r="C546" s="39"/>
      <c r="D546" s="59"/>
      <c r="E546" s="39"/>
      <c r="F546" s="71"/>
      <c r="G546" s="39"/>
      <c r="H546" s="58">
        <f>H544+H545</f>
        <v>57913</v>
      </c>
    </row>
    <row r="547" spans="1:8" x14ac:dyDescent="0.3">
      <c r="A547" s="43"/>
      <c r="B547" s="62" t="s">
        <v>429</v>
      </c>
      <c r="C547" s="44" t="s">
        <v>430</v>
      </c>
      <c r="D547" s="45"/>
      <c r="E547" s="46" t="s">
        <v>431</v>
      </c>
      <c r="F547" s="63"/>
      <c r="G547" s="60"/>
      <c r="H547" s="48"/>
    </row>
    <row r="548" spans="1:8" s="3" customFormat="1" x14ac:dyDescent="0.3">
      <c r="A548" s="39"/>
      <c r="B548" s="147" t="s">
        <v>0</v>
      </c>
      <c r="C548" s="107" t="s">
        <v>1</v>
      </c>
      <c r="D548" s="108" t="s">
        <v>2</v>
      </c>
      <c r="E548" s="109" t="s">
        <v>3</v>
      </c>
      <c r="F548" s="122" t="s">
        <v>4</v>
      </c>
      <c r="G548" s="109" t="s">
        <v>5</v>
      </c>
      <c r="H548" s="106" t="s">
        <v>6</v>
      </c>
    </row>
    <row r="549" spans="1:8" ht="86.4" x14ac:dyDescent="0.3">
      <c r="A549" s="40">
        <v>1</v>
      </c>
      <c r="B549" s="64" t="s">
        <v>432</v>
      </c>
      <c r="C549" s="40">
        <v>1</v>
      </c>
      <c r="D549" s="54">
        <v>176</v>
      </c>
      <c r="E549" s="40">
        <v>400</v>
      </c>
      <c r="F549" s="68">
        <f>C549*D549*E549</f>
        <v>70400</v>
      </c>
      <c r="G549" s="55">
        <v>0.5</v>
      </c>
      <c r="H549" s="42">
        <f>F549*(1-G549)</f>
        <v>35200</v>
      </c>
    </row>
    <row r="550" spans="1:8" ht="72" x14ac:dyDescent="0.3">
      <c r="A550" s="40">
        <v>2</v>
      </c>
      <c r="B550" s="64" t="s">
        <v>433</v>
      </c>
      <c r="C550" s="40">
        <v>1</v>
      </c>
      <c r="D550" s="54">
        <v>82</v>
      </c>
      <c r="E550" s="40">
        <v>200</v>
      </c>
      <c r="F550" s="68">
        <f>C550*D550*E550</f>
        <v>16400</v>
      </c>
      <c r="G550" s="55">
        <v>0.5</v>
      </c>
      <c r="H550" s="42">
        <f>F550*(1-G550)</f>
        <v>8200</v>
      </c>
    </row>
    <row r="551" spans="1:8" ht="57.6" x14ac:dyDescent="0.3">
      <c r="A551" s="40">
        <v>3</v>
      </c>
      <c r="B551" s="64" t="s">
        <v>434</v>
      </c>
      <c r="C551" s="40">
        <v>1</v>
      </c>
      <c r="D551" s="54">
        <v>18.2</v>
      </c>
      <c r="E551" s="40">
        <v>100</v>
      </c>
      <c r="F551" s="68">
        <f>C551*D551*E551</f>
        <v>1820</v>
      </c>
      <c r="G551" s="55">
        <v>0.5</v>
      </c>
      <c r="H551" s="42">
        <f>F551*(1-G551)</f>
        <v>910</v>
      </c>
    </row>
    <row r="552" spans="1:8" ht="28.8" x14ac:dyDescent="0.3">
      <c r="A552" s="40">
        <v>4</v>
      </c>
      <c r="B552" s="144" t="s">
        <v>1433</v>
      </c>
      <c r="C552" s="40">
        <v>1</v>
      </c>
      <c r="D552" s="54">
        <f>35.7*4</f>
        <v>142.80000000000001</v>
      </c>
      <c r="E552" s="40">
        <v>45</v>
      </c>
      <c r="F552" s="68">
        <f>C552*D552*E552*0.5</f>
        <v>3213.0000000000005</v>
      </c>
      <c r="G552" s="55">
        <v>0.5</v>
      </c>
      <c r="H552" s="42">
        <f>F552*(1-G552)</f>
        <v>1606.5000000000002</v>
      </c>
    </row>
    <row r="553" spans="1:8" x14ac:dyDescent="0.3">
      <c r="A553" s="40"/>
      <c r="B553" s="70" t="s">
        <v>7</v>
      </c>
      <c r="C553" s="40"/>
      <c r="D553" s="54"/>
      <c r="E553" s="40"/>
      <c r="F553" s="68"/>
      <c r="G553" s="55"/>
      <c r="H553" s="58">
        <f>SUM(H549:H552)</f>
        <v>45916.5</v>
      </c>
    </row>
    <row r="554" spans="1:8" x14ac:dyDescent="0.3">
      <c r="A554" s="40">
        <v>5</v>
      </c>
      <c r="B554" s="70" t="s">
        <v>8</v>
      </c>
      <c r="C554" s="40">
        <v>1</v>
      </c>
      <c r="D554" s="54">
        <v>1278</v>
      </c>
      <c r="E554" s="40">
        <v>8</v>
      </c>
      <c r="F554" s="68">
        <f>C554*D554*E554</f>
        <v>10224</v>
      </c>
      <c r="G554" s="55">
        <v>0</v>
      </c>
      <c r="H554" s="58">
        <f>(1-G554)*F554</f>
        <v>10224</v>
      </c>
    </row>
    <row r="555" spans="1:8" x14ac:dyDescent="0.3">
      <c r="A555" s="51"/>
      <c r="B555" s="70" t="s">
        <v>9</v>
      </c>
      <c r="C555" s="39"/>
      <c r="D555" s="59"/>
      <c r="E555" s="39"/>
      <c r="F555" s="71"/>
      <c r="G555" s="39"/>
      <c r="H555" s="58">
        <f>H553+H554</f>
        <v>56140.5</v>
      </c>
    </row>
    <row r="556" spans="1:8" x14ac:dyDescent="0.3">
      <c r="A556" s="43"/>
      <c r="B556" s="62" t="s">
        <v>435</v>
      </c>
      <c r="C556" s="44" t="s">
        <v>436</v>
      </c>
      <c r="D556" s="45"/>
      <c r="E556" s="46" t="s">
        <v>437</v>
      </c>
      <c r="F556" s="63"/>
      <c r="G556" s="60"/>
      <c r="H556" s="48"/>
    </row>
    <row r="557" spans="1:8" s="3" customFormat="1" x14ac:dyDescent="0.3">
      <c r="A557" s="39"/>
      <c r="B557" s="147" t="s">
        <v>0</v>
      </c>
      <c r="C557" s="107" t="s">
        <v>1</v>
      </c>
      <c r="D557" s="108" t="s">
        <v>2</v>
      </c>
      <c r="E557" s="109" t="s">
        <v>3</v>
      </c>
      <c r="F557" s="122" t="s">
        <v>4</v>
      </c>
      <c r="G557" s="109" t="s">
        <v>5</v>
      </c>
      <c r="H557" s="106" t="s">
        <v>6</v>
      </c>
    </row>
    <row r="558" spans="1:8" ht="86.4" x14ac:dyDescent="0.3">
      <c r="A558" s="40">
        <v>1</v>
      </c>
      <c r="B558" s="64" t="s">
        <v>438</v>
      </c>
      <c r="C558" s="40">
        <v>1</v>
      </c>
      <c r="D558" s="54">
        <v>132</v>
      </c>
      <c r="E558" s="40">
        <v>400</v>
      </c>
      <c r="F558" s="68">
        <f>C558*D558*E558</f>
        <v>52800</v>
      </c>
      <c r="G558" s="55">
        <v>0.5</v>
      </c>
      <c r="H558" s="42">
        <f>F558*(1-G558)</f>
        <v>26400</v>
      </c>
    </row>
    <row r="559" spans="1:8" ht="57.6" x14ac:dyDescent="0.3">
      <c r="A559" s="40">
        <v>2</v>
      </c>
      <c r="B559" s="64" t="s">
        <v>434</v>
      </c>
      <c r="C559" s="40">
        <v>1</v>
      </c>
      <c r="D559" s="54">
        <v>20</v>
      </c>
      <c r="E559" s="40">
        <v>100</v>
      </c>
      <c r="F559" s="68">
        <f>C559*D559*E559</f>
        <v>2000</v>
      </c>
      <c r="G559" s="55">
        <v>0.5</v>
      </c>
      <c r="H559" s="42">
        <f>F559*(1-G559)</f>
        <v>1000</v>
      </c>
    </row>
    <row r="560" spans="1:8" ht="57.6" x14ac:dyDescent="0.3">
      <c r="A560" s="40">
        <v>3</v>
      </c>
      <c r="B560" s="64" t="s">
        <v>439</v>
      </c>
      <c r="C560" s="40">
        <v>1</v>
      </c>
      <c r="D560" s="54">
        <v>70</v>
      </c>
      <c r="E560" s="40">
        <v>80</v>
      </c>
      <c r="F560" s="68">
        <f>C560*D560*E560</f>
        <v>5600</v>
      </c>
      <c r="G560" s="55">
        <v>0.5</v>
      </c>
      <c r="H560" s="42">
        <f>F560*(1-G560)</f>
        <v>2800</v>
      </c>
    </row>
    <row r="561" spans="1:8" x14ac:dyDescent="0.3">
      <c r="A561" s="40"/>
      <c r="B561" s="70" t="s">
        <v>7</v>
      </c>
      <c r="C561" s="40"/>
      <c r="D561" s="54"/>
      <c r="E561" s="40"/>
      <c r="F561" s="68"/>
      <c r="G561" s="55"/>
      <c r="H561" s="58">
        <f>SUM(H558:H560)</f>
        <v>30200</v>
      </c>
    </row>
    <row r="562" spans="1:8" x14ac:dyDescent="0.3">
      <c r="A562" s="40">
        <v>4</v>
      </c>
      <c r="B562" s="70" t="s">
        <v>8</v>
      </c>
      <c r="C562" s="40">
        <v>1</v>
      </c>
      <c r="D562" s="54">
        <v>1262</v>
      </c>
      <c r="E562" s="40">
        <v>8</v>
      </c>
      <c r="F562" s="68">
        <f>C562*D562*E562</f>
        <v>10096</v>
      </c>
      <c r="G562" s="55">
        <v>0</v>
      </c>
      <c r="H562" s="58">
        <f>(1-G562)*F562</f>
        <v>10096</v>
      </c>
    </row>
    <row r="563" spans="1:8" x14ac:dyDescent="0.3">
      <c r="A563" s="51"/>
      <c r="B563" s="70" t="s">
        <v>9</v>
      </c>
      <c r="C563" s="39"/>
      <c r="D563" s="59"/>
      <c r="E563" s="39"/>
      <c r="F563" s="71"/>
      <c r="G563" s="39"/>
      <c r="H563" s="58">
        <f>H561+H562</f>
        <v>40296</v>
      </c>
    </row>
    <row r="564" spans="1:8" x14ac:dyDescent="0.3">
      <c r="A564" s="43"/>
      <c r="B564" s="62">
        <v>984</v>
      </c>
      <c r="C564" s="44" t="s">
        <v>440</v>
      </c>
      <c r="D564" s="45"/>
      <c r="E564" s="46" t="s">
        <v>441</v>
      </c>
      <c r="F564" s="63"/>
      <c r="G564" s="60"/>
      <c r="H564" s="48"/>
    </row>
    <row r="565" spans="1:8" s="3" customFormat="1" x14ac:dyDescent="0.3">
      <c r="A565" s="39"/>
      <c r="B565" s="147" t="s">
        <v>0</v>
      </c>
      <c r="C565" s="107" t="s">
        <v>1</v>
      </c>
      <c r="D565" s="108" t="s">
        <v>2</v>
      </c>
      <c r="E565" s="109" t="s">
        <v>3</v>
      </c>
      <c r="F565" s="122" t="s">
        <v>4</v>
      </c>
      <c r="G565" s="109" t="s">
        <v>5</v>
      </c>
      <c r="H565" s="106" t="s">
        <v>6</v>
      </c>
    </row>
    <row r="566" spans="1:8" ht="86.4" x14ac:dyDescent="0.3">
      <c r="A566" s="40">
        <v>1</v>
      </c>
      <c r="B566" s="64" t="s">
        <v>442</v>
      </c>
      <c r="C566" s="40">
        <v>1</v>
      </c>
      <c r="D566" s="54">
        <v>160</v>
      </c>
      <c r="E566" s="40">
        <v>400</v>
      </c>
      <c r="F566" s="68">
        <f>C566*D566*E566</f>
        <v>64000</v>
      </c>
      <c r="G566" s="55">
        <v>0.5</v>
      </c>
      <c r="H566" s="42">
        <f>F566*(1-G566)</f>
        <v>32000</v>
      </c>
    </row>
    <row r="567" spans="1:8" ht="57.6" x14ac:dyDescent="0.3">
      <c r="A567" s="40">
        <v>2</v>
      </c>
      <c r="B567" s="64" t="s">
        <v>443</v>
      </c>
      <c r="C567" s="40">
        <v>1</v>
      </c>
      <c r="D567" s="54">
        <v>17</v>
      </c>
      <c r="E567" s="40">
        <v>100</v>
      </c>
      <c r="F567" s="68">
        <f>C567*D567*E567</f>
        <v>1700</v>
      </c>
      <c r="G567" s="55">
        <v>0.5</v>
      </c>
      <c r="H567" s="42">
        <f>F567*(1-G567)</f>
        <v>850</v>
      </c>
    </row>
    <row r="568" spans="1:8" ht="43.2" x14ac:dyDescent="0.3">
      <c r="A568" s="40">
        <v>3</v>
      </c>
      <c r="B568" s="64" t="s">
        <v>444</v>
      </c>
      <c r="C568" s="40">
        <v>1</v>
      </c>
      <c r="D568" s="54">
        <v>20</v>
      </c>
      <c r="E568" s="40">
        <v>100</v>
      </c>
      <c r="F568" s="68">
        <f>C568*D568*E568</f>
        <v>2000</v>
      </c>
      <c r="G568" s="55">
        <v>0.5</v>
      </c>
      <c r="H568" s="42">
        <f>F568*(1-G568)</f>
        <v>1000</v>
      </c>
    </row>
    <row r="569" spans="1:8" ht="28.8" x14ac:dyDescent="0.3">
      <c r="A569" s="40">
        <v>4</v>
      </c>
      <c r="B569" s="64" t="s">
        <v>445</v>
      </c>
      <c r="C569" s="40">
        <v>1</v>
      </c>
      <c r="D569" s="54">
        <f>37.8*4</f>
        <v>151.19999999999999</v>
      </c>
      <c r="E569" s="40">
        <v>22</v>
      </c>
      <c r="F569" s="68">
        <f>C569*D569*E569*0.5</f>
        <v>1663.1999999999998</v>
      </c>
      <c r="G569" s="55">
        <v>0.5</v>
      </c>
      <c r="H569" s="42">
        <f>F569*(1-G569)</f>
        <v>831.59999999999991</v>
      </c>
    </row>
    <row r="570" spans="1:8" x14ac:dyDescent="0.3">
      <c r="A570" s="40"/>
      <c r="B570" s="70" t="s">
        <v>7</v>
      </c>
      <c r="C570" s="40"/>
      <c r="D570" s="54"/>
      <c r="E570" s="40"/>
      <c r="F570" s="68"/>
      <c r="G570" s="55"/>
      <c r="H570" s="58">
        <f>SUM(H566:H569)</f>
        <v>34681.599999999999</v>
      </c>
    </row>
    <row r="571" spans="1:8" x14ac:dyDescent="0.3">
      <c r="A571" s="40">
        <v>5</v>
      </c>
      <c r="B571" s="70" t="s">
        <v>8</v>
      </c>
      <c r="C571" s="40">
        <v>1</v>
      </c>
      <c r="D571" s="54">
        <v>1433</v>
      </c>
      <c r="E571" s="40">
        <v>8</v>
      </c>
      <c r="F571" s="68">
        <f>C571*D571*E571</f>
        <v>11464</v>
      </c>
      <c r="G571" s="55">
        <v>0</v>
      </c>
      <c r="H571" s="58">
        <f>(1-G571)*F571</f>
        <v>11464</v>
      </c>
    </row>
    <row r="572" spans="1:8" x14ac:dyDescent="0.3">
      <c r="A572" s="51"/>
      <c r="B572" s="70" t="s">
        <v>9</v>
      </c>
      <c r="C572" s="39"/>
      <c r="D572" s="59"/>
      <c r="E572" s="39"/>
      <c r="F572" s="71"/>
      <c r="G572" s="39"/>
      <c r="H572" s="58">
        <f>H570+H571</f>
        <v>46145.599999999999</v>
      </c>
    </row>
    <row r="573" spans="1:8" x14ac:dyDescent="0.3">
      <c r="A573" s="43"/>
      <c r="B573" s="72">
        <v>987</v>
      </c>
      <c r="C573" s="44" t="s">
        <v>1110</v>
      </c>
      <c r="D573" s="73"/>
      <c r="E573" s="44" t="s">
        <v>1111</v>
      </c>
      <c r="F573" s="60"/>
      <c r="G573" s="60"/>
      <c r="H573" s="48"/>
    </row>
    <row r="574" spans="1:8" s="3" customFormat="1" x14ac:dyDescent="0.3">
      <c r="A574" s="39"/>
      <c r="B574" s="107" t="s">
        <v>10</v>
      </c>
      <c r="C574" s="107" t="s">
        <v>1</v>
      </c>
      <c r="D574" s="108" t="s">
        <v>2</v>
      </c>
      <c r="E574" s="109" t="s">
        <v>3</v>
      </c>
      <c r="F574" s="109" t="s">
        <v>4</v>
      </c>
      <c r="G574" s="109" t="s">
        <v>5</v>
      </c>
      <c r="H574" s="106" t="s">
        <v>6</v>
      </c>
    </row>
    <row r="575" spans="1:8" ht="129.6" x14ac:dyDescent="0.3">
      <c r="A575" s="53">
        <v>1</v>
      </c>
      <c r="B575" s="53" t="s">
        <v>1727</v>
      </c>
      <c r="C575" s="40">
        <v>1</v>
      </c>
      <c r="D575" s="54">
        <v>17106.07</v>
      </c>
      <c r="E575" s="40">
        <v>600</v>
      </c>
      <c r="F575" s="40">
        <f t="shared" ref="F575:F591" si="44">C575*D575*E575</f>
        <v>10263642</v>
      </c>
      <c r="G575" s="55">
        <v>0.4</v>
      </c>
      <c r="H575" s="42">
        <f t="shared" ref="H575:H591" si="45">F575*(1-G575)</f>
        <v>6158185.2000000002</v>
      </c>
    </row>
    <row r="576" spans="1:8" ht="115.2" x14ac:dyDescent="0.3">
      <c r="A576" s="53">
        <v>2</v>
      </c>
      <c r="B576" s="53" t="s">
        <v>1728</v>
      </c>
      <c r="C576" s="40">
        <v>1</v>
      </c>
      <c r="D576" s="54">
        <v>425.17</v>
      </c>
      <c r="E576" s="40">
        <v>500</v>
      </c>
      <c r="F576" s="40">
        <f t="shared" si="44"/>
        <v>212585</v>
      </c>
      <c r="G576" s="55">
        <v>0.5</v>
      </c>
      <c r="H576" s="42">
        <f t="shared" si="45"/>
        <v>106292.5</v>
      </c>
    </row>
    <row r="577" spans="1:8" ht="115.2" x14ac:dyDescent="0.3">
      <c r="A577" s="53">
        <v>3</v>
      </c>
      <c r="B577" s="53" t="s">
        <v>1729</v>
      </c>
      <c r="C577" s="40">
        <v>1</v>
      </c>
      <c r="D577" s="54">
        <v>2529.6</v>
      </c>
      <c r="E577" s="40">
        <v>400</v>
      </c>
      <c r="F577" s="40">
        <f t="shared" si="44"/>
        <v>1011840</v>
      </c>
      <c r="G577" s="55">
        <v>0.5</v>
      </c>
      <c r="H577" s="42">
        <f t="shared" si="45"/>
        <v>505920</v>
      </c>
    </row>
    <row r="578" spans="1:8" ht="129.6" x14ac:dyDescent="0.3">
      <c r="A578" s="53">
        <v>4</v>
      </c>
      <c r="B578" s="53" t="s">
        <v>1730</v>
      </c>
      <c r="C578" s="40">
        <v>1</v>
      </c>
      <c r="D578" s="54">
        <v>317.24</v>
      </c>
      <c r="E578" s="40">
        <v>350</v>
      </c>
      <c r="F578" s="40">
        <f t="shared" si="44"/>
        <v>111034</v>
      </c>
      <c r="G578" s="55">
        <v>0.5</v>
      </c>
      <c r="H578" s="42">
        <f t="shared" si="45"/>
        <v>55517</v>
      </c>
    </row>
    <row r="579" spans="1:8" ht="100.8" x14ac:dyDescent="0.3">
      <c r="A579" s="53">
        <v>5</v>
      </c>
      <c r="B579" s="53" t="s">
        <v>1731</v>
      </c>
      <c r="C579" s="40">
        <v>1</v>
      </c>
      <c r="D579" s="54">
        <v>612</v>
      </c>
      <c r="E579" s="40">
        <v>400</v>
      </c>
      <c r="F579" s="40">
        <f t="shared" si="44"/>
        <v>244800</v>
      </c>
      <c r="G579" s="55">
        <v>0.55000000000000004</v>
      </c>
      <c r="H579" s="42">
        <f t="shared" si="45"/>
        <v>110159.99999999999</v>
      </c>
    </row>
    <row r="580" spans="1:8" ht="86.4" x14ac:dyDescent="0.3">
      <c r="A580" s="53">
        <v>6</v>
      </c>
      <c r="B580" s="53" t="s">
        <v>1458</v>
      </c>
      <c r="C580" s="40">
        <v>1</v>
      </c>
      <c r="D580" s="54">
        <v>91</v>
      </c>
      <c r="E580" s="40">
        <v>100</v>
      </c>
      <c r="F580" s="40">
        <f t="shared" si="44"/>
        <v>9100</v>
      </c>
      <c r="G580" s="55">
        <v>0.5</v>
      </c>
      <c r="H580" s="42">
        <f t="shared" si="45"/>
        <v>4550</v>
      </c>
    </row>
    <row r="581" spans="1:8" ht="86.4" x14ac:dyDescent="0.3">
      <c r="A581" s="53">
        <v>7</v>
      </c>
      <c r="B581" s="53" t="s">
        <v>1732</v>
      </c>
      <c r="C581" s="40">
        <v>1</v>
      </c>
      <c r="D581" s="54">
        <v>16.66</v>
      </c>
      <c r="E581" s="40">
        <v>120</v>
      </c>
      <c r="F581" s="40">
        <f t="shared" si="44"/>
        <v>1999.2</v>
      </c>
      <c r="G581" s="55">
        <v>0.55000000000000004</v>
      </c>
      <c r="H581" s="42">
        <f t="shared" si="45"/>
        <v>899.64</v>
      </c>
    </row>
    <row r="582" spans="1:8" ht="115.2" x14ac:dyDescent="0.3">
      <c r="A582" s="53">
        <v>8</v>
      </c>
      <c r="B582" s="53" t="s">
        <v>1733</v>
      </c>
      <c r="C582" s="40">
        <v>1</v>
      </c>
      <c r="D582" s="54">
        <v>495.94</v>
      </c>
      <c r="E582" s="40">
        <v>300</v>
      </c>
      <c r="F582" s="40">
        <f t="shared" si="44"/>
        <v>148782</v>
      </c>
      <c r="G582" s="55">
        <v>0.5</v>
      </c>
      <c r="H582" s="42">
        <f t="shared" si="45"/>
        <v>74391</v>
      </c>
    </row>
    <row r="583" spans="1:8" ht="115.2" x14ac:dyDescent="0.3">
      <c r="A583" s="53">
        <v>9</v>
      </c>
      <c r="B583" s="53" t="s">
        <v>1562</v>
      </c>
      <c r="C583" s="40">
        <v>1</v>
      </c>
      <c r="D583" s="54">
        <v>414.22</v>
      </c>
      <c r="E583" s="40">
        <v>300</v>
      </c>
      <c r="F583" s="40">
        <f t="shared" si="44"/>
        <v>124266.00000000001</v>
      </c>
      <c r="G583" s="55">
        <v>0.5</v>
      </c>
      <c r="H583" s="42">
        <f t="shared" si="45"/>
        <v>62133.000000000007</v>
      </c>
    </row>
    <row r="584" spans="1:8" ht="86.4" x14ac:dyDescent="0.3">
      <c r="A584" s="53">
        <v>10</v>
      </c>
      <c r="B584" s="53" t="s">
        <v>1459</v>
      </c>
      <c r="C584" s="40">
        <v>1</v>
      </c>
      <c r="D584" s="54">
        <v>113.52</v>
      </c>
      <c r="E584" s="40">
        <v>100</v>
      </c>
      <c r="F584" s="40">
        <f t="shared" si="44"/>
        <v>11352</v>
      </c>
      <c r="G584" s="55">
        <v>0.55000000000000004</v>
      </c>
      <c r="H584" s="42">
        <f t="shared" si="45"/>
        <v>5108.3999999999996</v>
      </c>
    </row>
    <row r="585" spans="1:8" ht="57.6" x14ac:dyDescent="0.3">
      <c r="A585" s="53">
        <v>11</v>
      </c>
      <c r="B585" s="53" t="s">
        <v>1330</v>
      </c>
      <c r="C585" s="40">
        <v>1</v>
      </c>
      <c r="D585" s="54">
        <v>51.2</v>
      </c>
      <c r="E585" s="40">
        <v>80</v>
      </c>
      <c r="F585" s="40">
        <f t="shared" si="44"/>
        <v>4096</v>
      </c>
      <c r="G585" s="55">
        <v>0.5</v>
      </c>
      <c r="H585" s="42">
        <f t="shared" si="45"/>
        <v>2048</v>
      </c>
    </row>
    <row r="586" spans="1:8" ht="57.6" x14ac:dyDescent="0.3">
      <c r="A586" s="53">
        <v>12</v>
      </c>
      <c r="B586" s="53" t="s">
        <v>1331</v>
      </c>
      <c r="C586" s="40">
        <v>1</v>
      </c>
      <c r="D586" s="54">
        <v>60</v>
      </c>
      <c r="E586" s="40">
        <v>80</v>
      </c>
      <c r="F586" s="40">
        <f t="shared" si="44"/>
        <v>4800</v>
      </c>
      <c r="G586" s="55">
        <v>0.45</v>
      </c>
      <c r="H586" s="42">
        <f t="shared" si="45"/>
        <v>2640</v>
      </c>
    </row>
    <row r="587" spans="1:8" ht="57.6" x14ac:dyDescent="0.3">
      <c r="A587" s="53">
        <v>13</v>
      </c>
      <c r="B587" s="53" t="s">
        <v>1332</v>
      </c>
      <c r="C587" s="40">
        <v>1</v>
      </c>
      <c r="D587" s="54">
        <v>45.32</v>
      </c>
      <c r="E587" s="40">
        <v>80</v>
      </c>
      <c r="F587" s="40">
        <f t="shared" si="44"/>
        <v>3625.6</v>
      </c>
      <c r="G587" s="55">
        <v>0.5</v>
      </c>
      <c r="H587" s="42">
        <f t="shared" si="45"/>
        <v>1812.8</v>
      </c>
    </row>
    <row r="588" spans="1:8" ht="57.6" x14ac:dyDescent="0.3">
      <c r="A588" s="53">
        <v>14</v>
      </c>
      <c r="B588" s="53" t="s">
        <v>1333</v>
      </c>
      <c r="C588" s="40">
        <v>1</v>
      </c>
      <c r="D588" s="54">
        <v>115.92</v>
      </c>
      <c r="E588" s="40">
        <v>80</v>
      </c>
      <c r="F588" s="40">
        <f t="shared" si="44"/>
        <v>9273.6</v>
      </c>
      <c r="G588" s="55">
        <v>0.5</v>
      </c>
      <c r="H588" s="42">
        <f t="shared" si="45"/>
        <v>4636.8</v>
      </c>
    </row>
    <row r="589" spans="1:8" ht="72" x14ac:dyDescent="0.3">
      <c r="A589" s="53">
        <v>15</v>
      </c>
      <c r="B589" s="53" t="s">
        <v>1112</v>
      </c>
      <c r="C589" s="40">
        <v>1</v>
      </c>
      <c r="D589" s="54">
        <v>10.5</v>
      </c>
      <c r="E589" s="40">
        <v>100</v>
      </c>
      <c r="F589" s="40">
        <f t="shared" si="44"/>
        <v>1050</v>
      </c>
      <c r="G589" s="55">
        <v>0.5</v>
      </c>
      <c r="H589" s="42">
        <f t="shared" si="45"/>
        <v>525</v>
      </c>
    </row>
    <row r="590" spans="1:8" ht="43.2" x14ac:dyDescent="0.3">
      <c r="A590" s="53">
        <v>16</v>
      </c>
      <c r="B590" s="53" t="s">
        <v>1113</v>
      </c>
      <c r="C590" s="40">
        <v>1</v>
      </c>
      <c r="D590" s="54">
        <f>D591*3</f>
        <v>178.95</v>
      </c>
      <c r="E590" s="40">
        <v>22</v>
      </c>
      <c r="F590" s="40">
        <f t="shared" si="44"/>
        <v>3936.8999999999996</v>
      </c>
      <c r="G590" s="55">
        <v>0.5</v>
      </c>
      <c r="H590" s="42">
        <f t="shared" si="45"/>
        <v>1968.4499999999998</v>
      </c>
    </row>
    <row r="591" spans="1:8" ht="28.8" x14ac:dyDescent="0.3">
      <c r="A591" s="53"/>
      <c r="B591" s="53" t="s">
        <v>1447</v>
      </c>
      <c r="C591" s="40">
        <v>1</v>
      </c>
      <c r="D591" s="54">
        <v>59.65</v>
      </c>
      <c r="E591" s="40">
        <v>45</v>
      </c>
      <c r="F591" s="40">
        <f t="shared" si="44"/>
        <v>2684.25</v>
      </c>
      <c r="G591" s="55">
        <v>0.5</v>
      </c>
      <c r="H591" s="42">
        <f t="shared" si="45"/>
        <v>1342.125</v>
      </c>
    </row>
    <row r="592" spans="1:8" x14ac:dyDescent="0.3">
      <c r="A592" s="53"/>
      <c r="B592" s="57" t="s">
        <v>7</v>
      </c>
      <c r="C592" s="40"/>
      <c r="D592" s="54"/>
      <c r="E592" s="40"/>
      <c r="F592" s="40"/>
      <c r="G592" s="55"/>
      <c r="H592" s="58">
        <f>SUM(H575:H591)</f>
        <v>7098129.915</v>
      </c>
    </row>
    <row r="593" spans="1:8" x14ac:dyDescent="0.3">
      <c r="A593" s="53">
        <v>17</v>
      </c>
      <c r="B593" s="57" t="s">
        <v>8</v>
      </c>
      <c r="C593" s="40">
        <v>1</v>
      </c>
      <c r="D593" s="54">
        <v>3558</v>
      </c>
      <c r="E593" s="40">
        <v>8</v>
      </c>
      <c r="F593" s="40">
        <f>C593*D593*E593</f>
        <v>28464</v>
      </c>
      <c r="G593" s="55">
        <v>0</v>
      </c>
      <c r="H593" s="58">
        <f>(1-G593)*F593</f>
        <v>28464</v>
      </c>
    </row>
    <row r="594" spans="1:8" x14ac:dyDescent="0.3">
      <c r="A594" s="53"/>
      <c r="B594" s="57" t="s">
        <v>9</v>
      </c>
      <c r="C594" s="39"/>
      <c r="D594" s="59"/>
      <c r="E594" s="39"/>
      <c r="F594" s="39"/>
      <c r="G594" s="39"/>
      <c r="H594" s="58">
        <f>SUM(H592:H593)</f>
        <v>7126593.915</v>
      </c>
    </row>
    <row r="595" spans="1:8" x14ac:dyDescent="0.3">
      <c r="A595" s="40"/>
      <c r="B595" s="40"/>
      <c r="C595" s="40"/>
      <c r="D595" s="41"/>
      <c r="E595" s="40"/>
      <c r="F595" s="40"/>
      <c r="G595" s="40"/>
      <c r="H595" s="42"/>
    </row>
    <row r="596" spans="1:8" x14ac:dyDescent="0.3">
      <c r="A596" s="44"/>
      <c r="B596" s="148" t="s">
        <v>1914</v>
      </c>
      <c r="C596" s="44" t="s">
        <v>20</v>
      </c>
      <c r="D596" s="73"/>
      <c r="E596" s="46" t="s">
        <v>21</v>
      </c>
      <c r="F596" s="47"/>
      <c r="G596" s="47"/>
      <c r="H596" s="98"/>
    </row>
    <row r="597" spans="1:8" x14ac:dyDescent="0.3">
      <c r="A597" s="39"/>
      <c r="B597" s="107" t="s">
        <v>0</v>
      </c>
      <c r="C597" s="107" t="s">
        <v>1</v>
      </c>
      <c r="D597" s="108" t="s">
        <v>2</v>
      </c>
      <c r="E597" s="109" t="s">
        <v>3</v>
      </c>
      <c r="F597" s="109" t="s">
        <v>4</v>
      </c>
      <c r="G597" s="109" t="s">
        <v>5</v>
      </c>
      <c r="H597" s="106" t="s">
        <v>6</v>
      </c>
    </row>
    <row r="598" spans="1:8" ht="57.6" x14ac:dyDescent="0.3">
      <c r="A598" s="40">
        <v>1</v>
      </c>
      <c r="B598" s="110" t="s">
        <v>1734</v>
      </c>
      <c r="C598" s="40">
        <v>1</v>
      </c>
      <c r="D598" s="54">
        <v>350.35</v>
      </c>
      <c r="E598" s="40">
        <v>350</v>
      </c>
      <c r="F598" s="40">
        <f>C598*D598*E598</f>
        <v>122622.50000000001</v>
      </c>
      <c r="G598" s="55">
        <v>0.5</v>
      </c>
      <c r="H598" s="42">
        <f>F598*(1-G598)</f>
        <v>61311.250000000007</v>
      </c>
    </row>
    <row r="599" spans="1:8" ht="72" x14ac:dyDescent="0.3">
      <c r="A599" s="40">
        <v>2</v>
      </c>
      <c r="B599" s="110" t="s">
        <v>1735</v>
      </c>
      <c r="C599" s="40">
        <v>1</v>
      </c>
      <c r="D599" s="54">
        <f>121*13</f>
        <v>1573</v>
      </c>
      <c r="E599" s="40">
        <v>450</v>
      </c>
      <c r="F599" s="40">
        <f>C599*D599*E599</f>
        <v>707850</v>
      </c>
      <c r="G599" s="55">
        <v>0.5</v>
      </c>
      <c r="H599" s="42">
        <f>F599*(1-G599)</f>
        <v>353925</v>
      </c>
    </row>
    <row r="600" spans="1:8" ht="72" x14ac:dyDescent="0.3">
      <c r="A600" s="40">
        <v>3</v>
      </c>
      <c r="B600" s="110" t="s">
        <v>1490</v>
      </c>
      <c r="C600" s="40">
        <v>1</v>
      </c>
      <c r="D600" s="41">
        <v>22.5</v>
      </c>
      <c r="E600" s="40">
        <v>200</v>
      </c>
      <c r="F600" s="40">
        <f>C600*D600*E600</f>
        <v>4500</v>
      </c>
      <c r="G600" s="55">
        <v>0.65</v>
      </c>
      <c r="H600" s="42">
        <f>(1-G600)*F600</f>
        <v>1575</v>
      </c>
    </row>
    <row r="601" spans="1:8" ht="57.6" x14ac:dyDescent="0.3">
      <c r="A601" s="40">
        <v>4</v>
      </c>
      <c r="B601" s="110" t="s">
        <v>1491</v>
      </c>
      <c r="C601" s="40">
        <v>1</v>
      </c>
      <c r="D601" s="41">
        <v>15</v>
      </c>
      <c r="E601" s="40">
        <v>100</v>
      </c>
      <c r="F601" s="40">
        <f>C601*D601*E601</f>
        <v>1500</v>
      </c>
      <c r="G601" s="55">
        <v>0.65</v>
      </c>
      <c r="H601" s="42">
        <f>(1-G601)*F601</f>
        <v>525</v>
      </c>
    </row>
    <row r="602" spans="1:8" ht="72" x14ac:dyDescent="0.3">
      <c r="A602" s="40">
        <v>5</v>
      </c>
      <c r="B602" s="110" t="s">
        <v>22</v>
      </c>
      <c r="C602" s="40">
        <v>1</v>
      </c>
      <c r="D602" s="54">
        <f>40*13</f>
        <v>520</v>
      </c>
      <c r="E602" s="40">
        <v>450</v>
      </c>
      <c r="F602" s="40">
        <f>C602*D602*E602</f>
        <v>234000</v>
      </c>
      <c r="G602" s="55">
        <v>0.5</v>
      </c>
      <c r="H602" s="42">
        <f>F602*(1-G602)</f>
        <v>117000</v>
      </c>
    </row>
    <row r="603" spans="1:8" x14ac:dyDescent="0.3">
      <c r="A603" s="40"/>
      <c r="B603" s="57" t="s">
        <v>7</v>
      </c>
      <c r="C603" s="40"/>
      <c r="D603" s="54"/>
      <c r="E603" s="40"/>
      <c r="F603" s="40"/>
      <c r="G603" s="55"/>
      <c r="H603" s="58">
        <f>SUM(H598:H602)</f>
        <v>534336.25</v>
      </c>
    </row>
    <row r="604" spans="1:8" x14ac:dyDescent="0.3">
      <c r="A604" s="40">
        <v>6</v>
      </c>
      <c r="B604" s="57" t="s">
        <v>8</v>
      </c>
      <c r="C604" s="40">
        <v>1</v>
      </c>
      <c r="D604" s="54">
        <f>2854+2489+3965+3964</f>
        <v>13272</v>
      </c>
      <c r="E604" s="40">
        <v>8</v>
      </c>
      <c r="F604" s="40">
        <f>(10000*E604)+(3272*0.75*E604)</f>
        <v>99632</v>
      </c>
      <c r="G604" s="55">
        <v>0</v>
      </c>
      <c r="H604" s="58">
        <f>(1-G604)*F604</f>
        <v>99632</v>
      </c>
    </row>
    <row r="605" spans="1:8" x14ac:dyDescent="0.3">
      <c r="A605" s="51"/>
      <c r="B605" s="57" t="s">
        <v>9</v>
      </c>
      <c r="C605" s="39"/>
      <c r="D605" s="59"/>
      <c r="E605" s="39"/>
      <c r="F605" s="39"/>
      <c r="G605" s="39"/>
      <c r="H605" s="58">
        <f>SUM(H603:H604)</f>
        <v>633968.25</v>
      </c>
    </row>
    <row r="606" spans="1:8" x14ac:dyDescent="0.3">
      <c r="A606" s="40"/>
      <c r="B606" s="40"/>
      <c r="C606" s="40"/>
      <c r="D606" s="41"/>
      <c r="E606" s="40"/>
      <c r="F606" s="40"/>
      <c r="G606" s="40"/>
      <c r="H606" s="42"/>
    </row>
    <row r="607" spans="1:8" x14ac:dyDescent="0.3">
      <c r="A607" s="44"/>
      <c r="B607" s="86" t="s">
        <v>298</v>
      </c>
      <c r="C607" s="44" t="s">
        <v>26</v>
      </c>
      <c r="D607" s="73"/>
      <c r="E607" s="46" t="s">
        <v>24</v>
      </c>
      <c r="F607" s="47"/>
      <c r="G607" s="47"/>
      <c r="H607" s="98"/>
    </row>
    <row r="608" spans="1:8" x14ac:dyDescent="0.3">
      <c r="A608" s="39"/>
      <c r="B608" s="107" t="s">
        <v>0</v>
      </c>
      <c r="C608" s="107" t="s">
        <v>1</v>
      </c>
      <c r="D608" s="108" t="s">
        <v>2</v>
      </c>
      <c r="E608" s="109" t="s">
        <v>3</v>
      </c>
      <c r="F608" s="109" t="s">
        <v>4</v>
      </c>
      <c r="G608" s="109" t="s">
        <v>5</v>
      </c>
      <c r="H608" s="106" t="s">
        <v>6</v>
      </c>
    </row>
    <row r="609" spans="1:8" ht="72" x14ac:dyDescent="0.3">
      <c r="A609" s="40">
        <v>1</v>
      </c>
      <c r="B609" s="110" t="s">
        <v>1492</v>
      </c>
      <c r="C609" s="40">
        <v>1</v>
      </c>
      <c r="D609" s="54">
        <v>265.44</v>
      </c>
      <c r="E609" s="40">
        <v>300</v>
      </c>
      <c r="F609" s="40">
        <f t="shared" ref="F609:F620" si="46">C609*D609*E609</f>
        <v>79632</v>
      </c>
      <c r="G609" s="55">
        <v>0.5</v>
      </c>
      <c r="H609" s="42">
        <f>F609*(1-G609)</f>
        <v>39816</v>
      </c>
    </row>
    <row r="610" spans="1:8" ht="72" x14ac:dyDescent="0.3">
      <c r="A610" s="40">
        <v>2</v>
      </c>
      <c r="B610" s="110" t="s">
        <v>1736</v>
      </c>
      <c r="C610" s="40">
        <v>1</v>
      </c>
      <c r="D610" s="54">
        <f>(15.8*16.8)+(22.4*15.6)</f>
        <v>614.88</v>
      </c>
      <c r="E610" s="40">
        <v>350</v>
      </c>
      <c r="F610" s="40">
        <f t="shared" si="46"/>
        <v>215208</v>
      </c>
      <c r="G610" s="55">
        <v>0.5</v>
      </c>
      <c r="H610" s="42">
        <f>F610*(1-G610)</f>
        <v>107604</v>
      </c>
    </row>
    <row r="611" spans="1:8" ht="43.2" x14ac:dyDescent="0.3">
      <c r="A611" s="40">
        <v>3</v>
      </c>
      <c r="B611" s="53" t="s">
        <v>1448</v>
      </c>
      <c r="C611" s="40">
        <v>1</v>
      </c>
      <c r="D611" s="41">
        <v>121.44</v>
      </c>
      <c r="E611" s="40">
        <v>50</v>
      </c>
      <c r="F611" s="40">
        <f t="shared" si="46"/>
        <v>6072</v>
      </c>
      <c r="G611" s="55">
        <v>0.5</v>
      </c>
      <c r="H611" s="42">
        <f>(1-G611)*F611</f>
        <v>3036</v>
      </c>
    </row>
    <row r="612" spans="1:8" ht="86.4" x14ac:dyDescent="0.3">
      <c r="A612" s="40">
        <v>4</v>
      </c>
      <c r="B612" s="110" t="s">
        <v>1737</v>
      </c>
      <c r="C612" s="40">
        <v>1</v>
      </c>
      <c r="D612" s="54">
        <v>276.3</v>
      </c>
      <c r="E612" s="40">
        <v>400</v>
      </c>
      <c r="F612" s="40">
        <f t="shared" si="46"/>
        <v>110520</v>
      </c>
      <c r="G612" s="55">
        <v>0.5</v>
      </c>
      <c r="H612" s="42">
        <f>F612*(1-G612)</f>
        <v>55260</v>
      </c>
    </row>
    <row r="613" spans="1:8" ht="57.6" x14ac:dyDescent="0.3">
      <c r="A613" s="40">
        <v>5</v>
      </c>
      <c r="B613" s="110" t="s">
        <v>28</v>
      </c>
      <c r="C613" s="40">
        <v>1</v>
      </c>
      <c r="D613" s="41">
        <v>5.7</v>
      </c>
      <c r="E613" s="40">
        <v>150</v>
      </c>
      <c r="F613" s="40">
        <f t="shared" si="46"/>
        <v>855</v>
      </c>
      <c r="G613" s="55">
        <v>0.65</v>
      </c>
      <c r="H613" s="42">
        <f t="shared" ref="H613:H619" si="47">(1-G613)*F613</f>
        <v>299.25</v>
      </c>
    </row>
    <row r="614" spans="1:8" ht="57.6" x14ac:dyDescent="0.3">
      <c r="A614" s="40">
        <v>6</v>
      </c>
      <c r="B614" s="110" t="s">
        <v>29</v>
      </c>
      <c r="C614" s="40">
        <v>1</v>
      </c>
      <c r="D614" s="41">
        <f>17*4.3</f>
        <v>73.099999999999994</v>
      </c>
      <c r="E614" s="40">
        <v>150</v>
      </c>
      <c r="F614" s="40">
        <f t="shared" si="46"/>
        <v>10965</v>
      </c>
      <c r="G614" s="55">
        <v>0.65</v>
      </c>
      <c r="H614" s="42">
        <f t="shared" si="47"/>
        <v>3837.7499999999995</v>
      </c>
    </row>
    <row r="615" spans="1:8" ht="57.6" x14ac:dyDescent="0.3">
      <c r="A615" s="40">
        <v>7</v>
      </c>
      <c r="B615" s="110" t="s">
        <v>30</v>
      </c>
      <c r="C615" s="40">
        <v>1</v>
      </c>
      <c r="D615" s="41">
        <f>18*6</f>
        <v>108</v>
      </c>
      <c r="E615" s="40">
        <v>150</v>
      </c>
      <c r="F615" s="40">
        <f t="shared" si="46"/>
        <v>16200</v>
      </c>
      <c r="G615" s="55">
        <v>0.65</v>
      </c>
      <c r="H615" s="42">
        <f t="shared" si="47"/>
        <v>5670</v>
      </c>
    </row>
    <row r="616" spans="1:8" ht="72" x14ac:dyDescent="0.3">
      <c r="A616" s="40">
        <v>8</v>
      </c>
      <c r="B616" s="110" t="s">
        <v>31</v>
      </c>
      <c r="C616" s="40">
        <v>1</v>
      </c>
      <c r="D616" s="41">
        <v>70.5</v>
      </c>
      <c r="E616" s="40">
        <v>200</v>
      </c>
      <c r="F616" s="40">
        <f t="shared" si="46"/>
        <v>14100</v>
      </c>
      <c r="G616" s="55">
        <v>0.65</v>
      </c>
      <c r="H616" s="42">
        <f t="shared" si="47"/>
        <v>4935</v>
      </c>
    </row>
    <row r="617" spans="1:8" ht="72" x14ac:dyDescent="0.3">
      <c r="A617" s="40">
        <v>9</v>
      </c>
      <c r="B617" s="110" t="s">
        <v>32</v>
      </c>
      <c r="C617" s="40">
        <v>1</v>
      </c>
      <c r="D617" s="41">
        <v>139.65</v>
      </c>
      <c r="E617" s="40">
        <v>200</v>
      </c>
      <c r="F617" s="40">
        <f t="shared" si="46"/>
        <v>27930</v>
      </c>
      <c r="G617" s="55">
        <v>0.2</v>
      </c>
      <c r="H617" s="42">
        <f t="shared" si="47"/>
        <v>22344</v>
      </c>
    </row>
    <row r="618" spans="1:8" ht="72" x14ac:dyDescent="0.3">
      <c r="A618" s="40">
        <v>10</v>
      </c>
      <c r="B618" s="110" t="s">
        <v>33</v>
      </c>
      <c r="C618" s="40">
        <v>1</v>
      </c>
      <c r="D618" s="41">
        <v>43</v>
      </c>
      <c r="E618" s="40">
        <v>200</v>
      </c>
      <c r="F618" s="40">
        <f t="shared" si="46"/>
        <v>8600</v>
      </c>
      <c r="G618" s="55">
        <v>0.6</v>
      </c>
      <c r="H618" s="42">
        <f t="shared" si="47"/>
        <v>3440</v>
      </c>
    </row>
    <row r="619" spans="1:8" ht="72" x14ac:dyDescent="0.3">
      <c r="A619" s="40">
        <v>11</v>
      </c>
      <c r="B619" s="110" t="s">
        <v>34</v>
      </c>
      <c r="C619" s="40">
        <v>1</v>
      </c>
      <c r="D619" s="41">
        <v>84</v>
      </c>
      <c r="E619" s="40">
        <v>200</v>
      </c>
      <c r="F619" s="40">
        <f t="shared" si="46"/>
        <v>16800</v>
      </c>
      <c r="G619" s="55">
        <v>0.5</v>
      </c>
      <c r="H619" s="42">
        <f t="shared" si="47"/>
        <v>8400</v>
      </c>
    </row>
    <row r="620" spans="1:8" x14ac:dyDescent="0.3">
      <c r="A620" s="53">
        <v>12</v>
      </c>
      <c r="B620" s="110" t="s">
        <v>16</v>
      </c>
      <c r="C620" s="40">
        <v>1</v>
      </c>
      <c r="D620" s="54"/>
      <c r="E620" s="40">
        <v>45</v>
      </c>
      <c r="F620" s="40">
        <f t="shared" si="46"/>
        <v>0</v>
      </c>
      <c r="G620" s="74">
        <v>0.5</v>
      </c>
      <c r="H620" s="42">
        <f>F620*(1-G620)</f>
        <v>0</v>
      </c>
    </row>
    <row r="621" spans="1:8" x14ac:dyDescent="0.3">
      <c r="A621" s="40"/>
      <c r="B621" s="57" t="s">
        <v>7</v>
      </c>
      <c r="C621" s="40"/>
      <c r="D621" s="54"/>
      <c r="E621" s="40"/>
      <c r="F621" s="40"/>
      <c r="G621" s="55"/>
      <c r="H621" s="58">
        <f>SUM(H609:H620)</f>
        <v>254642</v>
      </c>
    </row>
    <row r="622" spans="1:8" x14ac:dyDescent="0.3">
      <c r="A622" s="40">
        <v>13</v>
      </c>
      <c r="B622" s="57" t="s">
        <v>8</v>
      </c>
      <c r="C622" s="40">
        <v>1</v>
      </c>
      <c r="D622" s="54">
        <v>7929</v>
      </c>
      <c r="E622" s="40">
        <v>8</v>
      </c>
      <c r="F622" s="40">
        <f>C622*D622*E622</f>
        <v>63432</v>
      </c>
      <c r="G622" s="55">
        <v>0</v>
      </c>
      <c r="H622" s="58">
        <f>(1-G622)*F622</f>
        <v>63432</v>
      </c>
    </row>
    <row r="623" spans="1:8" x14ac:dyDescent="0.3">
      <c r="A623" s="51"/>
      <c r="B623" s="57" t="s">
        <v>9</v>
      </c>
      <c r="C623" s="39"/>
      <c r="D623" s="59"/>
      <c r="E623" s="39"/>
      <c r="F623" s="39"/>
      <c r="G623" s="39"/>
      <c r="H623" s="58">
        <f>H621+H622</f>
        <v>318074</v>
      </c>
    </row>
    <row r="624" spans="1:8" x14ac:dyDescent="0.3">
      <c r="A624" s="40"/>
      <c r="B624" s="40"/>
      <c r="C624" s="40"/>
      <c r="D624" s="41"/>
      <c r="E624" s="40"/>
      <c r="F624" s="40"/>
      <c r="G624" s="40"/>
      <c r="H624" s="42"/>
    </row>
    <row r="625" spans="1:8" x14ac:dyDescent="0.3">
      <c r="A625" s="44"/>
      <c r="B625" s="149">
        <v>1458</v>
      </c>
      <c r="C625" s="44" t="s">
        <v>23</v>
      </c>
      <c r="D625" s="73"/>
      <c r="E625" s="46" t="s">
        <v>24</v>
      </c>
      <c r="F625" s="47"/>
      <c r="G625" s="47"/>
      <c r="H625" s="98"/>
    </row>
    <row r="626" spans="1:8" x14ac:dyDescent="0.3">
      <c r="A626" s="39"/>
      <c r="B626" s="107" t="s">
        <v>0</v>
      </c>
      <c r="C626" s="107" t="s">
        <v>1</v>
      </c>
      <c r="D626" s="108" t="s">
        <v>2</v>
      </c>
      <c r="E626" s="109" t="s">
        <v>3</v>
      </c>
      <c r="F626" s="109" t="s">
        <v>4</v>
      </c>
      <c r="G626" s="109" t="s">
        <v>5</v>
      </c>
      <c r="H626" s="106" t="s">
        <v>6</v>
      </c>
    </row>
    <row r="627" spans="1:8" ht="43.2" x14ac:dyDescent="0.3">
      <c r="A627" s="40">
        <v>1</v>
      </c>
      <c r="B627" s="53" t="s">
        <v>25</v>
      </c>
      <c r="C627" s="40">
        <v>1</v>
      </c>
      <c r="D627" s="41">
        <v>294.8</v>
      </c>
      <c r="E627" s="40">
        <v>50</v>
      </c>
      <c r="F627" s="40">
        <f>C627*D627*E627</f>
        <v>14740</v>
      </c>
      <c r="G627" s="55">
        <v>0.5</v>
      </c>
      <c r="H627" s="42">
        <f>(1-G627)*F627</f>
        <v>7370</v>
      </c>
    </row>
    <row r="628" spans="1:8" ht="57.6" x14ac:dyDescent="0.3">
      <c r="A628" s="40">
        <v>2</v>
      </c>
      <c r="B628" s="110" t="s">
        <v>1449</v>
      </c>
      <c r="C628" s="40">
        <v>1</v>
      </c>
      <c r="D628" s="41">
        <v>16</v>
      </c>
      <c r="E628" s="40">
        <v>100</v>
      </c>
      <c r="F628" s="40">
        <f>C628*D628*E628</f>
        <v>1600</v>
      </c>
      <c r="G628" s="55">
        <v>0.65</v>
      </c>
      <c r="H628" s="42">
        <f>(1-G628)*F628</f>
        <v>560</v>
      </c>
    </row>
    <row r="629" spans="1:8" ht="57.6" x14ac:dyDescent="0.3">
      <c r="A629" s="40">
        <v>3</v>
      </c>
      <c r="B629" s="110" t="s">
        <v>27</v>
      </c>
      <c r="C629" s="40">
        <v>1</v>
      </c>
      <c r="D629" s="41">
        <v>5.7</v>
      </c>
      <c r="E629" s="40">
        <v>100</v>
      </c>
      <c r="F629" s="40">
        <f>C629*D629*E629</f>
        <v>570</v>
      </c>
      <c r="G629" s="55">
        <v>0.65</v>
      </c>
      <c r="H629" s="42">
        <f>(1-G629)*F629</f>
        <v>199.5</v>
      </c>
    </row>
    <row r="630" spans="1:8" x14ac:dyDescent="0.3">
      <c r="A630" s="40"/>
      <c r="B630" s="57" t="s">
        <v>7</v>
      </c>
      <c r="C630" s="40"/>
      <c r="D630" s="54"/>
      <c r="E630" s="40"/>
      <c r="F630" s="40"/>
      <c r="G630" s="55"/>
      <c r="H630" s="58">
        <f>SUM(H627:H629)</f>
        <v>8129.5</v>
      </c>
    </row>
    <row r="631" spans="1:8" x14ac:dyDescent="0.3">
      <c r="A631" s="40">
        <v>4</v>
      </c>
      <c r="B631" s="57" t="s">
        <v>8</v>
      </c>
      <c r="C631" s="40">
        <v>1</v>
      </c>
      <c r="D631" s="54">
        <v>3965</v>
      </c>
      <c r="E631" s="40">
        <v>8</v>
      </c>
      <c r="F631" s="40">
        <f>C631*D631*E631</f>
        <v>31720</v>
      </c>
      <c r="G631" s="55">
        <v>0</v>
      </c>
      <c r="H631" s="58">
        <f>(1-G631)*F631</f>
        <v>31720</v>
      </c>
    </row>
    <row r="632" spans="1:8" x14ac:dyDescent="0.3">
      <c r="A632" s="51"/>
      <c r="B632" s="57" t="s">
        <v>9</v>
      </c>
      <c r="C632" s="39"/>
      <c r="D632" s="59"/>
      <c r="E632" s="39"/>
      <c r="F632" s="39"/>
      <c r="G632" s="39"/>
      <c r="H632" s="58">
        <f>SUM(H630:H631)</f>
        <v>39849.5</v>
      </c>
    </row>
    <row r="633" spans="1:8" x14ac:dyDescent="0.3">
      <c r="A633" s="40"/>
      <c r="B633" s="40"/>
      <c r="C633" s="40"/>
      <c r="D633" s="41"/>
      <c r="E633" s="40"/>
      <c r="F633" s="40"/>
      <c r="G633" s="40"/>
      <c r="H633" s="58"/>
    </row>
    <row r="634" spans="1:8" x14ac:dyDescent="0.3">
      <c r="A634" s="44"/>
      <c r="B634" s="86" t="s">
        <v>37</v>
      </c>
      <c r="C634" s="44" t="s">
        <v>38</v>
      </c>
      <c r="D634" s="73"/>
      <c r="E634" s="46" t="s">
        <v>39</v>
      </c>
      <c r="F634" s="47"/>
      <c r="G634" s="47"/>
      <c r="H634" s="98"/>
    </row>
    <row r="635" spans="1:8" x14ac:dyDescent="0.3">
      <c r="A635" s="39"/>
      <c r="B635" s="107" t="s">
        <v>0</v>
      </c>
      <c r="C635" s="107" t="s">
        <v>1</v>
      </c>
      <c r="D635" s="108" t="s">
        <v>2</v>
      </c>
      <c r="E635" s="109" t="s">
        <v>3</v>
      </c>
      <c r="F635" s="109" t="s">
        <v>4</v>
      </c>
      <c r="G635" s="109" t="s">
        <v>5</v>
      </c>
      <c r="H635" s="106" t="s">
        <v>6</v>
      </c>
    </row>
    <row r="636" spans="1:8" ht="57.6" x14ac:dyDescent="0.3">
      <c r="A636" s="40">
        <v>1</v>
      </c>
      <c r="B636" s="110" t="s">
        <v>1450</v>
      </c>
      <c r="C636" s="40">
        <v>1</v>
      </c>
      <c r="D636" s="54">
        <v>160</v>
      </c>
      <c r="E636" s="40">
        <v>300</v>
      </c>
      <c r="F636" s="40">
        <f t="shared" ref="F636:F646" si="48">C636*D636*E636</f>
        <v>48000</v>
      </c>
      <c r="G636" s="55">
        <v>0.4</v>
      </c>
      <c r="H636" s="42">
        <f>F636*(1-G636)</f>
        <v>28800</v>
      </c>
    </row>
    <row r="637" spans="1:8" ht="72" x14ac:dyDescent="0.3">
      <c r="A637" s="40">
        <v>2</v>
      </c>
      <c r="B637" s="110" t="s">
        <v>1563</v>
      </c>
      <c r="C637" s="40">
        <v>1</v>
      </c>
      <c r="D637" s="54">
        <f>(15+(18.6*3)+(19.2*51.7))</f>
        <v>1063.44</v>
      </c>
      <c r="E637" s="40">
        <v>300</v>
      </c>
      <c r="F637" s="40">
        <f t="shared" si="48"/>
        <v>319032</v>
      </c>
      <c r="G637" s="55">
        <v>0.4</v>
      </c>
      <c r="H637" s="42">
        <f>F637*(1-G637)</f>
        <v>191419.19999999998</v>
      </c>
    </row>
    <row r="638" spans="1:8" ht="57.6" x14ac:dyDescent="0.3">
      <c r="A638" s="40">
        <v>3</v>
      </c>
      <c r="B638" s="110" t="s">
        <v>40</v>
      </c>
      <c r="C638" s="40">
        <v>1</v>
      </c>
      <c r="D638" s="54">
        <f>(4*37)+(20.6*4)</f>
        <v>230.4</v>
      </c>
      <c r="E638" s="40">
        <v>300</v>
      </c>
      <c r="F638" s="40">
        <f t="shared" si="48"/>
        <v>69120</v>
      </c>
      <c r="G638" s="55">
        <v>0.4</v>
      </c>
      <c r="H638" s="42">
        <f>F638*(1-G638)</f>
        <v>41472</v>
      </c>
    </row>
    <row r="639" spans="1:8" ht="57.6" x14ac:dyDescent="0.3">
      <c r="A639" s="40">
        <v>4</v>
      </c>
      <c r="B639" s="110" t="s">
        <v>41</v>
      </c>
      <c r="C639" s="40">
        <v>1</v>
      </c>
      <c r="D639" s="54">
        <f>(32*6.5)+(15.8)</f>
        <v>223.8</v>
      </c>
      <c r="E639" s="40">
        <v>150</v>
      </c>
      <c r="F639" s="40">
        <f t="shared" si="48"/>
        <v>33570</v>
      </c>
      <c r="G639" s="55">
        <v>0.5</v>
      </c>
      <c r="H639" s="42">
        <f>F639*(1-G639)</f>
        <v>16785</v>
      </c>
    </row>
    <row r="640" spans="1:8" ht="57.6" x14ac:dyDescent="0.3">
      <c r="A640" s="40">
        <v>5</v>
      </c>
      <c r="B640" s="110" t="s">
        <v>42</v>
      </c>
      <c r="C640" s="40">
        <v>1</v>
      </c>
      <c r="D640" s="54">
        <v>22.2</v>
      </c>
      <c r="E640" s="40">
        <v>150</v>
      </c>
      <c r="F640" s="40">
        <f t="shared" si="48"/>
        <v>3330</v>
      </c>
      <c r="G640" s="55">
        <v>0.6</v>
      </c>
      <c r="H640" s="42">
        <f>F640*(1-G640)</f>
        <v>1332</v>
      </c>
    </row>
    <row r="641" spans="1:8" ht="43.2" x14ac:dyDescent="0.3">
      <c r="A641" s="40">
        <v>6</v>
      </c>
      <c r="B641" s="53" t="s">
        <v>43</v>
      </c>
      <c r="C641" s="40">
        <v>1</v>
      </c>
      <c r="D641" s="41">
        <v>30</v>
      </c>
      <c r="E641" s="40">
        <v>50</v>
      </c>
      <c r="F641" s="40">
        <f t="shared" si="48"/>
        <v>1500</v>
      </c>
      <c r="G641" s="55">
        <v>0.5</v>
      </c>
      <c r="H641" s="42">
        <f>(1-G641)*F641</f>
        <v>750</v>
      </c>
    </row>
    <row r="642" spans="1:8" x14ac:dyDescent="0.3">
      <c r="A642" s="40">
        <v>7</v>
      </c>
      <c r="B642" s="53" t="s">
        <v>44</v>
      </c>
      <c r="C642" s="40">
        <v>3</v>
      </c>
      <c r="D642" s="41">
        <v>1</v>
      </c>
      <c r="E642" s="40">
        <v>800</v>
      </c>
      <c r="F642" s="40">
        <f t="shared" si="48"/>
        <v>2400</v>
      </c>
      <c r="G642" s="55">
        <v>0.5</v>
      </c>
      <c r="H642" s="42">
        <f>(1-G642)*F642</f>
        <v>1200</v>
      </c>
    </row>
    <row r="643" spans="1:8" x14ac:dyDescent="0.3">
      <c r="A643" s="40">
        <v>8</v>
      </c>
      <c r="B643" s="53" t="s">
        <v>44</v>
      </c>
      <c r="C643" s="40">
        <v>3</v>
      </c>
      <c r="D643" s="41">
        <v>1</v>
      </c>
      <c r="E643" s="40">
        <v>800</v>
      </c>
      <c r="F643" s="40">
        <f t="shared" si="48"/>
        <v>2400</v>
      </c>
      <c r="G643" s="55">
        <v>0.5</v>
      </c>
      <c r="H643" s="42">
        <f>(1-G643)*F643</f>
        <v>1200</v>
      </c>
    </row>
    <row r="644" spans="1:8" x14ac:dyDescent="0.3">
      <c r="A644" s="40">
        <v>9</v>
      </c>
      <c r="B644" s="53" t="s">
        <v>46</v>
      </c>
      <c r="C644" s="40">
        <v>2</v>
      </c>
      <c r="D644" s="41">
        <v>1</v>
      </c>
      <c r="E644" s="40">
        <v>5000</v>
      </c>
      <c r="F644" s="40">
        <f t="shared" si="48"/>
        <v>10000</v>
      </c>
      <c r="G644" s="55">
        <v>0.5</v>
      </c>
      <c r="H644" s="42">
        <f>(1-G644)*F644</f>
        <v>5000</v>
      </c>
    </row>
    <row r="645" spans="1:8" ht="57.6" x14ac:dyDescent="0.3">
      <c r="A645" s="40">
        <v>10</v>
      </c>
      <c r="B645" s="110" t="s">
        <v>45</v>
      </c>
      <c r="C645" s="40">
        <v>1</v>
      </c>
      <c r="D645" s="54">
        <v>3.2</v>
      </c>
      <c r="E645" s="40">
        <v>100</v>
      </c>
      <c r="F645" s="40">
        <f t="shared" si="48"/>
        <v>320</v>
      </c>
      <c r="G645" s="55">
        <v>0.5</v>
      </c>
      <c r="H645" s="42">
        <f>F645*(1-G645)</f>
        <v>160</v>
      </c>
    </row>
    <row r="646" spans="1:8" x14ac:dyDescent="0.3">
      <c r="A646" s="53">
        <v>11</v>
      </c>
      <c r="B646" s="110" t="s">
        <v>16</v>
      </c>
      <c r="C646" s="40">
        <v>1</v>
      </c>
      <c r="D646" s="54">
        <v>4.5999999999999996</v>
      </c>
      <c r="E646" s="40">
        <v>45</v>
      </c>
      <c r="F646" s="40">
        <f t="shared" si="48"/>
        <v>206.99999999999997</v>
      </c>
      <c r="G646" s="74">
        <v>0.5</v>
      </c>
      <c r="H646" s="42">
        <f>F646*(1-G646)</f>
        <v>103.49999999999999</v>
      </c>
    </row>
    <row r="647" spans="1:8" x14ac:dyDescent="0.3">
      <c r="A647" s="40"/>
      <c r="B647" s="57" t="s">
        <v>7</v>
      </c>
      <c r="C647" s="40"/>
      <c r="D647" s="54"/>
      <c r="E647" s="40"/>
      <c r="F647" s="40"/>
      <c r="G647" s="55"/>
      <c r="H647" s="58">
        <f>SUM(H636:H646)</f>
        <v>288221.69999999995</v>
      </c>
    </row>
    <row r="648" spans="1:8" x14ac:dyDescent="0.3">
      <c r="A648" s="40">
        <v>12</v>
      </c>
      <c r="B648" s="57" t="s">
        <v>8</v>
      </c>
      <c r="C648" s="40">
        <v>1</v>
      </c>
      <c r="D648" s="54">
        <v>10307</v>
      </c>
      <c r="E648" s="113">
        <v>8</v>
      </c>
      <c r="F648" s="40">
        <f>(10000*E648)+(307*0.75*E648)</f>
        <v>81842</v>
      </c>
      <c r="G648" s="55">
        <v>0</v>
      </c>
      <c r="H648" s="58">
        <f>F648*(1-G648)</f>
        <v>81842</v>
      </c>
    </row>
    <row r="649" spans="1:8" x14ac:dyDescent="0.3">
      <c r="A649" s="51"/>
      <c r="B649" s="57" t="s">
        <v>9</v>
      </c>
      <c r="C649" s="39"/>
      <c r="D649" s="59"/>
      <c r="E649" s="39"/>
      <c r="F649" s="39"/>
      <c r="G649" s="39"/>
      <c r="H649" s="58">
        <f>H647+H648</f>
        <v>370063.69999999995</v>
      </c>
    </row>
    <row r="650" spans="1:8" x14ac:dyDescent="0.3">
      <c r="A650" s="40"/>
      <c r="B650" s="40"/>
      <c r="C650" s="40"/>
      <c r="D650" s="41"/>
      <c r="E650" s="40"/>
      <c r="F650" s="40"/>
      <c r="G650" s="40"/>
      <c r="H650" s="42"/>
    </row>
    <row r="651" spans="1:8" x14ac:dyDescent="0.3">
      <c r="A651" s="44"/>
      <c r="B651" s="86" t="s">
        <v>47</v>
      </c>
      <c r="C651" s="44" t="s">
        <v>48</v>
      </c>
      <c r="D651" s="73"/>
      <c r="E651" s="46" t="s">
        <v>49</v>
      </c>
      <c r="F651" s="47"/>
      <c r="G651" s="47"/>
      <c r="H651" s="98"/>
    </row>
    <row r="652" spans="1:8" x14ac:dyDescent="0.3">
      <c r="A652" s="39"/>
      <c r="B652" s="107" t="s">
        <v>0</v>
      </c>
      <c r="C652" s="107" t="s">
        <v>1</v>
      </c>
      <c r="D652" s="108" t="s">
        <v>2</v>
      </c>
      <c r="E652" s="109" t="s">
        <v>3</v>
      </c>
      <c r="F652" s="109" t="s">
        <v>4</v>
      </c>
      <c r="G652" s="109" t="s">
        <v>5</v>
      </c>
      <c r="H652" s="106" t="s">
        <v>6</v>
      </c>
    </row>
    <row r="653" spans="1:8" ht="72" x14ac:dyDescent="0.3">
      <c r="A653" s="40">
        <v>1</v>
      </c>
      <c r="B653" s="110" t="s">
        <v>1648</v>
      </c>
      <c r="C653" s="40">
        <v>1</v>
      </c>
      <c r="D653" s="54">
        <f>1672-1026</f>
        <v>646</v>
      </c>
      <c r="E653" s="40">
        <v>600</v>
      </c>
      <c r="F653" s="40">
        <f t="shared" ref="F653:F658" si="49">C653*D653*E653</f>
        <v>387600</v>
      </c>
      <c r="G653" s="55">
        <v>0.4</v>
      </c>
      <c r="H653" s="42">
        <f>F653*(1-G653)</f>
        <v>232560</v>
      </c>
    </row>
    <row r="654" spans="1:8" ht="72" x14ac:dyDescent="0.3">
      <c r="A654" s="40">
        <v>2</v>
      </c>
      <c r="B654" s="110" t="s">
        <v>1564</v>
      </c>
      <c r="C654" s="40">
        <v>1</v>
      </c>
      <c r="D654" s="54">
        <f>8*17.5</f>
        <v>140</v>
      </c>
      <c r="E654" s="40">
        <v>300</v>
      </c>
      <c r="F654" s="40">
        <f t="shared" si="49"/>
        <v>42000</v>
      </c>
      <c r="G654" s="55">
        <v>0.4</v>
      </c>
      <c r="H654" s="42">
        <f>F654*(1-G654)</f>
        <v>25200</v>
      </c>
    </row>
    <row r="655" spans="1:8" ht="86.4" x14ac:dyDescent="0.3">
      <c r="A655" s="40">
        <v>3</v>
      </c>
      <c r="B655" s="110" t="s">
        <v>1486</v>
      </c>
      <c r="C655" s="40">
        <v>1</v>
      </c>
      <c r="D655" s="54">
        <f>(20.5*36)+(36*8)</f>
        <v>1026</v>
      </c>
      <c r="E655" s="40">
        <v>400</v>
      </c>
      <c r="F655" s="40">
        <f t="shared" si="49"/>
        <v>410400</v>
      </c>
      <c r="G655" s="55">
        <v>0.4</v>
      </c>
      <c r="H655" s="42">
        <f>F655*(1-G655)</f>
        <v>246240</v>
      </c>
    </row>
    <row r="656" spans="1:8" ht="57.6" x14ac:dyDescent="0.3">
      <c r="A656" s="40">
        <v>4</v>
      </c>
      <c r="B656" s="110" t="s">
        <v>51</v>
      </c>
      <c r="C656" s="40">
        <v>1</v>
      </c>
      <c r="D656" s="54">
        <f>(17*1.2)+(18.4*3.3)+(4*16.6)+(3.3*2.4)</f>
        <v>155.43999999999997</v>
      </c>
      <c r="E656" s="40">
        <v>150</v>
      </c>
      <c r="F656" s="40">
        <f t="shared" si="49"/>
        <v>23315.999999999996</v>
      </c>
      <c r="G656" s="55">
        <v>0.5</v>
      </c>
      <c r="H656" s="42">
        <f>F656*(1-G656)</f>
        <v>11657.999999999998</v>
      </c>
    </row>
    <row r="657" spans="1:8" ht="57.6" x14ac:dyDescent="0.3">
      <c r="A657" s="40">
        <v>5</v>
      </c>
      <c r="B657" s="53" t="s">
        <v>52</v>
      </c>
      <c r="C657" s="40">
        <v>1</v>
      </c>
      <c r="D657" s="41">
        <v>30</v>
      </c>
      <c r="E657" s="40">
        <v>50</v>
      </c>
      <c r="F657" s="40">
        <f t="shared" si="49"/>
        <v>1500</v>
      </c>
      <c r="G657" s="55">
        <v>0.5</v>
      </c>
      <c r="H657" s="42">
        <f>(1-G657)*F657</f>
        <v>750</v>
      </c>
    </row>
    <row r="658" spans="1:8" x14ac:dyDescent="0.3">
      <c r="A658" s="53">
        <v>6</v>
      </c>
      <c r="B658" s="110" t="s">
        <v>53</v>
      </c>
      <c r="C658" s="40">
        <v>1</v>
      </c>
      <c r="D658" s="54">
        <v>331</v>
      </c>
      <c r="E658" s="40">
        <v>18</v>
      </c>
      <c r="F658" s="40">
        <f t="shared" si="49"/>
        <v>5958</v>
      </c>
      <c r="G658" s="74">
        <v>0.5</v>
      </c>
      <c r="H658" s="42">
        <f>F658*(1-G658)</f>
        <v>2979</v>
      </c>
    </row>
    <row r="659" spans="1:8" x14ac:dyDescent="0.3">
      <c r="A659" s="40"/>
      <c r="B659" s="57" t="s">
        <v>7</v>
      </c>
      <c r="C659" s="40"/>
      <c r="D659" s="54"/>
      <c r="E659" s="40"/>
      <c r="F659" s="40"/>
      <c r="G659" s="55"/>
      <c r="H659" s="58">
        <f>SUM(H653:H658)</f>
        <v>519387</v>
      </c>
    </row>
    <row r="660" spans="1:8" x14ac:dyDescent="0.3">
      <c r="A660" s="40">
        <v>7</v>
      </c>
      <c r="B660" s="57" t="s">
        <v>8</v>
      </c>
      <c r="C660" s="40">
        <v>1</v>
      </c>
      <c r="D660" s="54">
        <f>2379+1586+2850</f>
        <v>6815</v>
      </c>
      <c r="E660" s="40">
        <v>8</v>
      </c>
      <c r="F660" s="40">
        <f>C660*D660*E660</f>
        <v>54520</v>
      </c>
      <c r="G660" s="55">
        <v>0</v>
      </c>
      <c r="H660" s="58">
        <f>(1-G660)*F660</f>
        <v>54520</v>
      </c>
    </row>
    <row r="661" spans="1:8" x14ac:dyDescent="0.3">
      <c r="A661" s="51"/>
      <c r="B661" s="57" t="s">
        <v>9</v>
      </c>
      <c r="C661" s="39"/>
      <c r="D661" s="59"/>
      <c r="E661" s="39"/>
      <c r="F661" s="39"/>
      <c r="G661" s="39"/>
      <c r="H661" s="58">
        <f>H659+H660</f>
        <v>573907</v>
      </c>
    </row>
    <row r="662" spans="1:8" x14ac:dyDescent="0.3">
      <c r="A662" s="43"/>
      <c r="B662" s="62" t="s">
        <v>968</v>
      </c>
      <c r="C662" s="44" t="s">
        <v>969</v>
      </c>
      <c r="D662" s="73"/>
      <c r="E662" s="44" t="s">
        <v>970</v>
      </c>
      <c r="F662" s="60"/>
      <c r="G662" s="60"/>
      <c r="H662" s="48"/>
    </row>
    <row r="663" spans="1:8" s="3" customFormat="1" x14ac:dyDescent="0.3">
      <c r="A663" s="39"/>
      <c r="B663" s="107" t="s">
        <v>10</v>
      </c>
      <c r="C663" s="107" t="s">
        <v>1</v>
      </c>
      <c r="D663" s="108" t="s">
        <v>2</v>
      </c>
      <c r="E663" s="109" t="s">
        <v>3</v>
      </c>
      <c r="F663" s="109" t="s">
        <v>4</v>
      </c>
      <c r="G663" s="109" t="s">
        <v>5</v>
      </c>
      <c r="H663" s="106" t="s">
        <v>6</v>
      </c>
    </row>
    <row r="664" spans="1:8" ht="129.6" x14ac:dyDescent="0.3">
      <c r="A664" s="53">
        <v>1</v>
      </c>
      <c r="B664" s="53" t="s">
        <v>1651</v>
      </c>
      <c r="C664" s="40">
        <v>1</v>
      </c>
      <c r="D664" s="91">
        <v>512</v>
      </c>
      <c r="E664" s="40">
        <v>450</v>
      </c>
      <c r="F664" s="40">
        <f t="shared" ref="F664:F673" si="50">C664*D664*E664</f>
        <v>230400</v>
      </c>
      <c r="G664" s="55">
        <v>0.3</v>
      </c>
      <c r="H664" s="42">
        <f t="shared" ref="H664:H673" si="51">F664*(1-G664)</f>
        <v>161280</v>
      </c>
    </row>
    <row r="665" spans="1:8" ht="129.6" x14ac:dyDescent="0.3">
      <c r="A665" s="53">
        <v>2</v>
      </c>
      <c r="B665" s="53" t="s">
        <v>1577</v>
      </c>
      <c r="C665" s="40">
        <v>1</v>
      </c>
      <c r="D665" s="91">
        <v>140.80000000000001</v>
      </c>
      <c r="E665" s="40">
        <v>450</v>
      </c>
      <c r="F665" s="40">
        <f t="shared" si="50"/>
        <v>63360.000000000007</v>
      </c>
      <c r="G665" s="55">
        <v>0.3</v>
      </c>
      <c r="H665" s="42">
        <f t="shared" si="51"/>
        <v>44352</v>
      </c>
    </row>
    <row r="666" spans="1:8" ht="43.2" x14ac:dyDescent="0.3">
      <c r="A666" s="53">
        <v>3</v>
      </c>
      <c r="B666" s="53" t="s">
        <v>971</v>
      </c>
      <c r="C666" s="40">
        <v>1</v>
      </c>
      <c r="D666" s="91">
        <v>306</v>
      </c>
      <c r="E666" s="40">
        <v>100</v>
      </c>
      <c r="F666" s="40">
        <f t="shared" si="50"/>
        <v>30600</v>
      </c>
      <c r="G666" s="55">
        <v>0.3</v>
      </c>
      <c r="H666" s="42">
        <f t="shared" si="51"/>
        <v>21420</v>
      </c>
    </row>
    <row r="667" spans="1:8" ht="115.2" x14ac:dyDescent="0.3">
      <c r="A667" s="53">
        <v>4</v>
      </c>
      <c r="B667" s="53" t="s">
        <v>1578</v>
      </c>
      <c r="C667" s="40">
        <v>1</v>
      </c>
      <c r="D667" s="91">
        <v>35.200000000000003</v>
      </c>
      <c r="E667" s="40">
        <v>450</v>
      </c>
      <c r="F667" s="40">
        <f t="shared" si="50"/>
        <v>15840.000000000002</v>
      </c>
      <c r="G667" s="55">
        <v>0.4</v>
      </c>
      <c r="H667" s="42">
        <f t="shared" si="51"/>
        <v>9504</v>
      </c>
    </row>
    <row r="668" spans="1:8" x14ac:dyDescent="0.3">
      <c r="A668" s="53">
        <v>5</v>
      </c>
      <c r="B668" s="53" t="s">
        <v>972</v>
      </c>
      <c r="C668" s="40">
        <v>1</v>
      </c>
      <c r="D668" s="91">
        <v>4000</v>
      </c>
      <c r="E668" s="40">
        <v>0.65</v>
      </c>
      <c r="F668" s="40">
        <f t="shared" si="50"/>
        <v>2600</v>
      </c>
      <c r="G668" s="55">
        <v>0.3</v>
      </c>
      <c r="H668" s="42">
        <f t="shared" si="51"/>
        <v>1819.9999999999998</v>
      </c>
    </row>
    <row r="669" spans="1:8" x14ac:dyDescent="0.3">
      <c r="A669" s="53">
        <v>6</v>
      </c>
      <c r="B669" s="53" t="s">
        <v>972</v>
      </c>
      <c r="C669" s="40">
        <v>1</v>
      </c>
      <c r="D669" s="91">
        <v>10000</v>
      </c>
      <c r="E669" s="40">
        <v>0.65</v>
      </c>
      <c r="F669" s="40">
        <f t="shared" si="50"/>
        <v>6500</v>
      </c>
      <c r="G669" s="55">
        <v>0.3</v>
      </c>
      <c r="H669" s="42">
        <f t="shared" si="51"/>
        <v>4550</v>
      </c>
    </row>
    <row r="670" spans="1:8" x14ac:dyDescent="0.3">
      <c r="A670" s="53">
        <v>7</v>
      </c>
      <c r="B670" s="53" t="s">
        <v>972</v>
      </c>
      <c r="C670" s="40">
        <v>1</v>
      </c>
      <c r="D670" s="91">
        <v>13000</v>
      </c>
      <c r="E670" s="40">
        <v>0.65</v>
      </c>
      <c r="F670" s="40">
        <f t="shared" si="50"/>
        <v>8450</v>
      </c>
      <c r="G670" s="55">
        <v>0.3</v>
      </c>
      <c r="H670" s="42">
        <f t="shared" si="51"/>
        <v>5915</v>
      </c>
    </row>
    <row r="671" spans="1:8" x14ac:dyDescent="0.3">
      <c r="A671" s="53">
        <v>8</v>
      </c>
      <c r="B671" s="53" t="s">
        <v>973</v>
      </c>
      <c r="C671" s="40">
        <v>1</v>
      </c>
      <c r="D671" s="91">
        <v>9000</v>
      </c>
      <c r="E671" s="40">
        <v>0.5</v>
      </c>
      <c r="F671" s="40">
        <f t="shared" si="50"/>
        <v>4500</v>
      </c>
      <c r="G671" s="55">
        <v>0.3</v>
      </c>
      <c r="H671" s="42">
        <f t="shared" si="51"/>
        <v>3150</v>
      </c>
    </row>
    <row r="672" spans="1:8" x14ac:dyDescent="0.3">
      <c r="A672" s="53">
        <v>9</v>
      </c>
      <c r="B672" s="53" t="s">
        <v>973</v>
      </c>
      <c r="C672" s="40">
        <v>1</v>
      </c>
      <c r="D672" s="91">
        <v>13000</v>
      </c>
      <c r="E672" s="40">
        <v>0.5</v>
      </c>
      <c r="F672" s="40">
        <f t="shared" si="50"/>
        <v>6500</v>
      </c>
      <c r="G672" s="55">
        <v>0.3</v>
      </c>
      <c r="H672" s="42">
        <f t="shared" si="51"/>
        <v>4550</v>
      </c>
    </row>
    <row r="673" spans="1:10" x14ac:dyDescent="0.3">
      <c r="A673" s="53">
        <v>10</v>
      </c>
      <c r="B673" s="53" t="s">
        <v>973</v>
      </c>
      <c r="C673" s="40">
        <v>1</v>
      </c>
      <c r="D673" s="91">
        <v>25000</v>
      </c>
      <c r="E673" s="40">
        <v>0.5</v>
      </c>
      <c r="F673" s="40">
        <f t="shared" si="50"/>
        <v>12500</v>
      </c>
      <c r="G673" s="55">
        <v>0.3</v>
      </c>
      <c r="H673" s="42">
        <f t="shared" si="51"/>
        <v>8750</v>
      </c>
    </row>
    <row r="674" spans="1:10" x14ac:dyDescent="0.3">
      <c r="A674" s="53"/>
      <c r="B674" s="57" t="s">
        <v>7</v>
      </c>
      <c r="C674" s="40"/>
      <c r="D674" s="54"/>
      <c r="E674" s="40"/>
      <c r="F674" s="40"/>
      <c r="G674" s="55"/>
      <c r="H674" s="58">
        <f>SUM(H664:H673)</f>
        <v>265291</v>
      </c>
    </row>
    <row r="675" spans="1:10" x14ac:dyDescent="0.3">
      <c r="A675" s="53">
        <v>11</v>
      </c>
      <c r="B675" s="57" t="s">
        <v>8</v>
      </c>
      <c r="C675" s="40">
        <v>1</v>
      </c>
      <c r="D675" s="54">
        <v>3845</v>
      </c>
      <c r="E675" s="40">
        <v>8</v>
      </c>
      <c r="F675" s="40">
        <f>C675*D675*E675</f>
        <v>30760</v>
      </c>
      <c r="G675" s="55">
        <v>0</v>
      </c>
      <c r="H675" s="58">
        <f>(1-G675)*F675</f>
        <v>30760</v>
      </c>
    </row>
    <row r="676" spans="1:10" x14ac:dyDescent="0.3">
      <c r="A676" s="53"/>
      <c r="B676" s="57" t="s">
        <v>9</v>
      </c>
      <c r="C676" s="39"/>
      <c r="D676" s="59"/>
      <c r="E676" s="39"/>
      <c r="F676" s="39"/>
      <c r="G676" s="39"/>
      <c r="H676" s="58">
        <f>H674+H675</f>
        <v>296051</v>
      </c>
    </row>
    <row r="677" spans="1:10" x14ac:dyDescent="0.3">
      <c r="A677" s="51"/>
      <c r="B677" s="57"/>
      <c r="C677" s="39"/>
      <c r="D677" s="59"/>
      <c r="E677" s="39"/>
      <c r="F677" s="39"/>
      <c r="G677" s="39"/>
      <c r="H677" s="58"/>
      <c r="I677" s="37"/>
      <c r="J677" s="37"/>
    </row>
    <row r="678" spans="1:10" x14ac:dyDescent="0.3">
      <c r="A678" s="43"/>
      <c r="B678" s="62" t="s">
        <v>987</v>
      </c>
      <c r="C678" s="44" t="s">
        <v>988</v>
      </c>
      <c r="D678" s="73"/>
      <c r="E678" s="44" t="s">
        <v>989</v>
      </c>
      <c r="F678" s="60"/>
      <c r="G678" s="60"/>
      <c r="H678" s="48"/>
    </row>
    <row r="679" spans="1:10" s="3" customFormat="1" x14ac:dyDescent="0.3">
      <c r="A679" s="39"/>
      <c r="B679" s="107" t="s">
        <v>10</v>
      </c>
      <c r="C679" s="107" t="s">
        <v>1</v>
      </c>
      <c r="D679" s="108" t="s">
        <v>2</v>
      </c>
      <c r="E679" s="109" t="s">
        <v>3</v>
      </c>
      <c r="F679" s="109" t="s">
        <v>4</v>
      </c>
      <c r="G679" s="109" t="s">
        <v>5</v>
      </c>
      <c r="H679" s="106" t="s">
        <v>6</v>
      </c>
    </row>
    <row r="680" spans="1:10" ht="115.2" x14ac:dyDescent="0.3">
      <c r="A680" s="53">
        <v>1</v>
      </c>
      <c r="B680" s="53" t="s">
        <v>1761</v>
      </c>
      <c r="C680" s="40">
        <v>1</v>
      </c>
      <c r="D680" s="91">
        <f>8.3*26.5</f>
        <v>219.95000000000002</v>
      </c>
      <c r="E680" s="40">
        <v>400</v>
      </c>
      <c r="F680" s="40">
        <f t="shared" ref="F680:F690" si="52">C680*D680*E680</f>
        <v>87980</v>
      </c>
      <c r="G680" s="55">
        <v>0.5</v>
      </c>
      <c r="H680" s="42">
        <f t="shared" ref="H680:H690" si="53">F680*(1-G680)</f>
        <v>43990</v>
      </c>
    </row>
    <row r="681" spans="1:10" ht="115.2" x14ac:dyDescent="0.3">
      <c r="A681" s="53">
        <v>2</v>
      </c>
      <c r="B681" s="53" t="s">
        <v>1762</v>
      </c>
      <c r="C681" s="40">
        <v>1</v>
      </c>
      <c r="D681" s="91">
        <f>21*6</f>
        <v>126</v>
      </c>
      <c r="E681" s="40">
        <v>400</v>
      </c>
      <c r="F681" s="40">
        <f t="shared" si="52"/>
        <v>50400</v>
      </c>
      <c r="G681" s="55">
        <v>0.5</v>
      </c>
      <c r="H681" s="42">
        <f t="shared" si="53"/>
        <v>25200</v>
      </c>
    </row>
    <row r="682" spans="1:10" ht="115.2" x14ac:dyDescent="0.3">
      <c r="A682" s="53">
        <v>3</v>
      </c>
      <c r="B682" s="53" t="s">
        <v>1763</v>
      </c>
      <c r="C682" s="40">
        <v>1</v>
      </c>
      <c r="D682" s="91">
        <f>12.8*4.7</f>
        <v>60.160000000000004</v>
      </c>
      <c r="E682" s="40">
        <v>400</v>
      </c>
      <c r="F682" s="40">
        <f t="shared" si="52"/>
        <v>24064</v>
      </c>
      <c r="G682" s="55">
        <v>0.5</v>
      </c>
      <c r="H682" s="42">
        <f t="shared" si="53"/>
        <v>12032</v>
      </c>
    </row>
    <row r="683" spans="1:10" ht="100.8" x14ac:dyDescent="0.3">
      <c r="A683" s="53">
        <v>4</v>
      </c>
      <c r="B683" s="53" t="s">
        <v>1579</v>
      </c>
      <c r="C683" s="40">
        <v>1</v>
      </c>
      <c r="D683" s="91">
        <v>380.21</v>
      </c>
      <c r="E683" s="40">
        <v>400</v>
      </c>
      <c r="F683" s="40">
        <f t="shared" si="52"/>
        <v>152084</v>
      </c>
      <c r="G683" s="55">
        <v>0.5</v>
      </c>
      <c r="H683" s="42">
        <f t="shared" si="53"/>
        <v>76042</v>
      </c>
    </row>
    <row r="684" spans="1:10" ht="115.2" x14ac:dyDescent="0.3">
      <c r="A684" s="53">
        <v>5</v>
      </c>
      <c r="B684" s="53" t="s">
        <v>1580</v>
      </c>
      <c r="C684" s="40">
        <v>1</v>
      </c>
      <c r="D684" s="91">
        <f>9*4</f>
        <v>36</v>
      </c>
      <c r="E684" s="40">
        <v>100</v>
      </c>
      <c r="F684" s="40">
        <f t="shared" si="52"/>
        <v>3600</v>
      </c>
      <c r="G684" s="55">
        <v>0.5</v>
      </c>
      <c r="H684" s="42">
        <f t="shared" si="53"/>
        <v>1800</v>
      </c>
    </row>
    <row r="685" spans="1:10" ht="43.2" x14ac:dyDescent="0.3">
      <c r="A685" s="53">
        <v>6</v>
      </c>
      <c r="B685" s="53" t="s">
        <v>990</v>
      </c>
      <c r="C685" s="40">
        <v>1</v>
      </c>
      <c r="D685" s="91">
        <f>6.1*10.5</f>
        <v>64.05</v>
      </c>
      <c r="E685" s="40">
        <v>50</v>
      </c>
      <c r="F685" s="40">
        <f t="shared" si="52"/>
        <v>3202.5</v>
      </c>
      <c r="G685" s="55">
        <v>0.5</v>
      </c>
      <c r="H685" s="42">
        <f t="shared" si="53"/>
        <v>1601.25</v>
      </c>
    </row>
    <row r="686" spans="1:10" ht="43.2" x14ac:dyDescent="0.3">
      <c r="A686" s="53">
        <v>7</v>
      </c>
      <c r="B686" s="53" t="s">
        <v>991</v>
      </c>
      <c r="C686" s="40">
        <v>1</v>
      </c>
      <c r="D686" s="91">
        <f>6.1*31.5</f>
        <v>192.14999999999998</v>
      </c>
      <c r="E686" s="40">
        <v>50</v>
      </c>
      <c r="F686" s="40">
        <f t="shared" si="52"/>
        <v>9607.4999999999982</v>
      </c>
      <c r="G686" s="55">
        <v>0.5</v>
      </c>
      <c r="H686" s="42">
        <f t="shared" si="53"/>
        <v>4803.7499999999991</v>
      </c>
    </row>
    <row r="687" spans="1:10" ht="72" x14ac:dyDescent="0.3">
      <c r="A687" s="53">
        <v>8</v>
      </c>
      <c r="B687" s="53" t="s">
        <v>1919</v>
      </c>
      <c r="C687" s="40">
        <v>1</v>
      </c>
      <c r="D687" s="91">
        <v>9025</v>
      </c>
      <c r="E687" s="40">
        <v>550</v>
      </c>
      <c r="F687" s="40">
        <f t="shared" si="52"/>
        <v>4963750</v>
      </c>
      <c r="G687" s="55">
        <v>0.8</v>
      </c>
      <c r="H687" s="42">
        <f t="shared" si="53"/>
        <v>992749.99999999977</v>
      </c>
    </row>
    <row r="688" spans="1:10" ht="57.6" x14ac:dyDescent="0.3">
      <c r="A688" s="53">
        <v>9</v>
      </c>
      <c r="B688" s="53" t="s">
        <v>1581</v>
      </c>
      <c r="C688" s="40">
        <v>1</v>
      </c>
      <c r="D688" s="91">
        <f>16*112.5</f>
        <v>1800</v>
      </c>
      <c r="E688" s="40">
        <v>50</v>
      </c>
      <c r="F688" s="40">
        <f t="shared" si="52"/>
        <v>90000</v>
      </c>
      <c r="G688" s="55">
        <v>0.8</v>
      </c>
      <c r="H688" s="42">
        <f t="shared" si="53"/>
        <v>17999.999999999996</v>
      </c>
    </row>
    <row r="689" spans="1:8" ht="57.6" x14ac:dyDescent="0.3">
      <c r="A689" s="53">
        <v>10</v>
      </c>
      <c r="B689" s="53" t="s">
        <v>1582</v>
      </c>
      <c r="C689" s="40">
        <v>1</v>
      </c>
      <c r="D689" s="91">
        <v>1008</v>
      </c>
      <c r="E689" s="40">
        <v>50</v>
      </c>
      <c r="F689" s="40">
        <f t="shared" si="52"/>
        <v>50400</v>
      </c>
      <c r="G689" s="55">
        <v>0.8</v>
      </c>
      <c r="H689" s="42">
        <f t="shared" si="53"/>
        <v>10079.999999999998</v>
      </c>
    </row>
    <row r="690" spans="1:8" ht="28.8" x14ac:dyDescent="0.3">
      <c r="A690" s="53">
        <v>11</v>
      </c>
      <c r="B690" s="53" t="s">
        <v>992</v>
      </c>
      <c r="C690" s="40">
        <v>1</v>
      </c>
      <c r="D690" s="91">
        <v>554.20000000000005</v>
      </c>
      <c r="E690" s="40">
        <v>22</v>
      </c>
      <c r="F690" s="40">
        <f t="shared" si="52"/>
        <v>12192.400000000001</v>
      </c>
      <c r="G690" s="55">
        <v>0.6</v>
      </c>
      <c r="H690" s="42">
        <f t="shared" si="53"/>
        <v>4876.9600000000009</v>
      </c>
    </row>
    <row r="691" spans="1:8" x14ac:dyDescent="0.3">
      <c r="A691" s="53"/>
      <c r="B691" s="57" t="s">
        <v>7</v>
      </c>
      <c r="C691" s="40"/>
      <c r="D691" s="54"/>
      <c r="E691" s="40"/>
      <c r="F691" s="40"/>
      <c r="G691" s="55"/>
      <c r="H691" s="58">
        <f>SUM(H680:H690)</f>
        <v>1191175.9599999997</v>
      </c>
    </row>
    <row r="692" spans="1:8" x14ac:dyDescent="0.3">
      <c r="A692" s="53">
        <v>12</v>
      </c>
      <c r="B692" s="57" t="s">
        <v>8</v>
      </c>
      <c r="C692" s="40">
        <v>1</v>
      </c>
      <c r="D692" s="54">
        <v>76782</v>
      </c>
      <c r="E692" s="40">
        <v>8</v>
      </c>
      <c r="F692" s="68">
        <f>(10000*E692)+(10000*E692*0.75)+(10000*E692*0.5)+46782*E692*0.25</f>
        <v>273564</v>
      </c>
      <c r="G692" s="55">
        <v>0</v>
      </c>
      <c r="H692" s="58">
        <f>(1-G692)*F692</f>
        <v>273564</v>
      </c>
    </row>
    <row r="693" spans="1:8" x14ac:dyDescent="0.3">
      <c r="A693" s="53"/>
      <c r="B693" s="57" t="s">
        <v>9</v>
      </c>
      <c r="C693" s="39"/>
      <c r="D693" s="59"/>
      <c r="E693" s="39"/>
      <c r="F693" s="39"/>
      <c r="G693" s="39"/>
      <c r="H693" s="58">
        <f>H691+H692</f>
        <v>1464739.9599999997</v>
      </c>
    </row>
    <row r="694" spans="1:8" x14ac:dyDescent="0.3">
      <c r="A694" s="53"/>
      <c r="B694" s="57"/>
      <c r="C694" s="39"/>
      <c r="D694" s="59"/>
      <c r="E694" s="39"/>
      <c r="F694" s="39"/>
      <c r="G694" s="39"/>
      <c r="H694" s="58"/>
    </row>
    <row r="695" spans="1:8" x14ac:dyDescent="0.3">
      <c r="A695" s="43"/>
      <c r="B695" s="62">
        <v>1916</v>
      </c>
      <c r="C695" s="44" t="s">
        <v>446</v>
      </c>
      <c r="D695" s="45"/>
      <c r="E695" s="46" t="s">
        <v>447</v>
      </c>
      <c r="F695" s="63"/>
      <c r="G695" s="60"/>
      <c r="H695" s="48"/>
    </row>
    <row r="696" spans="1:8" s="3" customFormat="1" x14ac:dyDescent="0.3">
      <c r="A696" s="39"/>
      <c r="B696" s="147" t="s">
        <v>0</v>
      </c>
      <c r="C696" s="107" t="s">
        <v>1</v>
      </c>
      <c r="D696" s="108" t="s">
        <v>2</v>
      </c>
      <c r="E696" s="109" t="s">
        <v>3</v>
      </c>
      <c r="F696" s="122" t="s">
        <v>4</v>
      </c>
      <c r="G696" s="109" t="s">
        <v>5</v>
      </c>
      <c r="H696" s="106" t="s">
        <v>6</v>
      </c>
    </row>
    <row r="697" spans="1:8" ht="86.4" x14ac:dyDescent="0.3">
      <c r="A697" s="40">
        <v>1</v>
      </c>
      <c r="B697" s="66" t="s">
        <v>448</v>
      </c>
      <c r="C697" s="40">
        <v>1</v>
      </c>
      <c r="D697" s="67">
        <v>150</v>
      </c>
      <c r="E697" s="40">
        <v>450</v>
      </c>
      <c r="F697" s="68">
        <f t="shared" ref="F697:F702" si="54">C697*D697*E697</f>
        <v>67500</v>
      </c>
      <c r="G697" s="55">
        <v>0.5</v>
      </c>
      <c r="H697" s="42">
        <f t="shared" ref="H697:H702" si="55">F697*(1-G697)</f>
        <v>33750</v>
      </c>
    </row>
    <row r="698" spans="1:8" ht="86.4" x14ac:dyDescent="0.3">
      <c r="A698" s="40">
        <v>2</v>
      </c>
      <c r="B698" s="66" t="s">
        <v>449</v>
      </c>
      <c r="C698" s="40">
        <v>1</v>
      </c>
      <c r="D698" s="67">
        <v>85</v>
      </c>
      <c r="E698" s="40">
        <v>300</v>
      </c>
      <c r="F698" s="68">
        <f t="shared" si="54"/>
        <v>25500</v>
      </c>
      <c r="G698" s="55">
        <v>0.5</v>
      </c>
      <c r="H698" s="42">
        <f t="shared" si="55"/>
        <v>12750</v>
      </c>
    </row>
    <row r="699" spans="1:8" ht="86.4" x14ac:dyDescent="0.3">
      <c r="A699" s="40">
        <v>3</v>
      </c>
      <c r="B699" s="66" t="s">
        <v>450</v>
      </c>
      <c r="C699" s="40">
        <v>1</v>
      </c>
      <c r="D699" s="67">
        <v>80</v>
      </c>
      <c r="E699" s="40">
        <v>300</v>
      </c>
      <c r="F699" s="68">
        <f t="shared" si="54"/>
        <v>24000</v>
      </c>
      <c r="G699" s="55">
        <v>0.5</v>
      </c>
      <c r="H699" s="42">
        <f t="shared" si="55"/>
        <v>12000</v>
      </c>
    </row>
    <row r="700" spans="1:8" ht="43.2" x14ac:dyDescent="0.3">
      <c r="A700" s="40">
        <v>4</v>
      </c>
      <c r="B700" s="66" t="s">
        <v>451</v>
      </c>
      <c r="C700" s="40">
        <v>1</v>
      </c>
      <c r="D700" s="67">
        <v>173</v>
      </c>
      <c r="E700" s="40">
        <v>400</v>
      </c>
      <c r="F700" s="68">
        <f t="shared" si="54"/>
        <v>69200</v>
      </c>
      <c r="G700" s="55">
        <v>0.5</v>
      </c>
      <c r="H700" s="42">
        <f t="shared" si="55"/>
        <v>34600</v>
      </c>
    </row>
    <row r="701" spans="1:8" ht="57.6" x14ac:dyDescent="0.3">
      <c r="A701" s="40">
        <v>5</v>
      </c>
      <c r="B701" s="66" t="s">
        <v>452</v>
      </c>
      <c r="C701" s="40">
        <v>1</v>
      </c>
      <c r="D701" s="67">
        <v>27</v>
      </c>
      <c r="E701" s="40">
        <v>100</v>
      </c>
      <c r="F701" s="68">
        <f t="shared" si="54"/>
        <v>2700</v>
      </c>
      <c r="G701" s="55">
        <v>0.5</v>
      </c>
      <c r="H701" s="42">
        <f t="shared" si="55"/>
        <v>1350</v>
      </c>
    </row>
    <row r="702" spans="1:8" ht="28.8" x14ac:dyDescent="0.3">
      <c r="A702" s="40">
        <v>6</v>
      </c>
      <c r="B702" s="66" t="s">
        <v>453</v>
      </c>
      <c r="C702" s="40">
        <v>1</v>
      </c>
      <c r="D702" s="67">
        <f>136*4</f>
        <v>544</v>
      </c>
      <c r="E702" s="40">
        <v>25</v>
      </c>
      <c r="F702" s="68">
        <f t="shared" si="54"/>
        <v>13600</v>
      </c>
      <c r="G702" s="55">
        <v>0.5</v>
      </c>
      <c r="H702" s="42">
        <f t="shared" si="55"/>
        <v>6800</v>
      </c>
    </row>
    <row r="703" spans="1:8" x14ac:dyDescent="0.3">
      <c r="A703" s="40"/>
      <c r="B703" s="70" t="s">
        <v>7</v>
      </c>
      <c r="C703" s="40"/>
      <c r="D703" s="54"/>
      <c r="E703" s="40"/>
      <c r="F703" s="68"/>
      <c r="G703" s="55"/>
      <c r="H703" s="58">
        <f>SUM(H697:H702)</f>
        <v>101250</v>
      </c>
    </row>
    <row r="704" spans="1:8" x14ac:dyDescent="0.3">
      <c r="A704" s="40">
        <v>7</v>
      </c>
      <c r="B704" s="70" t="s">
        <v>8</v>
      </c>
      <c r="C704" s="40">
        <v>1</v>
      </c>
      <c r="D704" s="54">
        <v>18512</v>
      </c>
      <c r="E704" s="40">
        <v>8</v>
      </c>
      <c r="F704" s="68">
        <f>(10000*E704)+(8512*E704*0.75)</f>
        <v>131072</v>
      </c>
      <c r="G704" s="55">
        <v>0</v>
      </c>
      <c r="H704" s="58">
        <f>(1-G704)*F704</f>
        <v>131072</v>
      </c>
    </row>
    <row r="705" spans="1:9" x14ac:dyDescent="0.3">
      <c r="A705" s="51"/>
      <c r="B705" s="70" t="s">
        <v>9</v>
      </c>
      <c r="C705" s="39"/>
      <c r="D705" s="59"/>
      <c r="E705" s="39"/>
      <c r="F705" s="71"/>
      <c r="G705" s="39"/>
      <c r="H705" s="58">
        <f>H703+H704</f>
        <v>232322</v>
      </c>
    </row>
    <row r="706" spans="1:9" x14ac:dyDescent="0.3">
      <c r="A706" s="51"/>
      <c r="B706" s="57"/>
      <c r="C706" s="39"/>
      <c r="D706" s="59"/>
      <c r="E706" s="39"/>
      <c r="F706" s="39"/>
      <c r="G706" s="39"/>
      <c r="H706" s="58"/>
    </row>
    <row r="707" spans="1:9" x14ac:dyDescent="0.3">
      <c r="A707" s="44"/>
      <c r="B707" s="86">
        <v>1917</v>
      </c>
      <c r="C707" s="44" t="s">
        <v>70</v>
      </c>
      <c r="D707" s="73"/>
      <c r="E707" s="46" t="s">
        <v>71</v>
      </c>
      <c r="F707" s="47"/>
      <c r="G707" s="47"/>
      <c r="H707" s="98"/>
    </row>
    <row r="708" spans="1:9" x14ac:dyDescent="0.3">
      <c r="A708" s="39"/>
      <c r="B708" s="107" t="s">
        <v>0</v>
      </c>
      <c r="C708" s="107" t="s">
        <v>1</v>
      </c>
      <c r="D708" s="108" t="s">
        <v>2</v>
      </c>
      <c r="E708" s="109" t="s">
        <v>3</v>
      </c>
      <c r="F708" s="109" t="s">
        <v>4</v>
      </c>
      <c r="G708" s="109" t="s">
        <v>5</v>
      </c>
      <c r="H708" s="106" t="s">
        <v>6</v>
      </c>
    </row>
    <row r="709" spans="1:9" ht="57.6" x14ac:dyDescent="0.3">
      <c r="A709" s="40">
        <v>1</v>
      </c>
      <c r="B709" s="110" t="s">
        <v>72</v>
      </c>
      <c r="C709" s="40">
        <v>1</v>
      </c>
      <c r="D709" s="54">
        <v>117</v>
      </c>
      <c r="E709" s="40">
        <v>300</v>
      </c>
      <c r="F709" s="40">
        <f t="shared" ref="F709:F723" si="56">C709*D709*E709</f>
        <v>35100</v>
      </c>
      <c r="G709" s="55">
        <v>0.3</v>
      </c>
      <c r="H709" s="42">
        <f t="shared" ref="H709:H717" si="57">F709*(1-G709)</f>
        <v>24570</v>
      </c>
    </row>
    <row r="710" spans="1:9" ht="72" x14ac:dyDescent="0.3">
      <c r="A710" s="40">
        <v>2</v>
      </c>
      <c r="B710" s="110" t="s">
        <v>73</v>
      </c>
      <c r="C710" s="40">
        <v>1</v>
      </c>
      <c r="D710" s="54">
        <f>387-117</f>
        <v>270</v>
      </c>
      <c r="E710" s="40">
        <v>450</v>
      </c>
      <c r="F710" s="40">
        <f t="shared" si="56"/>
        <v>121500</v>
      </c>
      <c r="G710" s="55">
        <v>0.3</v>
      </c>
      <c r="H710" s="42">
        <f t="shared" si="57"/>
        <v>85050</v>
      </c>
    </row>
    <row r="711" spans="1:9" ht="57.6" x14ac:dyDescent="0.3">
      <c r="A711" s="40">
        <v>3</v>
      </c>
      <c r="B711" s="110" t="s">
        <v>1738</v>
      </c>
      <c r="C711" s="40">
        <v>1</v>
      </c>
      <c r="D711" s="54">
        <f>24.5*6.5</f>
        <v>159.25</v>
      </c>
      <c r="E711" s="40">
        <v>450</v>
      </c>
      <c r="F711" s="40">
        <f t="shared" si="56"/>
        <v>71662.5</v>
      </c>
      <c r="G711" s="55">
        <v>0.3</v>
      </c>
      <c r="H711" s="42">
        <f t="shared" si="57"/>
        <v>50163.75</v>
      </c>
    </row>
    <row r="712" spans="1:9" ht="72" x14ac:dyDescent="0.3">
      <c r="A712" s="40">
        <v>4</v>
      </c>
      <c r="B712" s="110" t="s">
        <v>74</v>
      </c>
      <c r="C712" s="40">
        <v>1</v>
      </c>
      <c r="D712" s="54">
        <f>24.8*17.8</f>
        <v>441.44000000000005</v>
      </c>
      <c r="E712" s="40">
        <v>500</v>
      </c>
      <c r="F712" s="40">
        <f t="shared" si="56"/>
        <v>220720.00000000003</v>
      </c>
      <c r="G712" s="55">
        <v>0.3</v>
      </c>
      <c r="H712" s="42">
        <f t="shared" si="57"/>
        <v>154504</v>
      </c>
    </row>
    <row r="713" spans="1:9" ht="72" x14ac:dyDescent="0.3">
      <c r="A713" s="40">
        <v>5</v>
      </c>
      <c r="B713" s="110" t="s">
        <v>75</v>
      </c>
      <c r="C713" s="40">
        <v>1</v>
      </c>
      <c r="D713" s="54">
        <f>(19*10)+(1.5*15.8)+23</f>
        <v>236.7</v>
      </c>
      <c r="E713" s="40">
        <v>400</v>
      </c>
      <c r="F713" s="40">
        <f t="shared" si="56"/>
        <v>94680</v>
      </c>
      <c r="G713" s="55">
        <v>0.3</v>
      </c>
      <c r="H713" s="42">
        <f t="shared" si="57"/>
        <v>66276</v>
      </c>
    </row>
    <row r="714" spans="1:9" ht="72" x14ac:dyDescent="0.3">
      <c r="A714" s="40">
        <v>6</v>
      </c>
      <c r="B714" s="110" t="s">
        <v>76</v>
      </c>
      <c r="C714" s="40">
        <v>1</v>
      </c>
      <c r="D714" s="54">
        <f>(12.5*8)+10</f>
        <v>110</v>
      </c>
      <c r="E714" s="40">
        <v>400</v>
      </c>
      <c r="F714" s="40">
        <f t="shared" si="56"/>
        <v>44000</v>
      </c>
      <c r="G714" s="55">
        <v>0.3</v>
      </c>
      <c r="H714" s="42">
        <f t="shared" si="57"/>
        <v>30799.999999999996</v>
      </c>
    </row>
    <row r="715" spans="1:9" ht="72" x14ac:dyDescent="0.3">
      <c r="A715" s="40">
        <v>7</v>
      </c>
      <c r="B715" s="110" t="s">
        <v>77</v>
      </c>
      <c r="C715" s="40">
        <v>1</v>
      </c>
      <c r="D715" s="54">
        <f>12.7*4.5</f>
        <v>57.15</v>
      </c>
      <c r="E715" s="40">
        <v>400</v>
      </c>
      <c r="F715" s="40">
        <f t="shared" si="56"/>
        <v>22860</v>
      </c>
      <c r="G715" s="55">
        <v>0.3</v>
      </c>
      <c r="H715" s="42">
        <f t="shared" si="57"/>
        <v>16001.999999999998</v>
      </c>
    </row>
    <row r="716" spans="1:9" ht="57.6" x14ac:dyDescent="0.3">
      <c r="A716" s="40">
        <v>8</v>
      </c>
      <c r="B716" s="110" t="s">
        <v>80</v>
      </c>
      <c r="C716" s="40">
        <v>1</v>
      </c>
      <c r="D716" s="54">
        <f>9.7*5.5</f>
        <v>53.349999999999994</v>
      </c>
      <c r="E716" s="40">
        <v>250</v>
      </c>
      <c r="F716" s="40">
        <f t="shared" si="56"/>
        <v>13337.499999999998</v>
      </c>
      <c r="G716" s="55">
        <v>0.3</v>
      </c>
      <c r="H716" s="42">
        <f t="shared" si="57"/>
        <v>9336.2499999999982</v>
      </c>
    </row>
    <row r="717" spans="1:9" ht="43.2" x14ac:dyDescent="0.3">
      <c r="A717" s="40">
        <v>9</v>
      </c>
      <c r="B717" s="110" t="s">
        <v>78</v>
      </c>
      <c r="C717" s="40">
        <v>1</v>
      </c>
      <c r="D717" s="54">
        <v>38.5</v>
      </c>
      <c r="E717" s="40">
        <v>100</v>
      </c>
      <c r="F717" s="40">
        <f t="shared" si="56"/>
        <v>3850</v>
      </c>
      <c r="G717" s="55">
        <v>0.3</v>
      </c>
      <c r="H717" s="42">
        <f t="shared" si="57"/>
        <v>2695</v>
      </c>
    </row>
    <row r="718" spans="1:9" ht="86.4" x14ac:dyDescent="0.3">
      <c r="A718" s="40">
        <v>10</v>
      </c>
      <c r="B718" s="110" t="s">
        <v>67</v>
      </c>
      <c r="C718" s="40">
        <v>2</v>
      </c>
      <c r="D718" s="150">
        <v>24</v>
      </c>
      <c r="E718" s="40">
        <v>200</v>
      </c>
      <c r="F718" s="40">
        <f t="shared" si="56"/>
        <v>9600</v>
      </c>
      <c r="G718" s="55">
        <v>0.5</v>
      </c>
      <c r="H718" s="42">
        <f>(1-G718)*F718</f>
        <v>4800</v>
      </c>
      <c r="I718" s="37"/>
    </row>
    <row r="719" spans="1:9" ht="72" x14ac:dyDescent="0.3">
      <c r="A719" s="40">
        <v>11</v>
      </c>
      <c r="B719" s="110" t="s">
        <v>83</v>
      </c>
      <c r="C719" s="40">
        <v>3</v>
      </c>
      <c r="D719" s="54">
        <f>(9.5*6.8)*(2.2*2)</f>
        <v>284.24</v>
      </c>
      <c r="E719" s="40">
        <v>250</v>
      </c>
      <c r="F719" s="40">
        <f t="shared" si="56"/>
        <v>213180</v>
      </c>
      <c r="G719" s="55">
        <v>0.65</v>
      </c>
      <c r="H719" s="42">
        <f>F719*(1-G719)</f>
        <v>74613</v>
      </c>
    </row>
    <row r="720" spans="1:9" ht="57.6" x14ac:dyDescent="0.3">
      <c r="A720" s="40">
        <v>12</v>
      </c>
      <c r="B720" s="53" t="s">
        <v>79</v>
      </c>
      <c r="C720" s="40">
        <v>1</v>
      </c>
      <c r="D720" s="41">
        <v>30</v>
      </c>
      <c r="E720" s="40">
        <v>50</v>
      </c>
      <c r="F720" s="40">
        <f t="shared" si="56"/>
        <v>1500</v>
      </c>
      <c r="G720" s="55">
        <v>0.5</v>
      </c>
      <c r="H720" s="42">
        <f>(1-G720)*F720</f>
        <v>750</v>
      </c>
    </row>
    <row r="721" spans="1:8" ht="72" x14ac:dyDescent="0.3">
      <c r="A721" s="40">
        <v>13</v>
      </c>
      <c r="B721" s="110" t="s">
        <v>81</v>
      </c>
      <c r="C721" s="40">
        <v>1</v>
      </c>
      <c r="D721" s="54">
        <f>4.5*4.5</f>
        <v>20.25</v>
      </c>
      <c r="E721" s="40">
        <v>100</v>
      </c>
      <c r="F721" s="40">
        <f t="shared" si="56"/>
        <v>2025</v>
      </c>
      <c r="G721" s="55">
        <v>0.3</v>
      </c>
      <c r="H721" s="42">
        <f>F721*(1-G721)</f>
        <v>1417.5</v>
      </c>
    </row>
    <row r="722" spans="1:8" ht="57.6" x14ac:dyDescent="0.3">
      <c r="A722" s="40">
        <v>14</v>
      </c>
      <c r="B722" s="53" t="s">
        <v>82</v>
      </c>
      <c r="C722" s="40">
        <v>1</v>
      </c>
      <c r="D722" s="41">
        <v>270</v>
      </c>
      <c r="E722" s="40">
        <v>50</v>
      </c>
      <c r="F722" s="40">
        <f t="shared" si="56"/>
        <v>13500</v>
      </c>
      <c r="G722" s="55">
        <v>0.5</v>
      </c>
      <c r="H722" s="42">
        <f>(1-G722)*F722</f>
        <v>6750</v>
      </c>
    </row>
    <row r="723" spans="1:8" x14ac:dyDescent="0.3">
      <c r="A723" s="53">
        <v>15</v>
      </c>
      <c r="B723" s="110" t="s">
        <v>16</v>
      </c>
      <c r="C723" s="40">
        <v>1</v>
      </c>
      <c r="D723" s="54">
        <v>554</v>
      </c>
      <c r="E723" s="40">
        <v>45</v>
      </c>
      <c r="F723" s="40">
        <f t="shared" si="56"/>
        <v>24930</v>
      </c>
      <c r="G723" s="74">
        <v>0.5</v>
      </c>
      <c r="H723" s="42">
        <f>F723*(1-G723)</f>
        <v>12465</v>
      </c>
    </row>
    <row r="724" spans="1:8" x14ac:dyDescent="0.3">
      <c r="A724" s="40"/>
      <c r="B724" s="57" t="s">
        <v>7</v>
      </c>
      <c r="C724" s="40"/>
      <c r="D724" s="54"/>
      <c r="E724" s="40"/>
      <c r="F724" s="40"/>
      <c r="G724" s="55"/>
      <c r="H724" s="58">
        <f>SUM(H709:H723)</f>
        <v>540192.5</v>
      </c>
    </row>
    <row r="725" spans="1:8" x14ac:dyDescent="0.3">
      <c r="A725" s="40">
        <v>16</v>
      </c>
      <c r="B725" s="57" t="s">
        <v>8</v>
      </c>
      <c r="C725" s="40">
        <v>1</v>
      </c>
      <c r="D725" s="54">
        <v>19184</v>
      </c>
      <c r="E725" s="40">
        <v>8</v>
      </c>
      <c r="F725" s="40">
        <f>(10000*E725)+(9184*0.75*E725)</f>
        <v>135104</v>
      </c>
      <c r="G725" s="55">
        <v>0</v>
      </c>
      <c r="H725" s="58">
        <f>(1-G725)*F725</f>
        <v>135104</v>
      </c>
    </row>
    <row r="726" spans="1:8" x14ac:dyDescent="0.3">
      <c r="A726" s="51"/>
      <c r="B726" s="57" t="s">
        <v>9</v>
      </c>
      <c r="C726" s="39"/>
      <c r="D726" s="59"/>
      <c r="E726" s="39"/>
      <c r="F726" s="39"/>
      <c r="G726" s="39"/>
      <c r="H726" s="58">
        <f>H724+H725</f>
        <v>675296.5</v>
      </c>
    </row>
    <row r="727" spans="1:8" x14ac:dyDescent="0.3">
      <c r="A727" s="40"/>
      <c r="B727" s="40"/>
      <c r="C727" s="40"/>
      <c r="D727" s="41"/>
      <c r="E727" s="40"/>
      <c r="F727" s="40"/>
      <c r="G727" s="40"/>
      <c r="H727" s="42"/>
    </row>
    <row r="728" spans="1:8" x14ac:dyDescent="0.3">
      <c r="A728" s="40"/>
      <c r="B728" s="40"/>
      <c r="C728" s="40"/>
      <c r="D728" s="41"/>
      <c r="E728" s="40"/>
      <c r="F728" s="40"/>
      <c r="G728" s="40"/>
      <c r="H728" s="42"/>
    </row>
    <row r="729" spans="1:8" x14ac:dyDescent="0.3">
      <c r="A729" s="44"/>
      <c r="B729" s="86" t="s">
        <v>62</v>
      </c>
      <c r="C729" s="44" t="s">
        <v>63</v>
      </c>
      <c r="D729" s="73"/>
      <c r="E729" s="46" t="s">
        <v>300</v>
      </c>
      <c r="F729" s="47"/>
      <c r="G729" s="47"/>
      <c r="H729" s="98"/>
    </row>
    <row r="730" spans="1:8" x14ac:dyDescent="0.3">
      <c r="A730" s="39"/>
      <c r="B730" s="107" t="s">
        <v>0</v>
      </c>
      <c r="C730" s="107" t="s">
        <v>1</v>
      </c>
      <c r="D730" s="108" t="s">
        <v>2</v>
      </c>
      <c r="E730" s="109" t="s">
        <v>3</v>
      </c>
      <c r="F730" s="109" t="s">
        <v>4</v>
      </c>
      <c r="G730" s="109" t="s">
        <v>5</v>
      </c>
      <c r="H730" s="106" t="s">
        <v>6</v>
      </c>
    </row>
    <row r="731" spans="1:8" ht="57.6" x14ac:dyDescent="0.3">
      <c r="A731" s="40">
        <v>1</v>
      </c>
      <c r="B731" s="110" t="s">
        <v>64</v>
      </c>
      <c r="C731" s="40">
        <v>1</v>
      </c>
      <c r="D731" s="54">
        <f>(4.2*11.3)+(3*6.5)</f>
        <v>66.960000000000008</v>
      </c>
      <c r="E731" s="40">
        <v>200</v>
      </c>
      <c r="F731" s="40">
        <f>C731*D731*E731</f>
        <v>13392.000000000002</v>
      </c>
      <c r="G731" s="55">
        <v>0.3</v>
      </c>
      <c r="H731" s="42">
        <f>F731*(1-G731)</f>
        <v>9374.4000000000015</v>
      </c>
    </row>
    <row r="732" spans="1:8" ht="57.6" x14ac:dyDescent="0.3">
      <c r="A732" s="40">
        <v>2</v>
      </c>
      <c r="B732" s="110" t="s">
        <v>65</v>
      </c>
      <c r="C732" s="40">
        <v>1</v>
      </c>
      <c r="D732" s="41">
        <v>40</v>
      </c>
      <c r="E732" s="40">
        <v>200</v>
      </c>
      <c r="F732" s="40">
        <f>C732*D732*E732</f>
        <v>8000</v>
      </c>
      <c r="G732" s="55">
        <v>0.5</v>
      </c>
      <c r="H732" s="42">
        <f>(1-G732)*F732</f>
        <v>4000</v>
      </c>
    </row>
    <row r="733" spans="1:8" ht="72" x14ac:dyDescent="0.3">
      <c r="A733" s="40">
        <v>3</v>
      </c>
      <c r="B733" s="110" t="s">
        <v>1739</v>
      </c>
      <c r="C733" s="40">
        <v>1</v>
      </c>
      <c r="D733" s="54">
        <v>1350</v>
      </c>
      <c r="E733" s="40">
        <v>600</v>
      </c>
      <c r="F733" s="40">
        <f>C733*D733*E733</f>
        <v>810000</v>
      </c>
      <c r="G733" s="55">
        <v>0.6</v>
      </c>
      <c r="H733" s="42">
        <f>F733*(1-G733)</f>
        <v>324000</v>
      </c>
    </row>
    <row r="734" spans="1:8" ht="86.4" x14ac:dyDescent="0.3">
      <c r="A734" s="40">
        <v>4</v>
      </c>
      <c r="B734" s="110" t="s">
        <v>1740</v>
      </c>
      <c r="C734" s="40">
        <v>1</v>
      </c>
      <c r="D734" s="54">
        <v>150</v>
      </c>
      <c r="E734" s="40">
        <v>650</v>
      </c>
      <c r="F734" s="40">
        <f>C734*D734*E734</f>
        <v>97500</v>
      </c>
      <c r="G734" s="55">
        <v>0.4</v>
      </c>
      <c r="H734" s="42">
        <f>F734*(1-G734)</f>
        <v>58500</v>
      </c>
    </row>
    <row r="735" spans="1:8" ht="86.4" x14ac:dyDescent="0.3">
      <c r="A735" s="40">
        <v>5</v>
      </c>
      <c r="B735" s="110" t="s">
        <v>1741</v>
      </c>
      <c r="C735" s="40">
        <v>1</v>
      </c>
      <c r="D735" s="54">
        <f>(30.7*14)+(28.7*12.4)+(28.7*5)</f>
        <v>929.18000000000006</v>
      </c>
      <c r="E735" s="40">
        <v>600</v>
      </c>
      <c r="F735" s="40">
        <f>C735*D735*E735</f>
        <v>557508</v>
      </c>
      <c r="G735" s="55">
        <v>0.6</v>
      </c>
      <c r="H735" s="42">
        <f>F735*(1-G735)</f>
        <v>223003.2</v>
      </c>
    </row>
    <row r="736" spans="1:8" ht="57.6" x14ac:dyDescent="0.3">
      <c r="A736" s="40">
        <v>6</v>
      </c>
      <c r="B736" s="110" t="s">
        <v>66</v>
      </c>
      <c r="C736" s="40">
        <v>1</v>
      </c>
      <c r="D736" s="41">
        <v>60</v>
      </c>
      <c r="E736" s="40">
        <v>150</v>
      </c>
      <c r="F736" s="40">
        <f t="shared" ref="F736:F741" si="58">C736*D736*E736</f>
        <v>9000</v>
      </c>
      <c r="G736" s="55">
        <v>0.5</v>
      </c>
      <c r="H736" s="42">
        <f t="shared" ref="H736:H741" si="59">(1-G736)*F736</f>
        <v>4500</v>
      </c>
    </row>
    <row r="737" spans="1:8" ht="86.4" x14ac:dyDescent="0.3">
      <c r="A737" s="40">
        <v>7</v>
      </c>
      <c r="B737" s="110" t="s">
        <v>67</v>
      </c>
      <c r="C737" s="40">
        <v>1</v>
      </c>
      <c r="D737" s="41">
        <f>(2.8*1.2)+(5*13.3)+(3.2*1.3)+(3.2*1.3)</f>
        <v>78.179999999999993</v>
      </c>
      <c r="E737" s="40">
        <v>200</v>
      </c>
      <c r="F737" s="40">
        <f t="shared" si="58"/>
        <v>15635.999999999998</v>
      </c>
      <c r="G737" s="55">
        <v>0.5</v>
      </c>
      <c r="H737" s="42">
        <f t="shared" si="59"/>
        <v>7817.9999999999991</v>
      </c>
    </row>
    <row r="738" spans="1:8" ht="72" x14ac:dyDescent="0.3">
      <c r="A738" s="40">
        <v>8</v>
      </c>
      <c r="B738" s="110" t="s">
        <v>68</v>
      </c>
      <c r="C738" s="40">
        <v>1</v>
      </c>
      <c r="D738" s="41">
        <v>105</v>
      </c>
      <c r="E738" s="40">
        <v>200</v>
      </c>
      <c r="F738" s="40">
        <f t="shared" si="58"/>
        <v>21000</v>
      </c>
      <c r="G738" s="55">
        <v>0.5</v>
      </c>
      <c r="H738" s="42">
        <f t="shared" si="59"/>
        <v>10500</v>
      </c>
    </row>
    <row r="739" spans="1:8" ht="72" x14ac:dyDescent="0.3">
      <c r="A739" s="40">
        <v>9</v>
      </c>
      <c r="B739" s="110" t="s">
        <v>69</v>
      </c>
      <c r="C739" s="40">
        <v>1</v>
      </c>
      <c r="D739" s="41">
        <v>99</v>
      </c>
      <c r="E739" s="40">
        <v>200</v>
      </c>
      <c r="F739" s="40">
        <f t="shared" si="58"/>
        <v>19800</v>
      </c>
      <c r="G739" s="55">
        <v>0.5</v>
      </c>
      <c r="H739" s="42">
        <f t="shared" si="59"/>
        <v>9900</v>
      </c>
    </row>
    <row r="740" spans="1:8" ht="72" x14ac:dyDescent="0.3">
      <c r="A740" s="40">
        <v>10</v>
      </c>
      <c r="B740" s="110" t="s">
        <v>69</v>
      </c>
      <c r="C740" s="40">
        <v>1</v>
      </c>
      <c r="D740" s="41">
        <v>76.680000000000007</v>
      </c>
      <c r="E740" s="40">
        <v>200</v>
      </c>
      <c r="F740" s="40">
        <f t="shared" si="58"/>
        <v>15336.000000000002</v>
      </c>
      <c r="G740" s="55">
        <v>0.5</v>
      </c>
      <c r="H740" s="42">
        <f t="shared" si="59"/>
        <v>7668.0000000000009</v>
      </c>
    </row>
    <row r="741" spans="1:8" ht="72" x14ac:dyDescent="0.3">
      <c r="A741" s="40">
        <v>11</v>
      </c>
      <c r="B741" s="110" t="s">
        <v>69</v>
      </c>
      <c r="C741" s="40">
        <v>1</v>
      </c>
      <c r="D741" s="41">
        <v>99</v>
      </c>
      <c r="E741" s="40">
        <v>200</v>
      </c>
      <c r="F741" s="40">
        <f t="shared" si="58"/>
        <v>19800</v>
      </c>
      <c r="G741" s="55">
        <v>0.5</v>
      </c>
      <c r="H741" s="42">
        <f t="shared" si="59"/>
        <v>9900</v>
      </c>
    </row>
    <row r="742" spans="1:8" x14ac:dyDescent="0.3">
      <c r="A742" s="53">
        <v>12</v>
      </c>
      <c r="B742" s="110" t="s">
        <v>299</v>
      </c>
      <c r="C742" s="40">
        <v>1</v>
      </c>
      <c r="D742" s="54">
        <v>3447</v>
      </c>
      <c r="E742" s="40">
        <v>22</v>
      </c>
      <c r="F742" s="40">
        <f>C742*D742*E742</f>
        <v>75834</v>
      </c>
      <c r="G742" s="74">
        <v>0.5</v>
      </c>
      <c r="H742" s="42">
        <f>F742*(1-G742)</f>
        <v>37917</v>
      </c>
    </row>
    <row r="743" spans="1:8" x14ac:dyDescent="0.3">
      <c r="A743" s="40"/>
      <c r="B743" s="57" t="s">
        <v>7</v>
      </c>
      <c r="C743" s="40"/>
      <c r="D743" s="54"/>
      <c r="E743" s="40"/>
      <c r="F743" s="40"/>
      <c r="G743" s="55"/>
      <c r="H743" s="58">
        <f>SUM(H731:H742)</f>
        <v>707080.60000000009</v>
      </c>
    </row>
    <row r="744" spans="1:8" x14ac:dyDescent="0.3">
      <c r="A744" s="40">
        <v>13</v>
      </c>
      <c r="B744" s="57" t="s">
        <v>8</v>
      </c>
      <c r="C744" s="40">
        <v>1</v>
      </c>
      <c r="D744" s="54">
        <v>46418</v>
      </c>
      <c r="E744" s="40">
        <v>8</v>
      </c>
      <c r="F744" s="40">
        <f>(10000*E744)+(10000*0.75*E744)+(10000*0.5*E744)+(16418*0.25*E744)</f>
        <v>212836</v>
      </c>
      <c r="G744" s="55">
        <v>0</v>
      </c>
      <c r="H744" s="58">
        <f>(1-G744)*F744</f>
        <v>212836</v>
      </c>
    </row>
    <row r="745" spans="1:8" x14ac:dyDescent="0.3">
      <c r="A745" s="51"/>
      <c r="B745" s="57" t="s">
        <v>9</v>
      </c>
      <c r="C745" s="39"/>
      <c r="D745" s="59"/>
      <c r="E745" s="39"/>
      <c r="F745" s="39"/>
      <c r="G745" s="39"/>
      <c r="H745" s="58">
        <f>H743+H744</f>
        <v>919916.60000000009</v>
      </c>
    </row>
    <row r="746" spans="1:8" x14ac:dyDescent="0.3">
      <c r="A746" s="51"/>
      <c r="B746" s="57"/>
      <c r="C746" s="39"/>
      <c r="D746" s="59"/>
      <c r="E746" s="39"/>
      <c r="F746" s="39"/>
      <c r="G746" s="39"/>
      <c r="H746" s="58"/>
    </row>
    <row r="747" spans="1:8" x14ac:dyDescent="0.3">
      <c r="A747" s="43"/>
      <c r="B747" s="62">
        <v>1922</v>
      </c>
      <c r="C747" s="44" t="s">
        <v>767</v>
      </c>
      <c r="D747" s="45"/>
      <c r="E747" s="46" t="s">
        <v>768</v>
      </c>
      <c r="F747" s="60"/>
      <c r="G747" s="60"/>
      <c r="H747" s="48"/>
    </row>
    <row r="748" spans="1:8" s="3" customFormat="1" x14ac:dyDescent="0.3">
      <c r="A748" s="39"/>
      <c r="B748" s="107" t="s">
        <v>10</v>
      </c>
      <c r="C748" s="107" t="s">
        <v>1</v>
      </c>
      <c r="D748" s="108" t="s">
        <v>2</v>
      </c>
      <c r="E748" s="109" t="s">
        <v>3</v>
      </c>
      <c r="F748" s="109" t="s">
        <v>4</v>
      </c>
      <c r="G748" s="109" t="s">
        <v>5</v>
      </c>
      <c r="H748" s="106" t="s">
        <v>6</v>
      </c>
    </row>
    <row r="749" spans="1:8" ht="86.4" x14ac:dyDescent="0.3">
      <c r="A749" s="40">
        <v>1</v>
      </c>
      <c r="B749" s="53" t="s">
        <v>1397</v>
      </c>
      <c r="C749" s="40">
        <v>1</v>
      </c>
      <c r="D749" s="54">
        <v>171.81</v>
      </c>
      <c r="E749" s="40">
        <v>450</v>
      </c>
      <c r="F749" s="40">
        <f t="shared" ref="F749:F765" si="60">C749*D749*E749</f>
        <v>77314.5</v>
      </c>
      <c r="G749" s="55">
        <v>0.6</v>
      </c>
      <c r="H749" s="42">
        <f>F749*(1-G749)</f>
        <v>30925.800000000003</v>
      </c>
    </row>
    <row r="750" spans="1:8" ht="57.6" x14ac:dyDescent="0.3">
      <c r="A750" s="40">
        <v>2</v>
      </c>
      <c r="B750" s="53" t="s">
        <v>1487</v>
      </c>
      <c r="C750" s="40">
        <v>1</v>
      </c>
      <c r="D750" s="54">
        <v>33.299999999999997</v>
      </c>
      <c r="E750" s="40">
        <v>50</v>
      </c>
      <c r="F750" s="40">
        <f t="shared" si="60"/>
        <v>1664.9999999999998</v>
      </c>
      <c r="G750" s="55">
        <v>0.6</v>
      </c>
      <c r="H750" s="42">
        <f t="shared" ref="H750:H766" si="61">F750*(1-G750)</f>
        <v>666</v>
      </c>
    </row>
    <row r="751" spans="1:8" ht="57.6" x14ac:dyDescent="0.3">
      <c r="A751" s="40">
        <v>3</v>
      </c>
      <c r="B751" s="53" t="s">
        <v>1488</v>
      </c>
      <c r="C751" s="40">
        <v>1</v>
      </c>
      <c r="D751" s="54">
        <v>42.5</v>
      </c>
      <c r="E751" s="40">
        <v>50</v>
      </c>
      <c r="F751" s="40">
        <f t="shared" si="60"/>
        <v>2125</v>
      </c>
      <c r="G751" s="55">
        <v>0.6</v>
      </c>
      <c r="H751" s="42">
        <f t="shared" si="61"/>
        <v>850</v>
      </c>
    </row>
    <row r="752" spans="1:8" ht="86.4" x14ac:dyDescent="0.3">
      <c r="A752" s="40">
        <v>4</v>
      </c>
      <c r="B752" s="53" t="s">
        <v>1368</v>
      </c>
      <c r="C752" s="40">
        <v>1</v>
      </c>
      <c r="D752" s="54">
        <v>186.88</v>
      </c>
      <c r="E752" s="40">
        <v>300</v>
      </c>
      <c r="F752" s="40">
        <f t="shared" si="60"/>
        <v>56064</v>
      </c>
      <c r="G752" s="55">
        <v>0.6</v>
      </c>
      <c r="H752" s="42">
        <f t="shared" si="61"/>
        <v>22425.600000000002</v>
      </c>
    </row>
    <row r="753" spans="1:8" ht="86.4" x14ac:dyDescent="0.3">
      <c r="A753" s="40">
        <v>5</v>
      </c>
      <c r="B753" s="53" t="s">
        <v>1398</v>
      </c>
      <c r="C753" s="40">
        <v>1</v>
      </c>
      <c r="D753" s="54">
        <v>2612.5</v>
      </c>
      <c r="E753" s="40">
        <v>350</v>
      </c>
      <c r="F753" s="40">
        <f t="shared" si="60"/>
        <v>914375</v>
      </c>
      <c r="G753" s="55">
        <v>0.6</v>
      </c>
      <c r="H753" s="42">
        <f t="shared" si="61"/>
        <v>365750</v>
      </c>
    </row>
    <row r="754" spans="1:8" ht="43.2" x14ac:dyDescent="0.3">
      <c r="A754" s="40">
        <v>6</v>
      </c>
      <c r="B754" s="53" t="s">
        <v>769</v>
      </c>
      <c r="C754" s="40">
        <v>1</v>
      </c>
      <c r="D754" s="54">
        <v>289.12</v>
      </c>
      <c r="E754" s="40">
        <v>150</v>
      </c>
      <c r="F754" s="40">
        <f t="shared" si="60"/>
        <v>43368</v>
      </c>
      <c r="G754" s="55">
        <v>0.6</v>
      </c>
      <c r="H754" s="42">
        <f t="shared" si="61"/>
        <v>17347.2</v>
      </c>
    </row>
    <row r="755" spans="1:8" ht="43.2" x14ac:dyDescent="0.3">
      <c r="A755" s="40">
        <v>7</v>
      </c>
      <c r="B755" s="53" t="s">
        <v>770</v>
      </c>
      <c r="C755" s="40">
        <v>1</v>
      </c>
      <c r="D755" s="54">
        <v>187</v>
      </c>
      <c r="E755" s="40">
        <v>150</v>
      </c>
      <c r="F755" s="40">
        <f t="shared" si="60"/>
        <v>28050</v>
      </c>
      <c r="G755" s="55">
        <v>0.6</v>
      </c>
      <c r="H755" s="42">
        <f t="shared" si="61"/>
        <v>11220</v>
      </c>
    </row>
    <row r="756" spans="1:8" ht="86.4" x14ac:dyDescent="0.3">
      <c r="A756" s="40">
        <v>8</v>
      </c>
      <c r="B756" s="53" t="s">
        <v>771</v>
      </c>
      <c r="C756" s="40">
        <v>2</v>
      </c>
      <c r="D756" s="54">
        <v>164.82</v>
      </c>
      <c r="E756" s="40">
        <v>300</v>
      </c>
      <c r="F756" s="40">
        <f t="shared" si="60"/>
        <v>98892</v>
      </c>
      <c r="G756" s="55">
        <v>0.6</v>
      </c>
      <c r="H756" s="42">
        <f t="shared" si="61"/>
        <v>39556.800000000003</v>
      </c>
    </row>
    <row r="757" spans="1:8" ht="43.2" x14ac:dyDescent="0.3">
      <c r="A757" s="40">
        <v>9</v>
      </c>
      <c r="B757" s="53" t="s">
        <v>769</v>
      </c>
      <c r="C757" s="40">
        <v>1</v>
      </c>
      <c r="D757" s="54">
        <v>37.82</v>
      </c>
      <c r="E757" s="40">
        <v>150</v>
      </c>
      <c r="F757" s="40">
        <f t="shared" si="60"/>
        <v>5673</v>
      </c>
      <c r="G757" s="55">
        <v>0.6</v>
      </c>
      <c r="H757" s="42">
        <f t="shared" si="61"/>
        <v>2269.2000000000003</v>
      </c>
    </row>
    <row r="758" spans="1:8" ht="72" x14ac:dyDescent="0.3">
      <c r="A758" s="40">
        <v>10</v>
      </c>
      <c r="B758" s="53" t="s">
        <v>772</v>
      </c>
      <c r="C758" s="40">
        <v>1</v>
      </c>
      <c r="D758" s="54">
        <v>63.02</v>
      </c>
      <c r="E758" s="40">
        <v>300</v>
      </c>
      <c r="F758" s="40">
        <f t="shared" si="60"/>
        <v>18906</v>
      </c>
      <c r="G758" s="55">
        <v>0.6</v>
      </c>
      <c r="H758" s="42">
        <f t="shared" si="61"/>
        <v>7562.4000000000005</v>
      </c>
    </row>
    <row r="759" spans="1:8" ht="72" x14ac:dyDescent="0.3">
      <c r="A759" s="40">
        <v>11</v>
      </c>
      <c r="B759" s="53" t="s">
        <v>773</v>
      </c>
      <c r="C759" s="40">
        <v>1</v>
      </c>
      <c r="D759" s="54">
        <v>23.12</v>
      </c>
      <c r="E759" s="40">
        <v>150</v>
      </c>
      <c r="F759" s="40">
        <f t="shared" si="60"/>
        <v>3468</v>
      </c>
      <c r="G759" s="55">
        <v>0.6</v>
      </c>
      <c r="H759" s="42">
        <f t="shared" si="61"/>
        <v>1387.2</v>
      </c>
    </row>
    <row r="760" spans="1:8" ht="57.6" x14ac:dyDescent="0.3">
      <c r="A760" s="40">
        <v>12</v>
      </c>
      <c r="B760" s="53" t="s">
        <v>774</v>
      </c>
      <c r="C760" s="40">
        <v>1</v>
      </c>
      <c r="D760" s="54">
        <v>6.75</v>
      </c>
      <c r="E760" s="40">
        <v>150</v>
      </c>
      <c r="F760" s="40">
        <f t="shared" si="60"/>
        <v>1012.5</v>
      </c>
      <c r="G760" s="55">
        <v>0.6</v>
      </c>
      <c r="H760" s="42">
        <f t="shared" si="61"/>
        <v>405</v>
      </c>
    </row>
    <row r="761" spans="1:8" ht="43.2" x14ac:dyDescent="0.3">
      <c r="A761" s="40">
        <v>13</v>
      </c>
      <c r="B761" s="53" t="s">
        <v>1460</v>
      </c>
      <c r="C761" s="40">
        <v>1</v>
      </c>
      <c r="D761" s="54">
        <v>12.88</v>
      </c>
      <c r="E761" s="40">
        <v>60</v>
      </c>
      <c r="F761" s="40">
        <f t="shared" si="60"/>
        <v>772.80000000000007</v>
      </c>
      <c r="G761" s="55">
        <v>0.6</v>
      </c>
      <c r="H761" s="42">
        <f t="shared" si="61"/>
        <v>309.12000000000006</v>
      </c>
    </row>
    <row r="762" spans="1:8" x14ac:dyDescent="0.3">
      <c r="A762" s="40"/>
      <c r="B762" s="53" t="s">
        <v>775</v>
      </c>
      <c r="C762" s="40"/>
      <c r="D762" s="54"/>
      <c r="E762" s="40"/>
      <c r="F762" s="40"/>
      <c r="G762" s="55"/>
      <c r="H762" s="42">
        <f t="shared" si="61"/>
        <v>0</v>
      </c>
    </row>
    <row r="763" spans="1:8" x14ac:dyDescent="0.3">
      <c r="A763" s="40">
        <v>14</v>
      </c>
      <c r="B763" s="110" t="s">
        <v>776</v>
      </c>
      <c r="C763" s="40">
        <v>2</v>
      </c>
      <c r="D763" s="54">
        <v>0.65</v>
      </c>
      <c r="E763" s="40">
        <v>2000</v>
      </c>
      <c r="F763" s="40">
        <f t="shared" si="60"/>
        <v>2600</v>
      </c>
      <c r="G763" s="55">
        <v>0.5</v>
      </c>
      <c r="H763" s="42">
        <f t="shared" si="61"/>
        <v>1300</v>
      </c>
    </row>
    <row r="764" spans="1:8" x14ac:dyDescent="0.3">
      <c r="A764" s="40">
        <v>15</v>
      </c>
      <c r="B764" s="53" t="s">
        <v>777</v>
      </c>
      <c r="C764" s="40">
        <v>1</v>
      </c>
      <c r="D764" s="54">
        <v>0.55000000000000004</v>
      </c>
      <c r="E764" s="40">
        <v>4500</v>
      </c>
      <c r="F764" s="40">
        <f t="shared" si="60"/>
        <v>2475</v>
      </c>
      <c r="G764" s="55">
        <v>0.5</v>
      </c>
      <c r="H764" s="42">
        <f t="shared" si="61"/>
        <v>1237.5</v>
      </c>
    </row>
    <row r="765" spans="1:8" x14ac:dyDescent="0.3">
      <c r="A765" s="40">
        <v>16</v>
      </c>
      <c r="B765" s="53" t="s">
        <v>778</v>
      </c>
      <c r="C765" s="40">
        <v>2</v>
      </c>
      <c r="D765" s="54">
        <v>1</v>
      </c>
      <c r="E765" s="40">
        <v>3000</v>
      </c>
      <c r="F765" s="40">
        <f t="shared" si="60"/>
        <v>6000</v>
      </c>
      <c r="G765" s="55">
        <v>0.5</v>
      </c>
      <c r="H765" s="42">
        <f t="shared" si="61"/>
        <v>3000</v>
      </c>
    </row>
    <row r="766" spans="1:8" ht="28.8" x14ac:dyDescent="0.3">
      <c r="A766" s="40">
        <v>17</v>
      </c>
      <c r="B766" s="53" t="s">
        <v>779</v>
      </c>
      <c r="C766" s="40">
        <v>1</v>
      </c>
      <c r="D766" s="54">
        <v>522.41999999999996</v>
      </c>
      <c r="E766" s="40">
        <v>22</v>
      </c>
      <c r="F766" s="40">
        <f>C766*D766*E766*0.5</f>
        <v>5746.62</v>
      </c>
      <c r="G766" s="55">
        <v>0.5</v>
      </c>
      <c r="H766" s="42">
        <f t="shared" si="61"/>
        <v>2873.31</v>
      </c>
    </row>
    <row r="767" spans="1:8" x14ac:dyDescent="0.3">
      <c r="A767" s="40"/>
      <c r="B767" s="57" t="s">
        <v>7</v>
      </c>
      <c r="C767" s="40"/>
      <c r="D767" s="54"/>
      <c r="E767" s="40"/>
      <c r="F767" s="40"/>
      <c r="G767" s="55"/>
      <c r="H767" s="58">
        <f>SUM(H749:H766)</f>
        <v>509085.13000000006</v>
      </c>
    </row>
    <row r="768" spans="1:8" x14ac:dyDescent="0.3">
      <c r="A768" s="40">
        <v>18</v>
      </c>
      <c r="B768" s="57" t="s">
        <v>8</v>
      </c>
      <c r="C768" s="40">
        <v>1</v>
      </c>
      <c r="D768" s="54">
        <v>68230</v>
      </c>
      <c r="E768" s="40">
        <v>8</v>
      </c>
      <c r="F768" s="40">
        <f>(10000*E768)+(10000*0.75*E768)+(10000*0.5*E768)+(38230*0.25*E768)</f>
        <v>256460</v>
      </c>
      <c r="G768" s="55">
        <v>0</v>
      </c>
      <c r="H768" s="58">
        <f>(1-G768)*F768</f>
        <v>256460</v>
      </c>
    </row>
    <row r="769" spans="1:8" x14ac:dyDescent="0.3">
      <c r="A769" s="40"/>
      <c r="B769" s="57" t="s">
        <v>9</v>
      </c>
      <c r="C769" s="39"/>
      <c r="D769" s="59"/>
      <c r="E769" s="39"/>
      <c r="F769" s="39"/>
      <c r="G769" s="39"/>
      <c r="H769" s="58">
        <f>H767+H768</f>
        <v>765545.13000000012</v>
      </c>
    </row>
    <row r="770" spans="1:8" x14ac:dyDescent="0.3">
      <c r="A770" s="40"/>
      <c r="B770" s="57"/>
      <c r="C770" s="39"/>
      <c r="D770" s="59"/>
      <c r="E770" s="39"/>
      <c r="F770" s="39"/>
      <c r="G770" s="39"/>
      <c r="H770" s="58"/>
    </row>
    <row r="771" spans="1:8" x14ac:dyDescent="0.3">
      <c r="A771" s="60"/>
      <c r="B771" s="62">
        <v>1926</v>
      </c>
      <c r="C771" s="44" t="s">
        <v>780</v>
      </c>
      <c r="D771" s="45"/>
      <c r="E771" s="46" t="s">
        <v>781</v>
      </c>
      <c r="F771" s="60"/>
      <c r="G771" s="60"/>
      <c r="H771" s="48"/>
    </row>
    <row r="772" spans="1:8" x14ac:dyDescent="0.3">
      <c r="A772" s="51"/>
      <c r="B772" s="49" t="s">
        <v>10</v>
      </c>
      <c r="C772" s="49" t="s">
        <v>1</v>
      </c>
      <c r="D772" s="50" t="s">
        <v>2</v>
      </c>
      <c r="E772" s="51" t="s">
        <v>3</v>
      </c>
      <c r="F772" s="51" t="s">
        <v>4</v>
      </c>
      <c r="G772" s="51" t="s">
        <v>5</v>
      </c>
      <c r="H772" s="52" t="s">
        <v>6</v>
      </c>
    </row>
    <row r="773" spans="1:8" ht="86.4" x14ac:dyDescent="0.3">
      <c r="A773" s="40">
        <v>1</v>
      </c>
      <c r="B773" s="53" t="s">
        <v>1399</v>
      </c>
      <c r="C773" s="40">
        <v>1</v>
      </c>
      <c r="D773" s="54">
        <v>589.52</v>
      </c>
      <c r="E773" s="40">
        <v>400</v>
      </c>
      <c r="F773" s="40">
        <f>C773*D773*E773</f>
        <v>235808</v>
      </c>
      <c r="G773" s="55">
        <v>0.5</v>
      </c>
      <c r="H773" s="42">
        <f>F773*(1-G773)</f>
        <v>117904</v>
      </c>
    </row>
    <row r="774" spans="1:8" ht="72" x14ac:dyDescent="0.3">
      <c r="A774" s="40">
        <v>2</v>
      </c>
      <c r="B774" s="53" t="s">
        <v>782</v>
      </c>
      <c r="C774" s="40">
        <v>1</v>
      </c>
      <c r="D774" s="54">
        <v>87.56</v>
      </c>
      <c r="E774" s="40">
        <v>200</v>
      </c>
      <c r="F774" s="40">
        <f>C774*D774*E774</f>
        <v>17512</v>
      </c>
      <c r="G774" s="55">
        <v>0.6</v>
      </c>
      <c r="H774" s="42">
        <f>F774*(1-G774)</f>
        <v>7004.8</v>
      </c>
    </row>
    <row r="775" spans="1:8" ht="43.2" x14ac:dyDescent="0.3">
      <c r="A775" s="40">
        <v>3</v>
      </c>
      <c r="B775" s="53" t="s">
        <v>783</v>
      </c>
      <c r="C775" s="40">
        <v>1</v>
      </c>
      <c r="D775" s="54">
        <v>51.95</v>
      </c>
      <c r="E775" s="40">
        <v>200</v>
      </c>
      <c r="F775" s="40">
        <f>C775*D775*E775</f>
        <v>10390</v>
      </c>
      <c r="G775" s="55">
        <v>0.7</v>
      </c>
      <c r="H775" s="42">
        <f>F775*(1-G775)</f>
        <v>3117.0000000000005</v>
      </c>
    </row>
    <row r="776" spans="1:8" ht="28.8" x14ac:dyDescent="0.3">
      <c r="A776" s="40">
        <v>4</v>
      </c>
      <c r="B776" s="53" t="s">
        <v>779</v>
      </c>
      <c r="C776" s="40">
        <v>1</v>
      </c>
      <c r="D776" s="54">
        <v>378.29</v>
      </c>
      <c r="E776" s="40">
        <v>22</v>
      </c>
      <c r="F776" s="40">
        <f>C776*D776*E776*0.5</f>
        <v>4161.1900000000005</v>
      </c>
      <c r="G776" s="55">
        <v>0.5</v>
      </c>
      <c r="H776" s="42">
        <f>F776*(1-G776)</f>
        <v>2080.5950000000003</v>
      </c>
    </row>
    <row r="777" spans="1:8" x14ac:dyDescent="0.3">
      <c r="A777" s="40"/>
      <c r="B777" s="57" t="s">
        <v>7</v>
      </c>
      <c r="C777" s="40"/>
      <c r="D777" s="54"/>
      <c r="E777" s="40"/>
      <c r="F777" s="40"/>
      <c r="G777" s="55"/>
      <c r="H777" s="58">
        <f>SUM(H773:H776)</f>
        <v>130106.395</v>
      </c>
    </row>
    <row r="778" spans="1:8" x14ac:dyDescent="0.3">
      <c r="A778" s="40">
        <v>5</v>
      </c>
      <c r="B778" s="57" t="s">
        <v>8</v>
      </c>
      <c r="C778" s="40">
        <v>1</v>
      </c>
      <c r="D778" s="54">
        <v>8944</v>
      </c>
      <c r="E778" s="40">
        <v>8</v>
      </c>
      <c r="F778" s="40">
        <f>C778*D778*E778</f>
        <v>71552</v>
      </c>
      <c r="G778" s="55">
        <v>0</v>
      </c>
      <c r="H778" s="58">
        <f>(1-G778)*F778</f>
        <v>71552</v>
      </c>
    </row>
    <row r="779" spans="1:8" x14ac:dyDescent="0.3">
      <c r="A779" s="40"/>
      <c r="B779" s="57" t="s">
        <v>9</v>
      </c>
      <c r="C779" s="39"/>
      <c r="D779" s="59"/>
      <c r="E779" s="39"/>
      <c r="F779" s="39"/>
      <c r="G779" s="39"/>
      <c r="H779" s="58">
        <f>H777+H778</f>
        <v>201658.39500000002</v>
      </c>
    </row>
    <row r="780" spans="1:8" x14ac:dyDescent="0.3">
      <c r="A780" s="40"/>
      <c r="B780" s="57"/>
      <c r="C780" s="39"/>
      <c r="D780" s="59"/>
      <c r="E780" s="39"/>
      <c r="F780" s="39"/>
      <c r="G780" s="39"/>
      <c r="H780" s="58"/>
    </row>
    <row r="781" spans="1:8" x14ac:dyDescent="0.3">
      <c r="A781" s="43"/>
      <c r="B781" s="62">
        <v>1975</v>
      </c>
      <c r="C781" s="44" t="s">
        <v>974</v>
      </c>
      <c r="D781" s="73"/>
      <c r="E781" s="44" t="s">
        <v>975</v>
      </c>
      <c r="F781" s="60"/>
      <c r="G781" s="60"/>
      <c r="H781" s="48"/>
    </row>
    <row r="782" spans="1:8" x14ac:dyDescent="0.3">
      <c r="A782" s="40"/>
      <c r="B782" s="49" t="s">
        <v>10</v>
      </c>
      <c r="C782" s="49" t="s">
        <v>1</v>
      </c>
      <c r="D782" s="50" t="s">
        <v>2</v>
      </c>
      <c r="E782" s="51" t="s">
        <v>3</v>
      </c>
      <c r="F782" s="51" t="s">
        <v>4</v>
      </c>
      <c r="G782" s="51" t="s">
        <v>5</v>
      </c>
      <c r="H782" s="52" t="s">
        <v>6</v>
      </c>
    </row>
    <row r="783" spans="1:8" ht="115.2" x14ac:dyDescent="0.3">
      <c r="A783" s="53">
        <v>1</v>
      </c>
      <c r="B783" s="53" t="s">
        <v>1565</v>
      </c>
      <c r="C783" s="40">
        <v>1</v>
      </c>
      <c r="D783" s="91">
        <v>504.45</v>
      </c>
      <c r="E783" s="40">
        <v>400</v>
      </c>
      <c r="F783" s="40">
        <f>C783*D783*E783</f>
        <v>201780</v>
      </c>
      <c r="G783" s="55">
        <v>0.5</v>
      </c>
      <c r="H783" s="42">
        <f>F783*(1-G783)</f>
        <v>100890</v>
      </c>
    </row>
    <row r="784" spans="1:8" ht="115.2" x14ac:dyDescent="0.3">
      <c r="A784" s="53">
        <v>2</v>
      </c>
      <c r="B784" s="53" t="s">
        <v>1566</v>
      </c>
      <c r="C784" s="40">
        <v>1</v>
      </c>
      <c r="D784" s="91">
        <v>295</v>
      </c>
      <c r="E784" s="40">
        <v>400</v>
      </c>
      <c r="F784" s="40">
        <f>C784*D784*E784</f>
        <v>118000</v>
      </c>
      <c r="G784" s="55">
        <v>0.4</v>
      </c>
      <c r="H784" s="42">
        <f>F784*(1-G784)</f>
        <v>70800</v>
      </c>
    </row>
    <row r="785" spans="1:8" ht="57.6" x14ac:dyDescent="0.3">
      <c r="A785" s="53">
        <v>3</v>
      </c>
      <c r="B785" s="53" t="s">
        <v>1400</v>
      </c>
      <c r="C785" s="40">
        <v>1</v>
      </c>
      <c r="D785" s="91">
        <v>1182.3499999999999</v>
      </c>
      <c r="E785" s="40">
        <v>250</v>
      </c>
      <c r="F785" s="40">
        <f>C785*D785*E785</f>
        <v>295587.5</v>
      </c>
      <c r="G785" s="55">
        <v>0.3</v>
      </c>
      <c r="H785" s="42">
        <f>F785*(1-G785)</f>
        <v>206911.25</v>
      </c>
    </row>
    <row r="786" spans="1:8" x14ac:dyDescent="0.3">
      <c r="A786" s="53"/>
      <c r="B786" s="57" t="s">
        <v>7</v>
      </c>
      <c r="C786" s="40"/>
      <c r="D786" s="54"/>
      <c r="E786" s="40"/>
      <c r="F786" s="40"/>
      <c r="G786" s="55"/>
      <c r="H786" s="58">
        <f>SUM(H783:H785)</f>
        <v>378601.25</v>
      </c>
    </row>
    <row r="787" spans="1:8" x14ac:dyDescent="0.3">
      <c r="A787" s="53">
        <v>4</v>
      </c>
      <c r="B787" s="57" t="s">
        <v>8</v>
      </c>
      <c r="C787" s="40">
        <v>1</v>
      </c>
      <c r="D787" s="54">
        <v>7759</v>
      </c>
      <c r="E787" s="40">
        <v>8</v>
      </c>
      <c r="F787" s="40">
        <f>C787*D787*E787</f>
        <v>62072</v>
      </c>
      <c r="G787" s="55">
        <v>0</v>
      </c>
      <c r="H787" s="58">
        <f>(1-G787)*F787</f>
        <v>62072</v>
      </c>
    </row>
    <row r="788" spans="1:8" x14ac:dyDescent="0.3">
      <c r="A788" s="53"/>
      <c r="B788" s="57" t="s">
        <v>9</v>
      </c>
      <c r="C788" s="39"/>
      <c r="D788" s="59"/>
      <c r="E788" s="39"/>
      <c r="F788" s="39"/>
      <c r="G788" s="39"/>
      <c r="H788" s="58">
        <f>H786+H787</f>
        <v>440673.25</v>
      </c>
    </row>
    <row r="789" spans="1:8" x14ac:dyDescent="0.3">
      <c r="A789" s="43"/>
      <c r="B789" s="62">
        <v>1980</v>
      </c>
      <c r="C789" s="44" t="s">
        <v>976</v>
      </c>
      <c r="D789" s="73"/>
      <c r="E789" s="44" t="s">
        <v>977</v>
      </c>
      <c r="F789" s="60"/>
      <c r="G789" s="60"/>
      <c r="H789" s="48"/>
    </row>
    <row r="790" spans="1:8" x14ac:dyDescent="0.3">
      <c r="A790" s="40"/>
      <c r="B790" s="49" t="s">
        <v>10</v>
      </c>
      <c r="C790" s="49" t="s">
        <v>1</v>
      </c>
      <c r="D790" s="50" t="s">
        <v>2</v>
      </c>
      <c r="E790" s="51" t="s">
        <v>3</v>
      </c>
      <c r="F790" s="51" t="s">
        <v>4</v>
      </c>
      <c r="G790" s="51" t="s">
        <v>5</v>
      </c>
      <c r="H790" s="52" t="s">
        <v>6</v>
      </c>
    </row>
    <row r="791" spans="1:8" ht="115.2" x14ac:dyDescent="0.3">
      <c r="A791" s="53">
        <v>1</v>
      </c>
      <c r="B791" s="53" t="s">
        <v>1742</v>
      </c>
      <c r="C791" s="40">
        <v>1</v>
      </c>
      <c r="D791" s="91">
        <v>277.5</v>
      </c>
      <c r="E791" s="40">
        <v>400</v>
      </c>
      <c r="F791" s="40">
        <f>C791*D791*E791</f>
        <v>111000</v>
      </c>
      <c r="G791" s="55">
        <v>0.4</v>
      </c>
      <c r="H791" s="42">
        <f>F791*(1-G791)</f>
        <v>66600</v>
      </c>
    </row>
    <row r="792" spans="1:8" ht="100.8" x14ac:dyDescent="0.3">
      <c r="A792" s="53">
        <v>2</v>
      </c>
      <c r="B792" s="53" t="s">
        <v>1567</v>
      </c>
      <c r="C792" s="40">
        <v>1</v>
      </c>
      <c r="D792" s="91">
        <v>427.8</v>
      </c>
      <c r="E792" s="40">
        <v>400</v>
      </c>
      <c r="F792" s="40">
        <f>C792*D792*E792</f>
        <v>171120</v>
      </c>
      <c r="G792" s="55">
        <v>0.5</v>
      </c>
      <c r="H792" s="42">
        <f>F792*(1-G792)</f>
        <v>85560</v>
      </c>
    </row>
    <row r="793" spans="1:8" ht="100.8" x14ac:dyDescent="0.3">
      <c r="A793" s="53">
        <v>3</v>
      </c>
      <c r="B793" s="53" t="s">
        <v>1568</v>
      </c>
      <c r="C793" s="40">
        <v>1</v>
      </c>
      <c r="D793" s="91">
        <v>668.4</v>
      </c>
      <c r="E793" s="40">
        <v>400</v>
      </c>
      <c r="F793" s="40">
        <f>C793*D793*E793</f>
        <v>267360</v>
      </c>
      <c r="G793" s="55">
        <v>0.5</v>
      </c>
      <c r="H793" s="42">
        <f>F793*(1-G793)</f>
        <v>133680</v>
      </c>
    </row>
    <row r="794" spans="1:8" ht="100.8" x14ac:dyDescent="0.3">
      <c r="A794" s="53">
        <v>4</v>
      </c>
      <c r="B794" s="53" t="s">
        <v>1569</v>
      </c>
      <c r="C794" s="40">
        <v>1</v>
      </c>
      <c r="D794" s="91">
        <v>273</v>
      </c>
      <c r="E794" s="40">
        <v>400</v>
      </c>
      <c r="F794" s="40">
        <f>C794*D794*E794</f>
        <v>109200</v>
      </c>
      <c r="G794" s="55">
        <v>0.5</v>
      </c>
      <c r="H794" s="42">
        <f>F794*(1-G794)</f>
        <v>54600</v>
      </c>
    </row>
    <row r="795" spans="1:8" x14ac:dyDescent="0.3">
      <c r="A795" s="53"/>
      <c r="B795" s="57" t="s">
        <v>7</v>
      </c>
      <c r="C795" s="40"/>
      <c r="D795" s="54"/>
      <c r="E795" s="40"/>
      <c r="F795" s="40"/>
      <c r="G795" s="55"/>
      <c r="H795" s="58">
        <f>SUM(H791:H794)</f>
        <v>340440</v>
      </c>
    </row>
    <row r="796" spans="1:8" x14ac:dyDescent="0.3">
      <c r="A796" s="53">
        <v>5</v>
      </c>
      <c r="B796" s="57" t="s">
        <v>8</v>
      </c>
      <c r="C796" s="40">
        <v>1</v>
      </c>
      <c r="D796" s="54">
        <v>2498</v>
      </c>
      <c r="E796" s="40">
        <v>8</v>
      </c>
      <c r="F796" s="40">
        <f>C796*D796*E796</f>
        <v>19984</v>
      </c>
      <c r="G796" s="55">
        <v>0</v>
      </c>
      <c r="H796" s="58">
        <f>(1-G796)*F796</f>
        <v>19984</v>
      </c>
    </row>
    <row r="797" spans="1:8" x14ac:dyDescent="0.3">
      <c r="A797" s="53"/>
      <c r="B797" s="57" t="s">
        <v>9</v>
      </c>
      <c r="C797" s="39"/>
      <c r="D797" s="59"/>
      <c r="E797" s="39"/>
      <c r="F797" s="39"/>
      <c r="G797" s="39"/>
      <c r="H797" s="58">
        <f>H795+H796</f>
        <v>360424</v>
      </c>
    </row>
    <row r="798" spans="1:8" x14ac:dyDescent="0.3">
      <c r="A798" s="43"/>
      <c r="B798" s="62">
        <v>1981</v>
      </c>
      <c r="C798" s="44" t="s">
        <v>978</v>
      </c>
      <c r="D798" s="73"/>
      <c r="E798" s="44" t="s">
        <v>979</v>
      </c>
      <c r="F798" s="60"/>
      <c r="G798" s="60"/>
      <c r="H798" s="48"/>
    </row>
    <row r="799" spans="1:8" s="3" customFormat="1" x14ac:dyDescent="0.3">
      <c r="A799" s="39"/>
      <c r="B799" s="107" t="s">
        <v>10</v>
      </c>
      <c r="C799" s="107" t="s">
        <v>1</v>
      </c>
      <c r="D799" s="108" t="s">
        <v>2</v>
      </c>
      <c r="E799" s="109" t="s">
        <v>3</v>
      </c>
      <c r="F799" s="109" t="s">
        <v>4</v>
      </c>
      <c r="G799" s="109" t="s">
        <v>5</v>
      </c>
      <c r="H799" s="106" t="s">
        <v>6</v>
      </c>
    </row>
    <row r="800" spans="1:8" ht="129.6" x14ac:dyDescent="0.3">
      <c r="A800" s="53">
        <v>1</v>
      </c>
      <c r="B800" s="53" t="s">
        <v>1743</v>
      </c>
      <c r="C800" s="40">
        <v>1</v>
      </c>
      <c r="D800" s="91">
        <v>1860.5</v>
      </c>
      <c r="E800" s="40">
        <v>500</v>
      </c>
      <c r="F800" s="40">
        <f>C800*D800*E800</f>
        <v>930250</v>
      </c>
      <c r="G800" s="55">
        <v>0.3</v>
      </c>
      <c r="H800" s="42">
        <f>F800*(1-G800)</f>
        <v>651175</v>
      </c>
    </row>
    <row r="801" spans="1:8" ht="115.2" x14ac:dyDescent="0.3">
      <c r="A801" s="53">
        <v>2</v>
      </c>
      <c r="B801" s="53" t="s">
        <v>1744</v>
      </c>
      <c r="C801" s="40">
        <v>1</v>
      </c>
      <c r="D801" s="91">
        <v>331.25</v>
      </c>
      <c r="E801" s="40">
        <v>350</v>
      </c>
      <c r="F801" s="40">
        <f>C801*D801*E801</f>
        <v>115937.5</v>
      </c>
      <c r="G801" s="55">
        <v>0.5</v>
      </c>
      <c r="H801" s="42">
        <f>F801*(1-G801)</f>
        <v>57968.75</v>
      </c>
    </row>
    <row r="802" spans="1:8" x14ac:dyDescent="0.3">
      <c r="A802" s="53"/>
      <c r="B802" s="57" t="s">
        <v>7</v>
      </c>
      <c r="C802" s="40"/>
      <c r="D802" s="54"/>
      <c r="E802" s="40"/>
      <c r="F802" s="40"/>
      <c r="G802" s="55"/>
      <c r="H802" s="58">
        <f>SUM(H800:H801)</f>
        <v>709143.75</v>
      </c>
    </row>
    <row r="803" spans="1:8" x14ac:dyDescent="0.3">
      <c r="A803" s="53">
        <v>3</v>
      </c>
      <c r="B803" s="57" t="s">
        <v>8</v>
      </c>
      <c r="C803" s="40">
        <v>1</v>
      </c>
      <c r="D803" s="54">
        <v>4325</v>
      </c>
      <c r="E803" s="40">
        <v>8</v>
      </c>
      <c r="F803" s="40">
        <f>C803*D803*E803</f>
        <v>34600</v>
      </c>
      <c r="G803" s="55">
        <v>0</v>
      </c>
      <c r="H803" s="58">
        <f>(1-G803)*F803</f>
        <v>34600</v>
      </c>
    </row>
    <row r="804" spans="1:8" x14ac:dyDescent="0.3">
      <c r="A804" s="53"/>
      <c r="B804" s="57" t="s">
        <v>9</v>
      </c>
      <c r="C804" s="39"/>
      <c r="D804" s="59"/>
      <c r="E804" s="39"/>
      <c r="F804" s="39"/>
      <c r="G804" s="39"/>
      <c r="H804" s="58">
        <f>H802+H803</f>
        <v>743743.75</v>
      </c>
    </row>
    <row r="805" spans="1:8" x14ac:dyDescent="0.3">
      <c r="A805" s="40"/>
      <c r="B805" s="57"/>
      <c r="C805" s="39"/>
      <c r="D805" s="59"/>
      <c r="E805" s="39"/>
      <c r="F805" s="39"/>
      <c r="G805" s="39"/>
      <c r="H805" s="58"/>
    </row>
    <row r="806" spans="1:8" x14ac:dyDescent="0.3">
      <c r="A806" s="60"/>
      <c r="B806" s="62">
        <v>1985</v>
      </c>
      <c r="C806" s="44" t="s">
        <v>784</v>
      </c>
      <c r="D806" s="45"/>
      <c r="E806" s="46" t="s">
        <v>785</v>
      </c>
      <c r="F806" s="60"/>
      <c r="G806" s="60"/>
      <c r="H806" s="48"/>
    </row>
    <row r="807" spans="1:8" s="3" customFormat="1" x14ac:dyDescent="0.3">
      <c r="A807" s="39"/>
      <c r="B807" s="107" t="s">
        <v>10</v>
      </c>
      <c r="C807" s="107" t="s">
        <v>1</v>
      </c>
      <c r="D807" s="108" t="s">
        <v>2</v>
      </c>
      <c r="E807" s="109" t="s">
        <v>3</v>
      </c>
      <c r="F807" s="109" t="s">
        <v>4</v>
      </c>
      <c r="G807" s="109" t="s">
        <v>5</v>
      </c>
      <c r="H807" s="106" t="s">
        <v>6</v>
      </c>
    </row>
    <row r="808" spans="1:8" ht="100.8" x14ac:dyDescent="0.3">
      <c r="A808" s="51">
        <v>1</v>
      </c>
      <c r="B808" s="53" t="s">
        <v>1649</v>
      </c>
      <c r="C808" s="40">
        <v>1</v>
      </c>
      <c r="D808" s="54">
        <v>154.76</v>
      </c>
      <c r="E808" s="40">
        <v>300</v>
      </c>
      <c r="F808" s="40">
        <f>C808*D808*E808</f>
        <v>46428</v>
      </c>
      <c r="G808" s="55">
        <v>0.4</v>
      </c>
      <c r="H808" s="42">
        <f>F808*(1-G808)</f>
        <v>27856.799999999999</v>
      </c>
    </row>
    <row r="809" spans="1:8" ht="57.6" x14ac:dyDescent="0.3">
      <c r="A809" s="40">
        <v>2</v>
      </c>
      <c r="B809" s="53" t="s">
        <v>1489</v>
      </c>
      <c r="C809" s="40">
        <v>1</v>
      </c>
      <c r="D809" s="54">
        <v>160</v>
      </c>
      <c r="E809" s="40">
        <v>300</v>
      </c>
      <c r="F809" s="40">
        <f>C809*D809*E809</f>
        <v>48000</v>
      </c>
      <c r="G809" s="55">
        <v>0.4</v>
      </c>
      <c r="H809" s="42">
        <f>F809*(1-G809)</f>
        <v>28800</v>
      </c>
    </row>
    <row r="810" spans="1:8" x14ac:dyDescent="0.3">
      <c r="A810" s="151">
        <v>3</v>
      </c>
      <c r="B810" s="53" t="s">
        <v>786</v>
      </c>
      <c r="C810" s="40">
        <v>1</v>
      </c>
      <c r="D810" s="54">
        <v>35000</v>
      </c>
      <c r="E810" s="40">
        <v>0.55000000000000004</v>
      </c>
      <c r="F810" s="40">
        <f>C810*D810*E810</f>
        <v>19250</v>
      </c>
      <c r="G810" s="55">
        <v>0.5</v>
      </c>
      <c r="H810" s="42">
        <f>F810*(1-G810)</f>
        <v>9625</v>
      </c>
    </row>
    <row r="811" spans="1:8" x14ac:dyDescent="0.3">
      <c r="A811" s="83">
        <v>4</v>
      </c>
      <c r="B811" s="53" t="s">
        <v>787</v>
      </c>
      <c r="C811" s="40">
        <v>2</v>
      </c>
      <c r="D811" s="54">
        <v>15000</v>
      </c>
      <c r="E811" s="40">
        <v>0.65</v>
      </c>
      <c r="F811" s="40">
        <f>C811*D811*E811</f>
        <v>19500</v>
      </c>
      <c r="G811" s="55">
        <v>0.5</v>
      </c>
      <c r="H811" s="42">
        <f>F811*(1-G811)</f>
        <v>9750</v>
      </c>
    </row>
    <row r="812" spans="1:8" x14ac:dyDescent="0.3">
      <c r="A812" s="83">
        <v>5</v>
      </c>
      <c r="B812" s="53" t="s">
        <v>788</v>
      </c>
      <c r="C812" s="40">
        <v>1</v>
      </c>
      <c r="D812" s="54">
        <v>25000</v>
      </c>
      <c r="E812" s="40">
        <v>0.65</v>
      </c>
      <c r="F812" s="40">
        <f>C812*D812*E812</f>
        <v>16250</v>
      </c>
      <c r="G812" s="55">
        <v>0.5</v>
      </c>
      <c r="H812" s="42">
        <f>F812*(1-G812)</f>
        <v>8125</v>
      </c>
    </row>
    <row r="813" spans="1:8" x14ac:dyDescent="0.3">
      <c r="A813" s="83"/>
      <c r="B813" s="57" t="s">
        <v>7</v>
      </c>
      <c r="C813" s="40"/>
      <c r="D813" s="54"/>
      <c r="E813" s="40"/>
      <c r="F813" s="40"/>
      <c r="G813" s="55"/>
      <c r="H813" s="58">
        <f>SUM(H808:H812)</f>
        <v>84156.800000000003</v>
      </c>
    </row>
    <row r="814" spans="1:8" x14ac:dyDescent="0.3">
      <c r="A814" s="40">
        <v>6</v>
      </c>
      <c r="B814" s="57" t="s">
        <v>8</v>
      </c>
      <c r="C814" s="40">
        <v>1</v>
      </c>
      <c r="D814" s="54">
        <v>4421</v>
      </c>
      <c r="E814" s="40">
        <v>8</v>
      </c>
      <c r="F814" s="40">
        <f>C814*D814*E814</f>
        <v>35368</v>
      </c>
      <c r="G814" s="55">
        <v>0</v>
      </c>
      <c r="H814" s="58">
        <f>(1-G814)*F814</f>
        <v>35368</v>
      </c>
    </row>
    <row r="815" spans="1:8" x14ac:dyDescent="0.3">
      <c r="A815" s="40"/>
      <c r="B815" s="57" t="s">
        <v>9</v>
      </c>
      <c r="C815" s="39"/>
      <c r="D815" s="59"/>
      <c r="E815" s="39"/>
      <c r="F815" s="39"/>
      <c r="G815" s="39"/>
      <c r="H815" s="58">
        <f>H813+H814</f>
        <v>119524.8</v>
      </c>
    </row>
    <row r="816" spans="1:8" x14ac:dyDescent="0.3">
      <c r="A816" s="40"/>
      <c r="B816" s="40"/>
      <c r="C816" s="40"/>
      <c r="D816" s="41"/>
      <c r="E816" s="40"/>
      <c r="F816" s="40"/>
      <c r="G816" s="40"/>
      <c r="H816" s="42"/>
    </row>
    <row r="817" spans="1:8" x14ac:dyDescent="0.3">
      <c r="A817" s="44"/>
      <c r="B817" s="86">
        <v>2049</v>
      </c>
      <c r="C817" s="44" t="s">
        <v>19</v>
      </c>
      <c r="D817" s="73"/>
      <c r="E817" s="46" t="s">
        <v>1913</v>
      </c>
      <c r="F817" s="47"/>
      <c r="G817" s="47"/>
      <c r="H817" s="98"/>
    </row>
    <row r="818" spans="1:8" x14ac:dyDescent="0.3">
      <c r="A818" s="39"/>
      <c r="B818" s="107" t="s">
        <v>0</v>
      </c>
      <c r="C818" s="107" t="s">
        <v>1</v>
      </c>
      <c r="D818" s="108" t="s">
        <v>2</v>
      </c>
      <c r="E818" s="109" t="s">
        <v>3</v>
      </c>
      <c r="F818" s="109" t="s">
        <v>4</v>
      </c>
      <c r="G818" s="109" t="s">
        <v>5</v>
      </c>
      <c r="H818" s="106" t="s">
        <v>6</v>
      </c>
    </row>
    <row r="819" spans="1:8" ht="57.6" x14ac:dyDescent="0.3">
      <c r="A819" s="40">
        <v>1</v>
      </c>
      <c r="B819" s="110" t="s">
        <v>1745</v>
      </c>
      <c r="C819" s="40">
        <v>1</v>
      </c>
      <c r="D819" s="54">
        <f>(21*11)+3.5</f>
        <v>234.5</v>
      </c>
      <c r="E819" s="40">
        <v>300</v>
      </c>
      <c r="F819" s="40">
        <f t="shared" ref="F819:F826" si="62">C819*D819*E819</f>
        <v>70350</v>
      </c>
      <c r="G819" s="55">
        <v>0.5</v>
      </c>
      <c r="H819" s="42">
        <f>F819*(1-G819)</f>
        <v>35175</v>
      </c>
    </row>
    <row r="820" spans="1:8" ht="72" x14ac:dyDescent="0.3">
      <c r="A820" s="40">
        <v>2</v>
      </c>
      <c r="B820" s="110" t="s">
        <v>1746</v>
      </c>
      <c r="C820" s="40">
        <v>1</v>
      </c>
      <c r="D820" s="54">
        <v>98</v>
      </c>
      <c r="E820" s="40">
        <v>400</v>
      </c>
      <c r="F820" s="40">
        <f t="shared" si="62"/>
        <v>39200</v>
      </c>
      <c r="G820" s="55">
        <v>0.5</v>
      </c>
      <c r="H820" s="42">
        <f>F820*(1-G820)</f>
        <v>19600</v>
      </c>
    </row>
    <row r="821" spans="1:8" ht="72" x14ac:dyDescent="0.3">
      <c r="A821" s="40">
        <v>3</v>
      </c>
      <c r="B821" s="110" t="s">
        <v>1747</v>
      </c>
      <c r="C821" s="40">
        <v>1</v>
      </c>
      <c r="D821" s="54">
        <v>528</v>
      </c>
      <c r="E821" s="40">
        <v>400</v>
      </c>
      <c r="F821" s="40">
        <f t="shared" si="62"/>
        <v>211200</v>
      </c>
      <c r="G821" s="55">
        <v>0.5</v>
      </c>
      <c r="H821" s="42">
        <f>F821*(1-G821)</f>
        <v>105600</v>
      </c>
    </row>
    <row r="822" spans="1:8" ht="72" x14ac:dyDescent="0.3">
      <c r="A822" s="40">
        <v>4</v>
      </c>
      <c r="B822" s="110" t="s">
        <v>1493</v>
      </c>
      <c r="C822" s="40">
        <v>1</v>
      </c>
      <c r="D822" s="54">
        <v>132</v>
      </c>
      <c r="E822" s="40">
        <v>150</v>
      </c>
      <c r="F822" s="40">
        <f t="shared" si="62"/>
        <v>19800</v>
      </c>
      <c r="G822" s="55">
        <v>0.5</v>
      </c>
      <c r="H822" s="42">
        <f>F822*(1-G822)</f>
        <v>9900</v>
      </c>
    </row>
    <row r="823" spans="1:8" ht="43.2" x14ac:dyDescent="0.3">
      <c r="A823" s="40">
        <v>5</v>
      </c>
      <c r="B823" s="53" t="s">
        <v>1494</v>
      </c>
      <c r="C823" s="40">
        <v>1</v>
      </c>
      <c r="D823" s="41">
        <v>35</v>
      </c>
      <c r="E823" s="40">
        <v>50</v>
      </c>
      <c r="F823" s="40">
        <f t="shared" si="62"/>
        <v>1750</v>
      </c>
      <c r="G823" s="55">
        <v>0.5</v>
      </c>
      <c r="H823" s="42">
        <f>(1-G823)*F823</f>
        <v>875</v>
      </c>
    </row>
    <row r="824" spans="1:8" ht="57.6" x14ac:dyDescent="0.3">
      <c r="A824" s="40">
        <v>6</v>
      </c>
      <c r="B824" s="110" t="s">
        <v>1495</v>
      </c>
      <c r="C824" s="40">
        <v>1</v>
      </c>
      <c r="D824" s="41">
        <v>28.86</v>
      </c>
      <c r="E824" s="40">
        <v>100</v>
      </c>
      <c r="F824" s="40">
        <f t="shared" si="62"/>
        <v>2886</v>
      </c>
      <c r="G824" s="55">
        <v>0.65</v>
      </c>
      <c r="H824" s="42">
        <f>(1-G824)*F824</f>
        <v>1010.0999999999999</v>
      </c>
    </row>
    <row r="825" spans="1:8" ht="72" x14ac:dyDescent="0.3">
      <c r="A825" s="40">
        <v>7</v>
      </c>
      <c r="B825" s="110" t="s">
        <v>1910</v>
      </c>
      <c r="C825" s="40">
        <v>1</v>
      </c>
      <c r="D825" s="54">
        <v>275.25</v>
      </c>
      <c r="E825" s="40">
        <v>150</v>
      </c>
      <c r="F825" s="40">
        <f t="shared" si="62"/>
        <v>41287.5</v>
      </c>
      <c r="G825" s="55">
        <v>0.5</v>
      </c>
      <c r="H825" s="42">
        <f>F825*(1-G825)</f>
        <v>20643.75</v>
      </c>
    </row>
    <row r="826" spans="1:8" ht="28.8" x14ac:dyDescent="0.3">
      <c r="A826" s="53">
        <v>8</v>
      </c>
      <c r="B826" s="110" t="s">
        <v>14</v>
      </c>
      <c r="C826" s="40">
        <v>1</v>
      </c>
      <c r="D826" s="54">
        <v>448</v>
      </c>
      <c r="E826" s="40">
        <v>22</v>
      </c>
      <c r="F826" s="40">
        <f t="shared" si="62"/>
        <v>9856</v>
      </c>
      <c r="G826" s="74">
        <v>0.5</v>
      </c>
      <c r="H826" s="42">
        <f>F826*(1-G826)</f>
        <v>4928</v>
      </c>
    </row>
    <row r="827" spans="1:8" x14ac:dyDescent="0.3">
      <c r="A827" s="40"/>
      <c r="B827" s="57" t="s">
        <v>7</v>
      </c>
      <c r="C827" s="40"/>
      <c r="D827" s="54"/>
      <c r="E827" s="40"/>
      <c r="F827" s="40"/>
      <c r="G827" s="55"/>
      <c r="H827" s="58">
        <f>SUM(H819:H826)</f>
        <v>197731.85</v>
      </c>
    </row>
    <row r="828" spans="1:8" x14ac:dyDescent="0.3">
      <c r="A828" s="40">
        <v>9</v>
      </c>
      <c r="B828" s="57" t="s">
        <v>8</v>
      </c>
      <c r="C828" s="40">
        <v>1</v>
      </c>
      <c r="D828" s="54">
        <v>12500</v>
      </c>
      <c r="E828" s="40">
        <v>8</v>
      </c>
      <c r="F828" s="40">
        <f>(10000*E828)+(0.75*E828*2500)</f>
        <v>95000</v>
      </c>
      <c r="G828" s="55">
        <v>0</v>
      </c>
      <c r="H828" s="58">
        <f>(1-G828)*F828</f>
        <v>95000</v>
      </c>
    </row>
    <row r="829" spans="1:8" x14ac:dyDescent="0.3">
      <c r="A829" s="51"/>
      <c r="B829" s="57" t="s">
        <v>9</v>
      </c>
      <c r="C829" s="39"/>
      <c r="D829" s="59"/>
      <c r="E829" s="39"/>
      <c r="F829" s="39"/>
      <c r="G829" s="39"/>
      <c r="H829" s="58">
        <f>H827+H828</f>
        <v>292731.84999999998</v>
      </c>
    </row>
    <row r="830" spans="1:8" x14ac:dyDescent="0.3">
      <c r="A830" s="51"/>
      <c r="B830" s="57"/>
      <c r="C830" s="39"/>
      <c r="D830" s="59"/>
      <c r="E830" s="39"/>
      <c r="F830" s="39"/>
      <c r="G830" s="39"/>
      <c r="H830" s="58"/>
    </row>
    <row r="831" spans="1:8" x14ac:dyDescent="0.3">
      <c r="A831" s="94"/>
      <c r="B831" s="95">
        <v>2172</v>
      </c>
      <c r="C831" s="47" t="s">
        <v>454</v>
      </c>
      <c r="D831" s="96"/>
      <c r="E831" s="47" t="s">
        <v>455</v>
      </c>
      <c r="F831" s="97"/>
      <c r="G831" s="47"/>
      <c r="H831" s="98"/>
    </row>
    <row r="832" spans="1:8" x14ac:dyDescent="0.3">
      <c r="A832" s="39"/>
      <c r="B832" s="107" t="s">
        <v>0</v>
      </c>
      <c r="C832" s="107" t="s">
        <v>1</v>
      </c>
      <c r="D832" s="108" t="s">
        <v>2</v>
      </c>
      <c r="E832" s="109" t="s">
        <v>3</v>
      </c>
      <c r="F832" s="109" t="s">
        <v>4</v>
      </c>
      <c r="G832" s="109" t="s">
        <v>5</v>
      </c>
      <c r="H832" s="106" t="s">
        <v>6</v>
      </c>
    </row>
    <row r="833" spans="1:8" ht="86.4" x14ac:dyDescent="0.3">
      <c r="A833" s="40">
        <v>1</v>
      </c>
      <c r="B833" s="102" t="s">
        <v>456</v>
      </c>
      <c r="C833" s="40">
        <v>1</v>
      </c>
      <c r="D833" s="41">
        <v>651</v>
      </c>
      <c r="E833" s="40">
        <v>500</v>
      </c>
      <c r="F833" s="68">
        <f>D833*E833</f>
        <v>325500</v>
      </c>
      <c r="G833" s="55">
        <v>0.5</v>
      </c>
      <c r="H833" s="42">
        <f>F833*(1-G833)</f>
        <v>162750</v>
      </c>
    </row>
    <row r="834" spans="1:8" ht="86.4" x14ac:dyDescent="0.3">
      <c r="A834" s="40">
        <v>2</v>
      </c>
      <c r="B834" s="102" t="s">
        <v>457</v>
      </c>
      <c r="C834" s="40">
        <v>1</v>
      </c>
      <c r="D834" s="41">
        <v>175</v>
      </c>
      <c r="E834" s="40">
        <v>350</v>
      </c>
      <c r="F834" s="68">
        <f>D834*E834</f>
        <v>61250</v>
      </c>
      <c r="G834" s="55">
        <v>0.5</v>
      </c>
      <c r="H834" s="42">
        <f>F834*(1-G834)</f>
        <v>30625</v>
      </c>
    </row>
    <row r="835" spans="1:8" ht="43.2" x14ac:dyDescent="0.3">
      <c r="A835" s="40">
        <v>3</v>
      </c>
      <c r="B835" s="102" t="s">
        <v>458</v>
      </c>
      <c r="C835" s="40">
        <v>1</v>
      </c>
      <c r="D835" s="41">
        <v>37.5</v>
      </c>
      <c r="E835" s="40">
        <v>80</v>
      </c>
      <c r="F835" s="68">
        <f>D835*E835</f>
        <v>3000</v>
      </c>
      <c r="G835" s="55">
        <v>0.5</v>
      </c>
      <c r="H835" s="42">
        <f>F835*(1-G835)</f>
        <v>1500</v>
      </c>
    </row>
    <row r="836" spans="1:8" ht="57.6" x14ac:dyDescent="0.3">
      <c r="A836" s="40">
        <v>4</v>
      </c>
      <c r="B836" s="102" t="s">
        <v>1496</v>
      </c>
      <c r="C836" s="40">
        <v>1</v>
      </c>
      <c r="D836" s="41">
        <v>4.2</v>
      </c>
      <c r="E836" s="40">
        <v>100</v>
      </c>
      <c r="F836" s="68">
        <f>D836*E836</f>
        <v>420</v>
      </c>
      <c r="G836" s="55">
        <v>0.5</v>
      </c>
      <c r="H836" s="42">
        <f>F836*(1-G836)</f>
        <v>210</v>
      </c>
    </row>
    <row r="837" spans="1:8" ht="28.8" x14ac:dyDescent="0.3">
      <c r="A837" s="40">
        <v>5</v>
      </c>
      <c r="B837" s="102" t="s">
        <v>1461</v>
      </c>
      <c r="C837" s="40">
        <v>1</v>
      </c>
      <c r="D837" s="41">
        <f>62.6*4</f>
        <v>250.4</v>
      </c>
      <c r="E837" s="40">
        <v>45</v>
      </c>
      <c r="F837" s="68">
        <f>D837*E837</f>
        <v>11268</v>
      </c>
      <c r="G837" s="55">
        <v>0.5</v>
      </c>
      <c r="H837" s="42">
        <f>F837*(1-G837)</f>
        <v>5634</v>
      </c>
    </row>
    <row r="838" spans="1:8" x14ac:dyDescent="0.3">
      <c r="A838" s="39"/>
      <c r="B838" s="103" t="s">
        <v>318</v>
      </c>
      <c r="C838" s="40"/>
      <c r="D838" s="41"/>
      <c r="E838" s="40"/>
      <c r="F838" s="68"/>
      <c r="G838" s="40"/>
      <c r="H838" s="58">
        <f>SUM(H833:H837)</f>
        <v>200719</v>
      </c>
    </row>
    <row r="839" spans="1:8" x14ac:dyDescent="0.3">
      <c r="A839" s="83">
        <v>6</v>
      </c>
      <c r="B839" s="103" t="s">
        <v>325</v>
      </c>
      <c r="C839" s="40">
        <v>1</v>
      </c>
      <c r="D839" s="41">
        <v>3921</v>
      </c>
      <c r="E839" s="40">
        <v>8</v>
      </c>
      <c r="F839" s="68">
        <f>C839*D839*E839</f>
        <v>31368</v>
      </c>
      <c r="G839" s="55">
        <v>0</v>
      </c>
      <c r="H839" s="58">
        <f>F839*(1-G839)</f>
        <v>31368</v>
      </c>
    </row>
    <row r="840" spans="1:8" x14ac:dyDescent="0.3">
      <c r="A840" s="83"/>
      <c r="B840" s="103" t="s">
        <v>9</v>
      </c>
      <c r="C840" s="39"/>
      <c r="D840" s="105"/>
      <c r="E840" s="39"/>
      <c r="F840" s="71"/>
      <c r="G840" s="39"/>
      <c r="H840" s="58">
        <f>H838+H839</f>
        <v>232087</v>
      </c>
    </row>
    <row r="841" spans="1:8" x14ac:dyDescent="0.3">
      <c r="A841" s="83"/>
      <c r="B841" s="103"/>
      <c r="C841" s="39"/>
      <c r="D841" s="105"/>
      <c r="E841" s="39"/>
      <c r="F841" s="71"/>
      <c r="G841" s="39"/>
      <c r="H841" s="106"/>
    </row>
    <row r="842" spans="1:8" x14ac:dyDescent="0.3">
      <c r="A842" s="43"/>
      <c r="B842" s="62" t="s">
        <v>980</v>
      </c>
      <c r="C842" s="44" t="s">
        <v>981</v>
      </c>
      <c r="D842" s="73"/>
      <c r="E842" s="44" t="s">
        <v>982</v>
      </c>
      <c r="F842" s="60"/>
      <c r="G842" s="60"/>
      <c r="H842" s="48"/>
    </row>
    <row r="843" spans="1:8" s="3" customFormat="1" x14ac:dyDescent="0.3">
      <c r="A843" s="39"/>
      <c r="B843" s="107" t="s">
        <v>10</v>
      </c>
      <c r="C843" s="107" t="s">
        <v>1</v>
      </c>
      <c r="D843" s="108" t="s">
        <v>2</v>
      </c>
      <c r="E843" s="109" t="s">
        <v>3</v>
      </c>
      <c r="F843" s="109" t="s">
        <v>4</v>
      </c>
      <c r="G843" s="109" t="s">
        <v>5</v>
      </c>
      <c r="H843" s="106" t="s">
        <v>6</v>
      </c>
    </row>
    <row r="844" spans="1:8" ht="115.2" x14ac:dyDescent="0.3">
      <c r="A844" s="53">
        <v>1</v>
      </c>
      <c r="B844" s="53" t="s">
        <v>1764</v>
      </c>
      <c r="C844" s="40">
        <v>1</v>
      </c>
      <c r="D844" s="91">
        <v>214.8</v>
      </c>
      <c r="E844" s="40">
        <v>500</v>
      </c>
      <c r="F844" s="40">
        <f t="shared" ref="F844:F850" si="63">C844*D844*E844</f>
        <v>107400</v>
      </c>
      <c r="G844" s="55">
        <v>0.3</v>
      </c>
      <c r="H844" s="42">
        <f t="shared" ref="H844:H850" si="64">F844*(1-G844)</f>
        <v>75180</v>
      </c>
    </row>
    <row r="845" spans="1:8" ht="100.8" x14ac:dyDescent="0.3">
      <c r="A845" s="53">
        <v>2</v>
      </c>
      <c r="B845" s="53" t="s">
        <v>1583</v>
      </c>
      <c r="C845" s="40">
        <v>1</v>
      </c>
      <c r="D845" s="91">
        <v>403</v>
      </c>
      <c r="E845" s="40">
        <v>500</v>
      </c>
      <c r="F845" s="40">
        <f t="shared" si="63"/>
        <v>201500</v>
      </c>
      <c r="G845" s="55">
        <v>0.4</v>
      </c>
      <c r="H845" s="42">
        <f t="shared" si="64"/>
        <v>120900</v>
      </c>
    </row>
    <row r="846" spans="1:8" ht="115.2" x14ac:dyDescent="0.3">
      <c r="A846" s="53">
        <v>3</v>
      </c>
      <c r="B846" s="53" t="s">
        <v>1584</v>
      </c>
      <c r="C846" s="40">
        <v>1</v>
      </c>
      <c r="D846" s="91">
        <v>967.2</v>
      </c>
      <c r="E846" s="40">
        <v>450</v>
      </c>
      <c r="F846" s="40">
        <f t="shared" si="63"/>
        <v>435240</v>
      </c>
      <c r="G846" s="55">
        <v>0.4</v>
      </c>
      <c r="H846" s="42">
        <f t="shared" si="64"/>
        <v>261144</v>
      </c>
    </row>
    <row r="847" spans="1:8" ht="115.2" x14ac:dyDescent="0.3">
      <c r="A847" s="53">
        <v>4</v>
      </c>
      <c r="B847" s="53" t="s">
        <v>1585</v>
      </c>
      <c r="C847" s="40">
        <v>1</v>
      </c>
      <c r="D847" s="91">
        <v>91.2</v>
      </c>
      <c r="E847" s="40">
        <v>250</v>
      </c>
      <c r="F847" s="40">
        <f t="shared" si="63"/>
        <v>22800</v>
      </c>
      <c r="G847" s="55">
        <v>0.3</v>
      </c>
      <c r="H847" s="42">
        <f t="shared" si="64"/>
        <v>15959.999999999998</v>
      </c>
    </row>
    <row r="848" spans="1:8" ht="115.2" x14ac:dyDescent="0.3">
      <c r="A848" s="53">
        <v>5</v>
      </c>
      <c r="B848" s="53" t="s">
        <v>1765</v>
      </c>
      <c r="C848" s="40">
        <v>1</v>
      </c>
      <c r="D848" s="91">
        <v>57</v>
      </c>
      <c r="E848" s="40">
        <v>250</v>
      </c>
      <c r="F848" s="40">
        <f t="shared" si="63"/>
        <v>14250</v>
      </c>
      <c r="G848" s="55">
        <v>0.3</v>
      </c>
      <c r="H848" s="42">
        <f t="shared" si="64"/>
        <v>9975</v>
      </c>
    </row>
    <row r="849" spans="1:8" ht="100.8" x14ac:dyDescent="0.3">
      <c r="A849" s="53">
        <v>6</v>
      </c>
      <c r="B849" s="53" t="s">
        <v>1586</v>
      </c>
      <c r="C849" s="40">
        <v>1</v>
      </c>
      <c r="D849" s="91">
        <f>93.75+75.4</f>
        <v>169.15</v>
      </c>
      <c r="E849" s="40">
        <v>450</v>
      </c>
      <c r="F849" s="40">
        <f t="shared" si="63"/>
        <v>76117.5</v>
      </c>
      <c r="G849" s="55">
        <v>0.4</v>
      </c>
      <c r="H849" s="42">
        <f t="shared" si="64"/>
        <v>45670.5</v>
      </c>
    </row>
    <row r="850" spans="1:8" ht="28.8" x14ac:dyDescent="0.3">
      <c r="A850" s="53">
        <v>7</v>
      </c>
      <c r="B850" s="53" t="s">
        <v>1464</v>
      </c>
      <c r="C850" s="40">
        <v>1</v>
      </c>
      <c r="D850" s="91">
        <v>191.2</v>
      </c>
      <c r="E850" s="40">
        <v>45</v>
      </c>
      <c r="F850" s="40">
        <f t="shared" si="63"/>
        <v>8604</v>
      </c>
      <c r="G850" s="55">
        <v>0.4</v>
      </c>
      <c r="H850" s="42">
        <f t="shared" si="64"/>
        <v>5162.3999999999996</v>
      </c>
    </row>
    <row r="851" spans="1:8" x14ac:dyDescent="0.3">
      <c r="A851" s="53"/>
      <c r="B851" s="57" t="s">
        <v>7</v>
      </c>
      <c r="C851" s="40"/>
      <c r="D851" s="54"/>
      <c r="E851" s="40"/>
      <c r="F851" s="40"/>
      <c r="G851" s="55"/>
      <c r="H851" s="58">
        <f>SUM(H844:H850)</f>
        <v>533991.9</v>
      </c>
    </row>
    <row r="852" spans="1:8" x14ac:dyDescent="0.3">
      <c r="A852" s="53">
        <v>8</v>
      </c>
      <c r="B852" s="57" t="s">
        <v>8</v>
      </c>
      <c r="C852" s="40">
        <v>1</v>
      </c>
      <c r="D852" s="54">
        <v>9140</v>
      </c>
      <c r="E852" s="40">
        <v>8</v>
      </c>
      <c r="F852" s="40">
        <f>C852*D852*E852</f>
        <v>73120</v>
      </c>
      <c r="G852" s="55">
        <v>0</v>
      </c>
      <c r="H852" s="58">
        <f>(1-G852)*F852</f>
        <v>73120</v>
      </c>
    </row>
    <row r="853" spans="1:8" x14ac:dyDescent="0.3">
      <c r="A853" s="53"/>
      <c r="B853" s="57" t="s">
        <v>9</v>
      </c>
      <c r="C853" s="39"/>
      <c r="D853" s="59"/>
      <c r="E853" s="39"/>
      <c r="F853" s="39"/>
      <c r="G853" s="39"/>
      <c r="H853" s="58">
        <f>H851+H852</f>
        <v>607111.9</v>
      </c>
    </row>
    <row r="854" spans="1:8" x14ac:dyDescent="0.3">
      <c r="A854" s="53"/>
      <c r="B854" s="57"/>
      <c r="C854" s="39"/>
      <c r="D854" s="59"/>
      <c r="E854" s="39"/>
      <c r="F854" s="39"/>
      <c r="G854" s="39"/>
      <c r="H854" s="58"/>
    </row>
    <row r="855" spans="1:8" x14ac:dyDescent="0.3">
      <c r="A855" s="43"/>
      <c r="B855" s="62">
        <v>2176</v>
      </c>
      <c r="C855" s="44" t="s">
        <v>983</v>
      </c>
      <c r="D855" s="73"/>
      <c r="E855" s="44" t="s">
        <v>984</v>
      </c>
      <c r="F855" s="60"/>
      <c r="G855" s="60"/>
      <c r="H855" s="48"/>
    </row>
    <row r="856" spans="1:8" s="3" customFormat="1" x14ac:dyDescent="0.3">
      <c r="A856" s="39"/>
      <c r="B856" s="107" t="s">
        <v>10</v>
      </c>
      <c r="C856" s="107" t="s">
        <v>1</v>
      </c>
      <c r="D856" s="108" t="s">
        <v>2</v>
      </c>
      <c r="E856" s="109" t="s">
        <v>3</v>
      </c>
      <c r="F856" s="109" t="s">
        <v>4</v>
      </c>
      <c r="G856" s="109" t="s">
        <v>5</v>
      </c>
      <c r="H856" s="106" t="s">
        <v>6</v>
      </c>
    </row>
    <row r="857" spans="1:8" ht="129.6" x14ac:dyDescent="0.3">
      <c r="A857" s="53">
        <v>1</v>
      </c>
      <c r="B857" s="53" t="s">
        <v>1769</v>
      </c>
      <c r="C857" s="40">
        <v>1</v>
      </c>
      <c r="D857" s="91">
        <v>611.79999999999995</v>
      </c>
      <c r="E857" s="40">
        <v>500</v>
      </c>
      <c r="F857" s="40">
        <f>C857*D857*E857</f>
        <v>305900</v>
      </c>
      <c r="G857" s="55">
        <v>0.4</v>
      </c>
      <c r="H857" s="42">
        <f>F857*(1-G857)</f>
        <v>183540</v>
      </c>
    </row>
    <row r="858" spans="1:8" ht="72" x14ac:dyDescent="0.3">
      <c r="A858" s="53">
        <v>2</v>
      </c>
      <c r="B858" s="53" t="s">
        <v>1590</v>
      </c>
      <c r="C858" s="40">
        <v>1</v>
      </c>
      <c r="D858" s="91">
        <v>361.5</v>
      </c>
      <c r="E858" s="40">
        <v>250</v>
      </c>
      <c r="F858" s="40">
        <f>C858*D858*E858</f>
        <v>90375</v>
      </c>
      <c r="G858" s="55">
        <v>0.4</v>
      </c>
      <c r="H858" s="42">
        <f>F858*(1-G858)</f>
        <v>54225</v>
      </c>
    </row>
    <row r="859" spans="1:8" ht="28.8" x14ac:dyDescent="0.3">
      <c r="A859" s="53">
        <v>3</v>
      </c>
      <c r="B859" s="53" t="s">
        <v>1464</v>
      </c>
      <c r="C859" s="40">
        <v>1</v>
      </c>
      <c r="D859" s="91">
        <v>148</v>
      </c>
      <c r="E859" s="40">
        <v>45</v>
      </c>
      <c r="F859" s="40">
        <f>C859*D859*E859</f>
        <v>6660</v>
      </c>
      <c r="G859" s="55">
        <v>0.4</v>
      </c>
      <c r="H859" s="42">
        <f>F859*(1-G859)</f>
        <v>3996</v>
      </c>
    </row>
    <row r="860" spans="1:8" x14ac:dyDescent="0.3">
      <c r="A860" s="53"/>
      <c r="B860" s="57" t="s">
        <v>7</v>
      </c>
      <c r="C860" s="40"/>
      <c r="D860" s="54"/>
      <c r="E860" s="40"/>
      <c r="F860" s="40"/>
      <c r="G860" s="55"/>
      <c r="H860" s="58">
        <f>SUM(H857:H859)</f>
        <v>241761</v>
      </c>
    </row>
    <row r="861" spans="1:8" x14ac:dyDescent="0.3">
      <c r="A861" s="53">
        <v>4</v>
      </c>
      <c r="B861" s="57" t="s">
        <v>8</v>
      </c>
      <c r="C861" s="40">
        <v>1</v>
      </c>
      <c r="D861" s="54">
        <v>5474</v>
      </c>
      <c r="E861" s="40">
        <v>8</v>
      </c>
      <c r="F861" s="40">
        <f>C861*D861*E861</f>
        <v>43792</v>
      </c>
      <c r="G861" s="55">
        <v>0</v>
      </c>
      <c r="H861" s="58">
        <f>(1-G861)*F861</f>
        <v>43792</v>
      </c>
    </row>
    <row r="862" spans="1:8" x14ac:dyDescent="0.3">
      <c r="A862" s="53"/>
      <c r="B862" s="57" t="s">
        <v>9</v>
      </c>
      <c r="C862" s="39"/>
      <c r="D862" s="59"/>
      <c r="E862" s="39"/>
      <c r="F862" s="39"/>
      <c r="G862" s="39"/>
      <c r="H862" s="58">
        <f>H860+H861</f>
        <v>285553</v>
      </c>
    </row>
    <row r="863" spans="1:8" x14ac:dyDescent="0.3">
      <c r="A863" s="51"/>
      <c r="B863" s="57"/>
      <c r="C863" s="39"/>
      <c r="D863" s="59"/>
      <c r="E863" s="39"/>
      <c r="F863" s="39"/>
      <c r="G863" s="39"/>
      <c r="H863" s="58"/>
    </row>
    <row r="864" spans="1:8" x14ac:dyDescent="0.3">
      <c r="A864" s="43"/>
      <c r="B864" s="62">
        <v>3905</v>
      </c>
      <c r="C864" s="44" t="s">
        <v>459</v>
      </c>
      <c r="D864" s="45"/>
      <c r="E864" s="46" t="s">
        <v>1933</v>
      </c>
      <c r="F864" s="63"/>
      <c r="G864" s="60"/>
      <c r="H864" s="48"/>
    </row>
    <row r="865" spans="1:8" s="3" customFormat="1" x14ac:dyDescent="0.3">
      <c r="A865" s="39"/>
      <c r="B865" s="147" t="s">
        <v>0</v>
      </c>
      <c r="C865" s="107" t="s">
        <v>1</v>
      </c>
      <c r="D865" s="108" t="s">
        <v>2</v>
      </c>
      <c r="E865" s="109" t="s">
        <v>3</v>
      </c>
      <c r="F865" s="122" t="s">
        <v>4</v>
      </c>
      <c r="G865" s="109" t="s">
        <v>5</v>
      </c>
      <c r="H865" s="106" t="s">
        <v>6</v>
      </c>
    </row>
    <row r="866" spans="1:8" ht="57.6" x14ac:dyDescent="0.3">
      <c r="A866" s="40">
        <v>1</v>
      </c>
      <c r="B866" s="144" t="s">
        <v>1650</v>
      </c>
      <c r="C866" s="40">
        <v>1</v>
      </c>
      <c r="D866" s="54">
        <v>703</v>
      </c>
      <c r="E866" s="40">
        <v>350</v>
      </c>
      <c r="F866" s="68">
        <f>C866*D866*E866</f>
        <v>246050</v>
      </c>
      <c r="G866" s="55">
        <v>0.6</v>
      </c>
      <c r="H866" s="42">
        <f>F866*(1-G866)</f>
        <v>98420</v>
      </c>
    </row>
    <row r="867" spans="1:8" ht="72" x14ac:dyDescent="0.3">
      <c r="A867" s="40">
        <v>2</v>
      </c>
      <c r="B867" s="144" t="s">
        <v>461</v>
      </c>
      <c r="C867" s="40">
        <v>1</v>
      </c>
      <c r="D867" s="54">
        <v>248</v>
      </c>
      <c r="E867" s="40">
        <v>300</v>
      </c>
      <c r="F867" s="68">
        <f>C867*D867*E867</f>
        <v>74400</v>
      </c>
      <c r="G867" s="55">
        <v>0.5</v>
      </c>
      <c r="H867" s="42">
        <f>F867*(1-G867)</f>
        <v>37200</v>
      </c>
    </row>
    <row r="868" spans="1:8" ht="72" x14ac:dyDescent="0.3">
      <c r="A868" s="40">
        <v>3</v>
      </c>
      <c r="B868" s="144" t="s">
        <v>462</v>
      </c>
      <c r="C868" s="40">
        <v>1</v>
      </c>
      <c r="D868" s="54">
        <v>252</v>
      </c>
      <c r="E868" s="40">
        <v>250</v>
      </c>
      <c r="F868" s="68">
        <f>C868*D868*E868</f>
        <v>63000</v>
      </c>
      <c r="G868" s="55">
        <v>0.5</v>
      </c>
      <c r="H868" s="42">
        <f>F868*(1-G868)</f>
        <v>31500</v>
      </c>
    </row>
    <row r="869" spans="1:8" ht="72" x14ac:dyDescent="0.3">
      <c r="A869" s="40">
        <v>4</v>
      </c>
      <c r="B869" s="144" t="s">
        <v>463</v>
      </c>
      <c r="C869" s="40">
        <v>1</v>
      </c>
      <c r="D869" s="54">
        <v>324.5</v>
      </c>
      <c r="E869" s="40">
        <v>250</v>
      </c>
      <c r="F869" s="68">
        <f>C869*D869*E869</f>
        <v>81125</v>
      </c>
      <c r="G869" s="55">
        <v>0.5</v>
      </c>
      <c r="H869" s="42">
        <f>F869*(1-G869)</f>
        <v>40562.5</v>
      </c>
    </row>
    <row r="870" spans="1:8" ht="57.6" x14ac:dyDescent="0.3">
      <c r="A870" s="40">
        <v>5</v>
      </c>
      <c r="B870" s="66" t="s">
        <v>464</v>
      </c>
      <c r="C870" s="40">
        <v>1</v>
      </c>
      <c r="D870" s="54">
        <v>32.5</v>
      </c>
      <c r="E870" s="40">
        <v>100</v>
      </c>
      <c r="F870" s="68">
        <f>C870*D870*E870</f>
        <v>3250</v>
      </c>
      <c r="G870" s="55">
        <v>0.5</v>
      </c>
      <c r="H870" s="42">
        <f>F870*(1-G870)</f>
        <v>1625</v>
      </c>
    </row>
    <row r="871" spans="1:8" x14ac:dyDescent="0.3">
      <c r="A871" s="40"/>
      <c r="B871" s="70" t="s">
        <v>7</v>
      </c>
      <c r="C871" s="40"/>
      <c r="D871" s="54"/>
      <c r="E871" s="40"/>
      <c r="F871" s="68"/>
      <c r="G871" s="55"/>
      <c r="H871" s="58">
        <f>SUM(H866:H870)</f>
        <v>209307.5</v>
      </c>
    </row>
    <row r="872" spans="1:8" x14ac:dyDescent="0.3">
      <c r="A872" s="40">
        <v>6</v>
      </c>
      <c r="B872" s="70" t="s">
        <v>8</v>
      </c>
      <c r="C872" s="40">
        <v>1</v>
      </c>
      <c r="D872" s="54">
        <v>2639</v>
      </c>
      <c r="E872" s="40">
        <v>8</v>
      </c>
      <c r="F872" s="68">
        <f>C872*D872*E872</f>
        <v>21112</v>
      </c>
      <c r="G872" s="55">
        <v>0</v>
      </c>
      <c r="H872" s="58">
        <f>(1-G872)*F872</f>
        <v>21112</v>
      </c>
    </row>
    <row r="873" spans="1:8" x14ac:dyDescent="0.3">
      <c r="A873" s="51"/>
      <c r="B873" s="70" t="s">
        <v>9</v>
      </c>
      <c r="C873" s="39"/>
      <c r="D873" s="59"/>
      <c r="E873" s="39"/>
      <c r="F873" s="71"/>
      <c r="G873" s="39"/>
      <c r="H873" s="58">
        <f>H871+H872</f>
        <v>230419.5</v>
      </c>
    </row>
    <row r="874" spans="1:8" x14ac:dyDescent="0.3">
      <c r="A874" s="94"/>
      <c r="B874" s="95">
        <v>5001</v>
      </c>
      <c r="C874" s="47" t="s">
        <v>1934</v>
      </c>
      <c r="D874" s="96"/>
      <c r="E874" s="79" t="s">
        <v>470</v>
      </c>
      <c r="F874" s="97"/>
      <c r="G874" s="47"/>
      <c r="H874" s="98"/>
    </row>
    <row r="875" spans="1:8" x14ac:dyDescent="0.3">
      <c r="A875" s="39"/>
      <c r="B875" s="147" t="s">
        <v>0</v>
      </c>
      <c r="C875" s="107" t="s">
        <v>1</v>
      </c>
      <c r="D875" s="108" t="s">
        <v>2</v>
      </c>
      <c r="E875" s="109" t="s">
        <v>3</v>
      </c>
      <c r="F875" s="122" t="s">
        <v>4</v>
      </c>
      <c r="G875" s="109" t="s">
        <v>5</v>
      </c>
      <c r="H875" s="106" t="s">
        <v>6</v>
      </c>
    </row>
    <row r="876" spans="1:8" ht="72" x14ac:dyDescent="0.3">
      <c r="A876" s="40">
        <v>1</v>
      </c>
      <c r="B876" s="102" t="s">
        <v>471</v>
      </c>
      <c r="C876" s="40">
        <v>1</v>
      </c>
      <c r="D876" s="41">
        <v>147</v>
      </c>
      <c r="E876" s="40">
        <v>300</v>
      </c>
      <c r="F876" s="68">
        <f>D876*E876</f>
        <v>44100</v>
      </c>
      <c r="G876" s="55">
        <v>0.5</v>
      </c>
      <c r="H876" s="52">
        <f>F876*(1-G876)</f>
        <v>22050</v>
      </c>
    </row>
    <row r="877" spans="1:8" ht="72" x14ac:dyDescent="0.3">
      <c r="A877" s="40">
        <v>2</v>
      </c>
      <c r="B877" s="102" t="s">
        <v>472</v>
      </c>
      <c r="C877" s="40">
        <v>1</v>
      </c>
      <c r="D877" s="41">
        <v>147</v>
      </c>
      <c r="E877" s="40">
        <v>300</v>
      </c>
      <c r="F877" s="68">
        <f>D877*E877</f>
        <v>44100</v>
      </c>
      <c r="G877" s="55">
        <v>0.5</v>
      </c>
      <c r="H877" s="52">
        <f>F877*(1-G877)</f>
        <v>22050</v>
      </c>
    </row>
    <row r="878" spans="1:8" ht="72" x14ac:dyDescent="0.3">
      <c r="A878" s="40">
        <v>3</v>
      </c>
      <c r="B878" s="102" t="s">
        <v>473</v>
      </c>
      <c r="C878" s="40">
        <v>1</v>
      </c>
      <c r="D878" s="41">
        <v>147</v>
      </c>
      <c r="E878" s="40">
        <v>300</v>
      </c>
      <c r="F878" s="68">
        <f t="shared" ref="F878:F891" si="65">D878*E878</f>
        <v>44100</v>
      </c>
      <c r="G878" s="55">
        <v>0.5</v>
      </c>
      <c r="H878" s="52">
        <f t="shared" ref="H878:H891" si="66">F878*(1-G878)</f>
        <v>22050</v>
      </c>
    </row>
    <row r="879" spans="1:8" ht="72" x14ac:dyDescent="0.3">
      <c r="A879" s="40">
        <v>4</v>
      </c>
      <c r="B879" s="102" t="s">
        <v>474</v>
      </c>
      <c r="C879" s="40">
        <v>1</v>
      </c>
      <c r="D879" s="41">
        <v>96</v>
      </c>
      <c r="E879" s="40">
        <v>300</v>
      </c>
      <c r="F879" s="68">
        <f t="shared" si="65"/>
        <v>28800</v>
      </c>
      <c r="G879" s="55">
        <v>0.5</v>
      </c>
      <c r="H879" s="52">
        <f t="shared" si="66"/>
        <v>14400</v>
      </c>
    </row>
    <row r="880" spans="1:8" ht="72" x14ac:dyDescent="0.3">
      <c r="A880" s="40">
        <v>5</v>
      </c>
      <c r="B880" s="102" t="s">
        <v>475</v>
      </c>
      <c r="C880" s="40">
        <v>1</v>
      </c>
      <c r="D880" s="41">
        <v>147</v>
      </c>
      <c r="E880" s="40">
        <v>300</v>
      </c>
      <c r="F880" s="68">
        <f t="shared" si="65"/>
        <v>44100</v>
      </c>
      <c r="G880" s="55">
        <v>0.5</v>
      </c>
      <c r="H880" s="52">
        <f t="shared" si="66"/>
        <v>22050</v>
      </c>
    </row>
    <row r="881" spans="1:8" ht="72" x14ac:dyDescent="0.3">
      <c r="A881" s="40">
        <v>6</v>
      </c>
      <c r="B881" s="102" t="s">
        <v>476</v>
      </c>
      <c r="C881" s="40">
        <v>1</v>
      </c>
      <c r="D881" s="41">
        <v>147</v>
      </c>
      <c r="E881" s="40">
        <v>300</v>
      </c>
      <c r="F881" s="68">
        <f t="shared" si="65"/>
        <v>44100</v>
      </c>
      <c r="G881" s="55">
        <v>0.5</v>
      </c>
      <c r="H881" s="52">
        <f t="shared" si="66"/>
        <v>22050</v>
      </c>
    </row>
    <row r="882" spans="1:8" ht="72" x14ac:dyDescent="0.3">
      <c r="A882" s="40">
        <v>7</v>
      </c>
      <c r="B882" s="102" t="s">
        <v>477</v>
      </c>
      <c r="C882" s="40">
        <v>1</v>
      </c>
      <c r="D882" s="41">
        <v>96</v>
      </c>
      <c r="E882" s="40">
        <v>300</v>
      </c>
      <c r="F882" s="68">
        <f t="shared" si="65"/>
        <v>28800</v>
      </c>
      <c r="G882" s="55">
        <v>0.5</v>
      </c>
      <c r="H882" s="52">
        <f t="shared" si="66"/>
        <v>14400</v>
      </c>
    </row>
    <row r="883" spans="1:8" ht="72" x14ac:dyDescent="0.3">
      <c r="A883" s="40">
        <v>8</v>
      </c>
      <c r="B883" s="102" t="s">
        <v>478</v>
      </c>
      <c r="C883" s="40">
        <v>1</v>
      </c>
      <c r="D883" s="41">
        <v>40</v>
      </c>
      <c r="E883" s="40">
        <v>300</v>
      </c>
      <c r="F883" s="68">
        <f t="shared" si="65"/>
        <v>12000</v>
      </c>
      <c r="G883" s="55">
        <v>0.5</v>
      </c>
      <c r="H883" s="52">
        <f t="shared" si="66"/>
        <v>6000</v>
      </c>
    </row>
    <row r="884" spans="1:8" ht="57.6" x14ac:dyDescent="0.3">
      <c r="A884" s="40">
        <v>9</v>
      </c>
      <c r="B884" s="102" t="s">
        <v>479</v>
      </c>
      <c r="C884" s="40">
        <v>1</v>
      </c>
      <c r="D884" s="41">
        <v>33.6</v>
      </c>
      <c r="E884" s="40">
        <v>250</v>
      </c>
      <c r="F884" s="68">
        <f t="shared" si="65"/>
        <v>8400</v>
      </c>
      <c r="G884" s="55">
        <v>0.5</v>
      </c>
      <c r="H884" s="52">
        <f t="shared" si="66"/>
        <v>4200</v>
      </c>
    </row>
    <row r="885" spans="1:8" s="3" customFormat="1" ht="43.2" x14ac:dyDescent="0.3">
      <c r="A885" s="40">
        <v>10</v>
      </c>
      <c r="B885" s="102" t="s">
        <v>480</v>
      </c>
      <c r="C885" s="40">
        <v>1</v>
      </c>
      <c r="D885" s="41">
        <v>54</v>
      </c>
      <c r="E885" s="40">
        <v>50</v>
      </c>
      <c r="F885" s="68">
        <f t="shared" si="65"/>
        <v>2700</v>
      </c>
      <c r="G885" s="55">
        <v>0.5</v>
      </c>
      <c r="H885" s="52">
        <f t="shared" si="66"/>
        <v>1350</v>
      </c>
    </row>
    <row r="886" spans="1:8" ht="43.2" x14ac:dyDescent="0.3">
      <c r="A886" s="40">
        <v>11</v>
      </c>
      <c r="B886" s="102" t="s">
        <v>481</v>
      </c>
      <c r="C886" s="40">
        <v>1</v>
      </c>
      <c r="D886" s="41">
        <v>78</v>
      </c>
      <c r="E886" s="40">
        <v>50</v>
      </c>
      <c r="F886" s="68">
        <f t="shared" si="65"/>
        <v>3900</v>
      </c>
      <c r="G886" s="55">
        <v>0.5</v>
      </c>
      <c r="H886" s="52">
        <f t="shared" si="66"/>
        <v>1950</v>
      </c>
    </row>
    <row r="887" spans="1:8" ht="43.2" x14ac:dyDescent="0.3">
      <c r="A887" s="40">
        <v>12</v>
      </c>
      <c r="B887" s="102" t="s">
        <v>482</v>
      </c>
      <c r="C887" s="40">
        <v>1</v>
      </c>
      <c r="D887" s="41">
        <v>25.2</v>
      </c>
      <c r="E887" s="40">
        <v>50</v>
      </c>
      <c r="F887" s="68">
        <f t="shared" si="65"/>
        <v>1260</v>
      </c>
      <c r="G887" s="55">
        <v>0.5</v>
      </c>
      <c r="H887" s="52">
        <f t="shared" si="66"/>
        <v>630</v>
      </c>
    </row>
    <row r="888" spans="1:8" ht="43.2" x14ac:dyDescent="0.3">
      <c r="A888" s="40">
        <v>13</v>
      </c>
      <c r="B888" s="102" t="s">
        <v>483</v>
      </c>
      <c r="C888" s="40">
        <v>1</v>
      </c>
      <c r="D888" s="41">
        <v>25.2</v>
      </c>
      <c r="E888" s="40">
        <v>80</v>
      </c>
      <c r="F888" s="68">
        <f t="shared" si="65"/>
        <v>2016</v>
      </c>
      <c r="G888" s="55">
        <v>0.5</v>
      </c>
      <c r="H888" s="52">
        <f t="shared" si="66"/>
        <v>1008</v>
      </c>
    </row>
    <row r="889" spans="1:8" ht="43.2" x14ac:dyDescent="0.3">
      <c r="A889" s="40">
        <v>14</v>
      </c>
      <c r="B889" s="102" t="s">
        <v>484</v>
      </c>
      <c r="C889" s="40">
        <v>1</v>
      </c>
      <c r="D889" s="41">
        <v>10.08</v>
      </c>
      <c r="E889" s="40">
        <v>100</v>
      </c>
      <c r="F889" s="68">
        <f t="shared" si="65"/>
        <v>1008</v>
      </c>
      <c r="G889" s="55">
        <v>0.5</v>
      </c>
      <c r="H889" s="52">
        <f t="shared" si="66"/>
        <v>504</v>
      </c>
    </row>
    <row r="890" spans="1:8" x14ac:dyDescent="0.3">
      <c r="A890" s="40">
        <v>15</v>
      </c>
      <c r="B890" s="102" t="s">
        <v>485</v>
      </c>
      <c r="C890" s="40">
        <v>1</v>
      </c>
      <c r="D890" s="41">
        <v>20000</v>
      </c>
      <c r="E890" s="40">
        <v>0.65</v>
      </c>
      <c r="F890" s="68">
        <f t="shared" si="65"/>
        <v>13000</v>
      </c>
      <c r="G890" s="55">
        <v>0.5</v>
      </c>
      <c r="H890" s="52">
        <f t="shared" si="66"/>
        <v>6500</v>
      </c>
    </row>
    <row r="891" spans="1:8" ht="28.8" x14ac:dyDescent="0.3">
      <c r="A891" s="40">
        <v>16</v>
      </c>
      <c r="B891" s="102" t="s">
        <v>1434</v>
      </c>
      <c r="C891" s="40">
        <v>1</v>
      </c>
      <c r="D891" s="41">
        <f>109*4</f>
        <v>436</v>
      </c>
      <c r="E891" s="40">
        <v>45</v>
      </c>
      <c r="F891" s="68">
        <f t="shared" si="65"/>
        <v>19620</v>
      </c>
      <c r="G891" s="55">
        <v>0.5</v>
      </c>
      <c r="H891" s="52">
        <f t="shared" si="66"/>
        <v>9810</v>
      </c>
    </row>
    <row r="892" spans="1:8" x14ac:dyDescent="0.3">
      <c r="A892" s="40"/>
      <c r="B892" s="103" t="s">
        <v>318</v>
      </c>
      <c r="C892" s="40"/>
      <c r="D892" s="41"/>
      <c r="E892" s="40"/>
      <c r="F892" s="68"/>
      <c r="G892" s="55"/>
      <c r="H892" s="106">
        <f>SUM(H876:H891)</f>
        <v>171002</v>
      </c>
    </row>
    <row r="893" spans="1:8" s="3" customFormat="1" x14ac:dyDescent="0.3">
      <c r="A893" s="40">
        <v>17</v>
      </c>
      <c r="B893" s="103" t="s">
        <v>8</v>
      </c>
      <c r="C893" s="40">
        <v>1</v>
      </c>
      <c r="D893" s="41">
        <v>11911</v>
      </c>
      <c r="E893" s="40">
        <v>8</v>
      </c>
      <c r="F893" s="68">
        <f>(10000*E893)+(1911*E893*0.75)</f>
        <v>91466</v>
      </c>
      <c r="G893" s="55">
        <v>0</v>
      </c>
      <c r="H893" s="106">
        <f>F893*(1-G893)</f>
        <v>91466</v>
      </c>
    </row>
    <row r="894" spans="1:8" x14ac:dyDescent="0.3">
      <c r="A894" s="39"/>
      <c r="B894" s="103" t="s">
        <v>9</v>
      </c>
      <c r="C894" s="40"/>
      <c r="D894" s="41"/>
      <c r="E894" s="40"/>
      <c r="F894" s="68"/>
      <c r="G894" s="40"/>
      <c r="H894" s="106">
        <f>H892+H893</f>
        <v>262468</v>
      </c>
    </row>
    <row r="895" spans="1:8" x14ac:dyDescent="0.3">
      <c r="A895" s="43"/>
      <c r="B895" s="86">
        <v>5026</v>
      </c>
      <c r="C895" s="47" t="s">
        <v>18</v>
      </c>
      <c r="D895" s="45"/>
      <c r="E895" s="44" t="s">
        <v>297</v>
      </c>
      <c r="F895" s="60"/>
      <c r="G895" s="60"/>
      <c r="H895" s="48"/>
    </row>
    <row r="896" spans="1:8" x14ac:dyDescent="0.3">
      <c r="A896" s="39"/>
      <c r="B896" s="107" t="s">
        <v>0</v>
      </c>
      <c r="C896" s="107" t="s">
        <v>1</v>
      </c>
      <c r="D896" s="108" t="s">
        <v>2</v>
      </c>
      <c r="E896" s="109" t="s">
        <v>3</v>
      </c>
      <c r="F896" s="109" t="s">
        <v>4</v>
      </c>
      <c r="G896" s="109" t="s">
        <v>5</v>
      </c>
      <c r="H896" s="106" t="s">
        <v>6</v>
      </c>
    </row>
    <row r="897" spans="1:8" ht="57.6" x14ac:dyDescent="0.3">
      <c r="A897" s="40">
        <v>1</v>
      </c>
      <c r="B897" s="110" t="s">
        <v>1748</v>
      </c>
      <c r="C897" s="40">
        <v>1</v>
      </c>
      <c r="D897" s="54">
        <f>(4.5*2.3)+(15.5*2.5)+(46*27.8)+(20.3*5.2)</f>
        <v>1433.4599999999998</v>
      </c>
      <c r="E897" s="40">
        <v>400</v>
      </c>
      <c r="F897" s="40">
        <f>C897*D897*E897</f>
        <v>573383.99999999988</v>
      </c>
      <c r="G897" s="55">
        <v>0.5</v>
      </c>
      <c r="H897" s="42">
        <f>F897*(1-G897)</f>
        <v>286691.99999999994</v>
      </c>
    </row>
    <row r="898" spans="1:8" ht="72" x14ac:dyDescent="0.3">
      <c r="A898" s="40">
        <v>2</v>
      </c>
      <c r="B898" s="110" t="s">
        <v>1749</v>
      </c>
      <c r="C898" s="40">
        <v>1</v>
      </c>
      <c r="D898" s="54">
        <v>214.5</v>
      </c>
      <c r="E898" s="40">
        <v>450</v>
      </c>
      <c r="F898" s="40">
        <f>C898*D898*E898</f>
        <v>96525</v>
      </c>
      <c r="G898" s="55">
        <v>0.5</v>
      </c>
      <c r="H898" s="42">
        <f>F898*(1-G898)</f>
        <v>48262.5</v>
      </c>
    </row>
    <row r="899" spans="1:8" ht="57.6" x14ac:dyDescent="0.3">
      <c r="A899" s="40">
        <v>3</v>
      </c>
      <c r="B899" s="110" t="s">
        <v>1750</v>
      </c>
      <c r="C899" s="40">
        <v>1</v>
      </c>
      <c r="D899" s="41">
        <v>130</v>
      </c>
      <c r="E899" s="40">
        <v>250</v>
      </c>
      <c r="F899" s="40">
        <f>C899*D899*E899</f>
        <v>32500</v>
      </c>
      <c r="G899" s="55">
        <v>0.5</v>
      </c>
      <c r="H899" s="42">
        <f>(1-G899)*F899</f>
        <v>16250</v>
      </c>
    </row>
    <row r="900" spans="1:8" ht="57.6" x14ac:dyDescent="0.3">
      <c r="A900" s="40">
        <v>4</v>
      </c>
      <c r="B900" s="110" t="s">
        <v>1497</v>
      </c>
      <c r="C900" s="40">
        <v>1</v>
      </c>
      <c r="D900" s="41">
        <v>44</v>
      </c>
      <c r="E900" s="40">
        <v>100</v>
      </c>
      <c r="F900" s="40">
        <f>C900*D900*E900</f>
        <v>4400</v>
      </c>
      <c r="G900" s="55">
        <v>0.65</v>
      </c>
      <c r="H900" s="42">
        <f>(1-G900)*F900</f>
        <v>1540</v>
      </c>
    </row>
    <row r="901" spans="1:8" s="3" customFormat="1" x14ac:dyDescent="0.3">
      <c r="A901" s="40"/>
      <c r="B901" s="57" t="s">
        <v>7</v>
      </c>
      <c r="C901" s="40"/>
      <c r="D901" s="54"/>
      <c r="E901" s="40"/>
      <c r="F901" s="40"/>
      <c r="G901" s="55"/>
      <c r="H901" s="58">
        <f>SUM(H897:H900)</f>
        <v>352744.49999999994</v>
      </c>
    </row>
    <row r="902" spans="1:8" x14ac:dyDescent="0.3">
      <c r="A902" s="40">
        <v>5</v>
      </c>
      <c r="B902" s="57" t="s">
        <v>8</v>
      </c>
      <c r="C902" s="40">
        <v>1</v>
      </c>
      <c r="D902" s="54">
        <v>3413</v>
      </c>
      <c r="E902" s="40">
        <v>8</v>
      </c>
      <c r="F902" s="40">
        <f>C902*D902*E902</f>
        <v>27304</v>
      </c>
      <c r="G902" s="55">
        <v>0</v>
      </c>
      <c r="H902" s="58">
        <f>(1-G902)*F902</f>
        <v>27304</v>
      </c>
    </row>
    <row r="903" spans="1:8" x14ac:dyDescent="0.3">
      <c r="A903" s="51"/>
      <c r="B903" s="57" t="s">
        <v>9</v>
      </c>
      <c r="C903" s="39"/>
      <c r="D903" s="59"/>
      <c r="E903" s="39"/>
      <c r="F903" s="39"/>
      <c r="G903" s="39"/>
      <c r="H903" s="58">
        <f>SUM(H901:H902)</f>
        <v>380048.49999999994</v>
      </c>
    </row>
    <row r="904" spans="1:8" x14ac:dyDescent="0.3">
      <c r="A904" s="43"/>
      <c r="B904" s="62">
        <v>5037</v>
      </c>
      <c r="C904" s="44" t="s">
        <v>465</v>
      </c>
      <c r="D904" s="73"/>
      <c r="E904" s="44" t="s">
        <v>1001</v>
      </c>
      <c r="F904" s="60"/>
      <c r="G904" s="60"/>
      <c r="H904" s="48"/>
    </row>
    <row r="905" spans="1:8" x14ac:dyDescent="0.3">
      <c r="A905" s="39"/>
      <c r="B905" s="107" t="s">
        <v>10</v>
      </c>
      <c r="C905" s="107" t="s">
        <v>1</v>
      </c>
      <c r="D905" s="108" t="s">
        <v>2</v>
      </c>
      <c r="E905" s="109" t="s">
        <v>3</v>
      </c>
      <c r="F905" s="109" t="s">
        <v>4</v>
      </c>
      <c r="G905" s="109" t="s">
        <v>5</v>
      </c>
      <c r="H905" s="106" t="s">
        <v>6</v>
      </c>
    </row>
    <row r="906" spans="1:8" ht="129.6" x14ac:dyDescent="0.3">
      <c r="A906" s="53">
        <v>1</v>
      </c>
      <c r="B906" s="53" t="s">
        <v>1759</v>
      </c>
      <c r="C906" s="40">
        <v>1</v>
      </c>
      <c r="D906" s="91">
        <v>1048.5</v>
      </c>
      <c r="E906" s="40">
        <v>450</v>
      </c>
      <c r="F906" s="40">
        <f>C906*D906*E906</f>
        <v>471825</v>
      </c>
      <c r="G906" s="55">
        <v>0.4</v>
      </c>
      <c r="H906" s="42">
        <f>F906*(1-G906)</f>
        <v>283095</v>
      </c>
    </row>
    <row r="907" spans="1:8" ht="28.8" x14ac:dyDescent="0.3">
      <c r="A907" s="53">
        <v>2</v>
      </c>
      <c r="B907" s="53" t="s">
        <v>1463</v>
      </c>
      <c r="C907" s="40">
        <v>1</v>
      </c>
      <c r="D907" s="91">
        <v>90</v>
      </c>
      <c r="E907" s="40">
        <v>45</v>
      </c>
      <c r="F907" s="40">
        <f>C907*D907*E907</f>
        <v>4050</v>
      </c>
      <c r="G907" s="55">
        <v>0.4</v>
      </c>
      <c r="H907" s="42">
        <f>F907*(1-G907)</f>
        <v>2430</v>
      </c>
    </row>
    <row r="908" spans="1:8" x14ac:dyDescent="0.3">
      <c r="A908" s="53"/>
      <c r="B908" s="57" t="s">
        <v>7</v>
      </c>
      <c r="C908" s="40"/>
      <c r="D908" s="54"/>
      <c r="E908" s="40"/>
      <c r="F908" s="40"/>
      <c r="G908" s="55"/>
      <c r="H908" s="58">
        <f>SUM(H906:H907)</f>
        <v>285525</v>
      </c>
    </row>
    <row r="909" spans="1:8" x14ac:dyDescent="0.3">
      <c r="A909" s="53">
        <v>3</v>
      </c>
      <c r="B909" s="57" t="s">
        <v>8</v>
      </c>
      <c r="C909" s="40">
        <v>1</v>
      </c>
      <c r="D909" s="54">
        <v>3077</v>
      </c>
      <c r="E909" s="40">
        <v>8</v>
      </c>
      <c r="F909" s="40">
        <f>C909*D909*E909</f>
        <v>24616</v>
      </c>
      <c r="G909" s="55">
        <v>0</v>
      </c>
      <c r="H909" s="58">
        <f>(1-G909)*F909</f>
        <v>24616</v>
      </c>
    </row>
    <row r="910" spans="1:8" x14ac:dyDescent="0.3">
      <c r="A910" s="53"/>
      <c r="B910" s="57" t="s">
        <v>9</v>
      </c>
      <c r="C910" s="39"/>
      <c r="D910" s="59"/>
      <c r="E910" s="39"/>
      <c r="F910" s="39"/>
      <c r="G910" s="39"/>
      <c r="H910" s="58">
        <f>H908+H909</f>
        <v>310141</v>
      </c>
    </row>
    <row r="911" spans="1:8" x14ac:dyDescent="0.3">
      <c r="A911" s="51"/>
      <c r="B911" s="57"/>
      <c r="C911" s="39"/>
      <c r="D911" s="59"/>
      <c r="E911" s="39"/>
      <c r="F911" s="39"/>
      <c r="G911" s="39"/>
      <c r="H911" s="58"/>
    </row>
    <row r="912" spans="1:8" x14ac:dyDescent="0.3">
      <c r="A912" s="43"/>
      <c r="B912" s="62">
        <v>5037</v>
      </c>
      <c r="C912" s="44" t="s">
        <v>465</v>
      </c>
      <c r="D912" s="45"/>
      <c r="E912" s="46" t="s">
        <v>466</v>
      </c>
      <c r="F912" s="63"/>
      <c r="G912" s="60"/>
      <c r="H912" s="48"/>
    </row>
    <row r="913" spans="1:8" x14ac:dyDescent="0.3">
      <c r="A913" s="39"/>
      <c r="B913" s="147" t="s">
        <v>0</v>
      </c>
      <c r="C913" s="107" t="s">
        <v>1</v>
      </c>
      <c r="D913" s="108" t="s">
        <v>2</v>
      </c>
      <c r="E913" s="109" t="s">
        <v>3</v>
      </c>
      <c r="F913" s="122" t="s">
        <v>4</v>
      </c>
      <c r="G913" s="109" t="s">
        <v>5</v>
      </c>
      <c r="H913" s="106" t="s">
        <v>6</v>
      </c>
    </row>
    <row r="914" spans="1:8" ht="57.6" x14ac:dyDescent="0.3">
      <c r="A914" s="40">
        <v>1</v>
      </c>
      <c r="B914" s="66" t="s">
        <v>467</v>
      </c>
      <c r="C914" s="40">
        <v>1</v>
      </c>
      <c r="D914" s="67">
        <v>88</v>
      </c>
      <c r="E914" s="40">
        <v>150</v>
      </c>
      <c r="F914" s="68">
        <f>C914*D914*E914</f>
        <v>13200</v>
      </c>
      <c r="G914" s="55">
        <v>0.5</v>
      </c>
      <c r="H914" s="42">
        <f>F914*(1-G914)</f>
        <v>6600</v>
      </c>
    </row>
    <row r="915" spans="1:8" ht="57.6" x14ac:dyDescent="0.3">
      <c r="A915" s="40">
        <v>2</v>
      </c>
      <c r="B915" s="66" t="s">
        <v>1499</v>
      </c>
      <c r="C915" s="40">
        <v>1</v>
      </c>
      <c r="D915" s="67">
        <v>17.5</v>
      </c>
      <c r="E915" s="40">
        <v>100</v>
      </c>
      <c r="F915" s="68">
        <f>C915*D915*E915</f>
        <v>1750</v>
      </c>
      <c r="G915" s="55">
        <v>0.5</v>
      </c>
      <c r="H915" s="42">
        <f>F915*(1-G915)</f>
        <v>875</v>
      </c>
    </row>
    <row r="916" spans="1:8" ht="57.6" x14ac:dyDescent="0.3">
      <c r="A916" s="40">
        <v>3</v>
      </c>
      <c r="B916" s="66" t="s">
        <v>468</v>
      </c>
      <c r="C916" s="40">
        <v>1</v>
      </c>
      <c r="D916" s="67">
        <v>54</v>
      </c>
      <c r="E916" s="40">
        <v>100</v>
      </c>
      <c r="F916" s="68">
        <f>C916*D916*E916</f>
        <v>5400</v>
      </c>
      <c r="G916" s="55">
        <v>0.5</v>
      </c>
      <c r="H916" s="42">
        <f>F916*(1-G916)</f>
        <v>2700</v>
      </c>
    </row>
    <row r="917" spans="1:8" ht="72" x14ac:dyDescent="0.3">
      <c r="A917" s="40">
        <v>4</v>
      </c>
      <c r="B917" s="66" t="s">
        <v>469</v>
      </c>
      <c r="C917" s="40">
        <v>1</v>
      </c>
      <c r="D917" s="67">
        <v>58</v>
      </c>
      <c r="E917" s="40">
        <v>80</v>
      </c>
      <c r="F917" s="68">
        <f>C917*D917*E917</f>
        <v>4640</v>
      </c>
      <c r="G917" s="55">
        <v>0.5</v>
      </c>
      <c r="H917" s="42">
        <f>F917*(1-G917)</f>
        <v>2320</v>
      </c>
    </row>
    <row r="918" spans="1:8" x14ac:dyDescent="0.3">
      <c r="A918" s="40"/>
      <c r="B918" s="70" t="s">
        <v>7</v>
      </c>
      <c r="C918" s="40"/>
      <c r="D918" s="54"/>
      <c r="E918" s="40"/>
      <c r="F918" s="68"/>
      <c r="G918" s="55"/>
      <c r="H918" s="58">
        <f>SUM(H914:H917)</f>
        <v>12495</v>
      </c>
    </row>
    <row r="919" spans="1:8" x14ac:dyDescent="0.3">
      <c r="A919" s="40">
        <v>5</v>
      </c>
      <c r="B919" s="70" t="s">
        <v>8</v>
      </c>
      <c r="C919" s="40">
        <v>1</v>
      </c>
      <c r="D919" s="54">
        <v>3077</v>
      </c>
      <c r="E919" s="40">
        <v>8</v>
      </c>
      <c r="F919" s="68">
        <f>C919*D919*E919</f>
        <v>24616</v>
      </c>
      <c r="G919" s="55">
        <v>0</v>
      </c>
      <c r="H919" s="58">
        <f>(1-G919)*F919</f>
        <v>24616</v>
      </c>
    </row>
    <row r="920" spans="1:8" x14ac:dyDescent="0.3">
      <c r="A920" s="51"/>
      <c r="B920" s="70" t="s">
        <v>9</v>
      </c>
      <c r="C920" s="39"/>
      <c r="D920" s="59"/>
      <c r="E920" s="39"/>
      <c r="F920" s="71"/>
      <c r="G920" s="39"/>
      <c r="H920" s="58">
        <f>H918+H919</f>
        <v>37111</v>
      </c>
    </row>
    <row r="921" spans="1:8" x14ac:dyDescent="0.3">
      <c r="A921" s="39"/>
      <c r="B921" s="103"/>
      <c r="C921" s="40"/>
      <c r="D921" s="41"/>
      <c r="E921" s="40"/>
      <c r="F921" s="68"/>
      <c r="G921" s="40"/>
      <c r="H921" s="106"/>
    </row>
    <row r="922" spans="1:8" x14ac:dyDescent="0.3">
      <c r="A922" s="152"/>
      <c r="B922" s="152"/>
      <c r="C922" s="152"/>
      <c r="D922" s="153"/>
      <c r="E922" s="152"/>
      <c r="F922" s="152"/>
      <c r="G922" s="152"/>
      <c r="H922" s="154"/>
    </row>
    <row r="923" spans="1:8" x14ac:dyDescent="0.3">
      <c r="A923" s="155" t="s">
        <v>84</v>
      </c>
      <c r="B923" s="152"/>
      <c r="C923" s="152"/>
      <c r="D923" s="153"/>
      <c r="E923" s="152"/>
      <c r="F923" s="152"/>
      <c r="G923" s="152"/>
      <c r="H923" s="154"/>
    </row>
    <row r="924" spans="1:8" x14ac:dyDescent="0.3">
      <c r="A924" s="40"/>
      <c r="B924" s="40"/>
      <c r="C924" s="40"/>
      <c r="D924" s="41"/>
      <c r="E924" s="40"/>
      <c r="F924" s="40"/>
      <c r="G924" s="40"/>
      <c r="H924" s="42"/>
    </row>
    <row r="925" spans="1:8" x14ac:dyDescent="0.3">
      <c r="A925" s="44"/>
      <c r="B925" s="86">
        <v>5063</v>
      </c>
      <c r="C925" s="44" t="s">
        <v>276</v>
      </c>
      <c r="D925" s="73"/>
      <c r="E925" s="46"/>
      <c r="F925" s="47" t="s">
        <v>275</v>
      </c>
      <c r="G925" s="47"/>
      <c r="H925" s="98"/>
    </row>
    <row r="926" spans="1:8" x14ac:dyDescent="0.3">
      <c r="A926" s="39"/>
      <c r="B926" s="107" t="s">
        <v>0</v>
      </c>
      <c r="C926" s="107" t="s">
        <v>1</v>
      </c>
      <c r="D926" s="108" t="s">
        <v>2</v>
      </c>
      <c r="E926" s="109" t="s">
        <v>3</v>
      </c>
      <c r="F926" s="109" t="s">
        <v>4</v>
      </c>
      <c r="G926" s="109" t="s">
        <v>5</v>
      </c>
      <c r="H926" s="106" t="s">
        <v>6</v>
      </c>
    </row>
    <row r="927" spans="1:8" ht="57.6" x14ac:dyDescent="0.3">
      <c r="A927" s="40">
        <v>1</v>
      </c>
      <c r="B927" s="110" t="s">
        <v>1501</v>
      </c>
      <c r="C927" s="40">
        <v>1</v>
      </c>
      <c r="D927" s="54">
        <f>(12.5*16)+(13.5*8.5)+(33.7*10.5)</f>
        <v>668.6</v>
      </c>
      <c r="E927" s="40">
        <v>450</v>
      </c>
      <c r="F927" s="40">
        <f t="shared" ref="F927:F933" si="67">C927*D927*E927</f>
        <v>300870</v>
      </c>
      <c r="G927" s="55">
        <v>0.4</v>
      </c>
      <c r="H927" s="42">
        <f t="shared" ref="H927:H933" si="68">F927*(1-G927)</f>
        <v>180522</v>
      </c>
    </row>
    <row r="928" spans="1:8" ht="57.6" x14ac:dyDescent="0.3">
      <c r="A928" s="40">
        <v>2</v>
      </c>
      <c r="B928" s="110" t="s">
        <v>277</v>
      </c>
      <c r="C928" s="40">
        <v>1</v>
      </c>
      <c r="D928" s="54">
        <v>928</v>
      </c>
      <c r="E928" s="40">
        <v>450</v>
      </c>
      <c r="F928" s="40">
        <f t="shared" si="67"/>
        <v>417600</v>
      </c>
      <c r="G928" s="55">
        <v>0.3</v>
      </c>
      <c r="H928" s="42">
        <f t="shared" si="68"/>
        <v>292320</v>
      </c>
    </row>
    <row r="929" spans="1:10" ht="72" x14ac:dyDescent="0.3">
      <c r="A929" s="40">
        <v>3</v>
      </c>
      <c r="B929" s="110" t="s">
        <v>278</v>
      </c>
      <c r="C929" s="40">
        <v>1</v>
      </c>
      <c r="D929" s="54">
        <v>104.27</v>
      </c>
      <c r="E929" s="40">
        <v>100</v>
      </c>
      <c r="F929" s="40">
        <f t="shared" si="67"/>
        <v>10427</v>
      </c>
      <c r="G929" s="55">
        <v>0.5</v>
      </c>
      <c r="H929" s="42">
        <f t="shared" si="68"/>
        <v>5213.5</v>
      </c>
    </row>
    <row r="930" spans="1:10" ht="43.2" x14ac:dyDescent="0.3">
      <c r="A930" s="40">
        <v>4</v>
      </c>
      <c r="B930" s="110" t="s">
        <v>279</v>
      </c>
      <c r="C930" s="40">
        <v>1</v>
      </c>
      <c r="D930" s="54">
        <v>142</v>
      </c>
      <c r="E930" s="40">
        <v>80</v>
      </c>
      <c r="F930" s="40">
        <f t="shared" si="67"/>
        <v>11360</v>
      </c>
      <c r="G930" s="55">
        <v>0.4</v>
      </c>
      <c r="H930" s="42">
        <f t="shared" si="68"/>
        <v>6816</v>
      </c>
    </row>
    <row r="931" spans="1:10" ht="43.2" x14ac:dyDescent="0.3">
      <c r="A931" s="40">
        <v>5</v>
      </c>
      <c r="B931" s="110" t="s">
        <v>1502</v>
      </c>
      <c r="C931" s="40">
        <v>1</v>
      </c>
      <c r="D931" s="54">
        <v>94.5</v>
      </c>
      <c r="E931" s="40">
        <v>80</v>
      </c>
      <c r="F931" s="40">
        <f t="shared" si="67"/>
        <v>7560</v>
      </c>
      <c r="G931" s="55">
        <v>0.4</v>
      </c>
      <c r="H931" s="42">
        <f t="shared" si="68"/>
        <v>4536</v>
      </c>
    </row>
    <row r="932" spans="1:10" ht="43.2" x14ac:dyDescent="0.3">
      <c r="A932" s="40">
        <v>6</v>
      </c>
      <c r="B932" s="110" t="s">
        <v>280</v>
      </c>
      <c r="C932" s="40">
        <v>1</v>
      </c>
      <c r="D932" s="54">
        <v>40</v>
      </c>
      <c r="E932" s="40">
        <v>100</v>
      </c>
      <c r="F932" s="40">
        <f t="shared" si="67"/>
        <v>4000</v>
      </c>
      <c r="G932" s="55">
        <v>0.5</v>
      </c>
      <c r="H932" s="42">
        <f t="shared" si="68"/>
        <v>2000</v>
      </c>
    </row>
    <row r="933" spans="1:10" ht="28.8" x14ac:dyDescent="0.3">
      <c r="A933" s="40">
        <v>7</v>
      </c>
      <c r="B933" s="110" t="s">
        <v>1503</v>
      </c>
      <c r="C933" s="40">
        <v>1</v>
      </c>
      <c r="D933" s="54"/>
      <c r="E933" s="40">
        <v>22</v>
      </c>
      <c r="F933" s="40">
        <f t="shared" si="67"/>
        <v>0</v>
      </c>
      <c r="G933" s="55">
        <v>0.6</v>
      </c>
      <c r="H933" s="42">
        <f t="shared" si="68"/>
        <v>0</v>
      </c>
    </row>
    <row r="934" spans="1:10" x14ac:dyDescent="0.3">
      <c r="A934" s="40"/>
      <c r="B934" s="57" t="s">
        <v>7</v>
      </c>
      <c r="C934" s="40"/>
      <c r="D934" s="54"/>
      <c r="E934" s="40"/>
      <c r="F934" s="40"/>
      <c r="G934" s="55"/>
      <c r="H934" s="58">
        <f>SUM(H927:H933)</f>
        <v>491407.5</v>
      </c>
    </row>
    <row r="935" spans="1:10" x14ac:dyDescent="0.3">
      <c r="A935" s="40">
        <v>8</v>
      </c>
      <c r="B935" s="57" t="s">
        <v>8</v>
      </c>
      <c r="C935" s="40">
        <v>1</v>
      </c>
      <c r="D935" s="54">
        <v>88053</v>
      </c>
      <c r="E935" s="40">
        <v>5</v>
      </c>
      <c r="F935" s="68">
        <f>(10000*E935)+(10000*0.75*E935)+(10000*0.5*E935)+(58053*0.25*E935)</f>
        <v>185066.25</v>
      </c>
      <c r="G935" s="55">
        <v>0</v>
      </c>
      <c r="H935" s="58">
        <f>(1-G935)*F935</f>
        <v>185066.25</v>
      </c>
      <c r="J935" s="38">
        <f>5*0.75</f>
        <v>3.75</v>
      </c>
    </row>
    <row r="936" spans="1:10" x14ac:dyDescent="0.3">
      <c r="A936" s="51"/>
      <c r="B936" s="57" t="s">
        <v>9</v>
      </c>
      <c r="C936" s="39"/>
      <c r="D936" s="59"/>
      <c r="E936" s="39"/>
      <c r="F936" s="39"/>
      <c r="G936" s="39"/>
      <c r="H936" s="58">
        <f>H934+H935</f>
        <v>676473.75</v>
      </c>
    </row>
    <row r="937" spans="1:10" x14ac:dyDescent="0.3">
      <c r="A937" s="40"/>
      <c r="B937" s="40"/>
      <c r="C937" s="40"/>
      <c r="D937" s="41"/>
      <c r="E937" s="40"/>
      <c r="F937" s="40"/>
      <c r="G937" s="40"/>
      <c r="H937" s="42"/>
    </row>
    <row r="938" spans="1:10" x14ac:dyDescent="0.3">
      <c r="A938" s="53"/>
      <c r="B938" s="70"/>
      <c r="C938" s="40"/>
      <c r="D938" s="41"/>
      <c r="E938" s="40"/>
      <c r="F938" s="68"/>
      <c r="G938" s="40"/>
      <c r="H938" s="58"/>
    </row>
    <row r="939" spans="1:10" x14ac:dyDescent="0.3">
      <c r="A939" s="43"/>
      <c r="B939" s="62" t="s">
        <v>495</v>
      </c>
      <c r="C939" s="44" t="s">
        <v>496</v>
      </c>
      <c r="D939" s="45"/>
      <c r="E939" s="46" t="s">
        <v>497</v>
      </c>
      <c r="F939" s="63"/>
      <c r="G939" s="60"/>
      <c r="H939" s="48"/>
    </row>
    <row r="940" spans="1:10" s="3" customFormat="1" x14ac:dyDescent="0.3">
      <c r="A940" s="39"/>
      <c r="B940" s="147" t="s">
        <v>0</v>
      </c>
      <c r="C940" s="107" t="s">
        <v>1</v>
      </c>
      <c r="D940" s="108" t="s">
        <v>2</v>
      </c>
      <c r="E940" s="109" t="s">
        <v>3</v>
      </c>
      <c r="F940" s="122" t="s">
        <v>4</v>
      </c>
      <c r="G940" s="109" t="s">
        <v>5</v>
      </c>
      <c r="H940" s="106" t="s">
        <v>6</v>
      </c>
    </row>
    <row r="941" spans="1:10" ht="72" x14ac:dyDescent="0.3">
      <c r="A941" s="40">
        <v>1</v>
      </c>
      <c r="B941" s="66" t="s">
        <v>498</v>
      </c>
      <c r="C941" s="40">
        <v>1</v>
      </c>
      <c r="D941" s="67">
        <v>1080</v>
      </c>
      <c r="E941" s="40">
        <v>450</v>
      </c>
      <c r="F941" s="68">
        <f t="shared" ref="F941:F947" si="69">C941*D941*E941</f>
        <v>486000</v>
      </c>
      <c r="G941" s="55">
        <v>0.5</v>
      </c>
      <c r="H941" s="42">
        <f t="shared" ref="H941:H947" si="70">F941*(1-G941)</f>
        <v>243000</v>
      </c>
    </row>
    <row r="942" spans="1:10" ht="57.6" x14ac:dyDescent="0.3">
      <c r="A942" s="40">
        <v>2</v>
      </c>
      <c r="B942" s="66" t="s">
        <v>499</v>
      </c>
      <c r="C942" s="40">
        <v>4</v>
      </c>
      <c r="D942" s="67">
        <v>348</v>
      </c>
      <c r="E942" s="40">
        <v>450</v>
      </c>
      <c r="F942" s="68">
        <f t="shared" si="69"/>
        <v>626400</v>
      </c>
      <c r="G942" s="55">
        <v>0.5</v>
      </c>
      <c r="H942" s="42">
        <f t="shared" si="70"/>
        <v>313200</v>
      </c>
    </row>
    <row r="943" spans="1:10" ht="57.6" x14ac:dyDescent="0.3">
      <c r="A943" s="40">
        <v>3</v>
      </c>
      <c r="B943" s="66" t="s">
        <v>500</v>
      </c>
      <c r="C943" s="40">
        <v>2</v>
      </c>
      <c r="D943" s="67">
        <v>210</v>
      </c>
      <c r="E943" s="40">
        <v>450</v>
      </c>
      <c r="F943" s="68">
        <f t="shared" si="69"/>
        <v>189000</v>
      </c>
      <c r="G943" s="55">
        <v>0.5</v>
      </c>
      <c r="H943" s="42">
        <f t="shared" si="70"/>
        <v>94500</v>
      </c>
    </row>
    <row r="944" spans="1:10" ht="57.6" x14ac:dyDescent="0.3">
      <c r="A944" s="40">
        <v>4</v>
      </c>
      <c r="B944" s="66" t="s">
        <v>501</v>
      </c>
      <c r="C944" s="40">
        <v>1</v>
      </c>
      <c r="D944" s="67">
        <v>126</v>
      </c>
      <c r="E944" s="40">
        <v>450</v>
      </c>
      <c r="F944" s="68">
        <f t="shared" si="69"/>
        <v>56700</v>
      </c>
      <c r="G944" s="55">
        <v>0.5</v>
      </c>
      <c r="H944" s="42">
        <f t="shared" si="70"/>
        <v>28350</v>
      </c>
    </row>
    <row r="945" spans="1:8" ht="57.6" x14ac:dyDescent="0.3">
      <c r="A945" s="40">
        <v>5</v>
      </c>
      <c r="B945" s="66" t="s">
        <v>502</v>
      </c>
      <c r="C945" s="40">
        <v>3</v>
      </c>
      <c r="D945" s="67">
        <v>100</v>
      </c>
      <c r="E945" s="40">
        <v>450</v>
      </c>
      <c r="F945" s="68">
        <f t="shared" si="69"/>
        <v>135000</v>
      </c>
      <c r="G945" s="55">
        <v>0.5</v>
      </c>
      <c r="H945" s="42">
        <f t="shared" si="70"/>
        <v>67500</v>
      </c>
    </row>
    <row r="946" spans="1:8" ht="57.6" x14ac:dyDescent="0.3">
      <c r="A946" s="40">
        <v>6</v>
      </c>
      <c r="B946" s="66" t="s">
        <v>503</v>
      </c>
      <c r="C946" s="40">
        <v>1</v>
      </c>
      <c r="D946" s="67">
        <v>82.5</v>
      </c>
      <c r="E946" s="40">
        <v>100</v>
      </c>
      <c r="F946" s="68">
        <f t="shared" si="69"/>
        <v>8250</v>
      </c>
      <c r="G946" s="55">
        <v>0.5</v>
      </c>
      <c r="H946" s="42">
        <f t="shared" si="70"/>
        <v>4125</v>
      </c>
    </row>
    <row r="947" spans="1:8" ht="28.8" x14ac:dyDescent="0.3">
      <c r="A947" s="40">
        <v>7</v>
      </c>
      <c r="B947" s="66" t="s">
        <v>419</v>
      </c>
      <c r="C947" s="40">
        <v>1</v>
      </c>
      <c r="D947" s="67">
        <f>52*4</f>
        <v>208</v>
      </c>
      <c r="E947" s="40">
        <v>22</v>
      </c>
      <c r="F947" s="68">
        <f t="shared" si="69"/>
        <v>4576</v>
      </c>
      <c r="G947" s="55">
        <v>0.5</v>
      </c>
      <c r="H947" s="42">
        <f t="shared" si="70"/>
        <v>2288</v>
      </c>
    </row>
    <row r="948" spans="1:8" x14ac:dyDescent="0.3">
      <c r="A948" s="40"/>
      <c r="B948" s="70" t="s">
        <v>7</v>
      </c>
      <c r="C948" s="40"/>
      <c r="D948" s="54"/>
      <c r="E948" s="40"/>
      <c r="F948" s="68"/>
      <c r="G948" s="55"/>
      <c r="H948" s="58">
        <f>SUM(H941:H947)</f>
        <v>752963</v>
      </c>
    </row>
    <row r="949" spans="1:8" x14ac:dyDescent="0.3">
      <c r="A949" s="40">
        <v>8</v>
      </c>
      <c r="B949" s="70" t="s">
        <v>8</v>
      </c>
      <c r="C949" s="40">
        <v>1</v>
      </c>
      <c r="D949" s="54">
        <v>2700</v>
      </c>
      <c r="E949" s="40">
        <v>5</v>
      </c>
      <c r="F949" s="68">
        <f>C949*D949*E949</f>
        <v>13500</v>
      </c>
      <c r="G949" s="55">
        <v>0</v>
      </c>
      <c r="H949" s="58">
        <f>(1-G949)*F949</f>
        <v>13500</v>
      </c>
    </row>
    <row r="950" spans="1:8" x14ac:dyDescent="0.3">
      <c r="A950" s="51"/>
      <c r="B950" s="70" t="s">
        <v>9</v>
      </c>
      <c r="C950" s="39"/>
      <c r="D950" s="59"/>
      <c r="E950" s="39"/>
      <c r="F950" s="71"/>
      <c r="G950" s="39"/>
      <c r="H950" s="58">
        <f>H948+H949</f>
        <v>766463</v>
      </c>
    </row>
    <row r="951" spans="1:8" x14ac:dyDescent="0.3">
      <c r="A951" s="51"/>
      <c r="B951" s="70"/>
      <c r="C951" s="39"/>
      <c r="D951" s="59"/>
      <c r="E951" s="39"/>
      <c r="F951" s="71"/>
      <c r="G951" s="39"/>
      <c r="H951" s="58"/>
    </row>
    <row r="952" spans="1:8" ht="28.8" x14ac:dyDescent="0.3">
      <c r="A952" s="60"/>
      <c r="B952" s="62" t="s">
        <v>504</v>
      </c>
      <c r="C952" s="86" t="s">
        <v>505</v>
      </c>
      <c r="D952" s="156"/>
      <c r="E952" s="44" t="s">
        <v>506</v>
      </c>
      <c r="F952" s="63"/>
      <c r="G952" s="60"/>
      <c r="H952" s="48"/>
    </row>
    <row r="953" spans="1:8" s="3" customFormat="1" x14ac:dyDescent="0.3">
      <c r="A953" s="39"/>
      <c r="B953" s="147" t="s">
        <v>0</v>
      </c>
      <c r="C953" s="107" t="s">
        <v>1</v>
      </c>
      <c r="D953" s="108" t="s">
        <v>2</v>
      </c>
      <c r="E953" s="109" t="s">
        <v>3</v>
      </c>
      <c r="F953" s="122" t="s">
        <v>4</v>
      </c>
      <c r="G953" s="109" t="s">
        <v>5</v>
      </c>
      <c r="H953" s="106" t="s">
        <v>6</v>
      </c>
    </row>
    <row r="954" spans="1:8" ht="57.6" x14ac:dyDescent="0.3">
      <c r="A954" s="40">
        <v>1</v>
      </c>
      <c r="B954" s="144" t="s">
        <v>507</v>
      </c>
      <c r="C954" s="40">
        <v>1</v>
      </c>
      <c r="D954" s="41">
        <v>40.5</v>
      </c>
      <c r="E954" s="40">
        <v>100</v>
      </c>
      <c r="F954" s="68">
        <f>C954*D954*E954</f>
        <v>4050</v>
      </c>
      <c r="G954" s="55">
        <v>0.5</v>
      </c>
      <c r="H954" s="42">
        <f>(1-G954)*F954</f>
        <v>2025</v>
      </c>
    </row>
    <row r="955" spans="1:8" ht="43.2" x14ac:dyDescent="0.3">
      <c r="A955" s="40">
        <v>2</v>
      </c>
      <c r="B955" s="144" t="s">
        <v>508</v>
      </c>
      <c r="C955" s="40">
        <v>1</v>
      </c>
      <c r="D955" s="41">
        <v>10.35</v>
      </c>
      <c r="E955" s="40">
        <v>80</v>
      </c>
      <c r="F955" s="68">
        <f>C955*D955*E955</f>
        <v>828</v>
      </c>
      <c r="G955" s="55">
        <v>0.5</v>
      </c>
      <c r="H955" s="42">
        <f>(1-G955)*F955</f>
        <v>414</v>
      </c>
    </row>
    <row r="956" spans="1:8" x14ac:dyDescent="0.3">
      <c r="A956" s="53"/>
      <c r="B956" s="70" t="s">
        <v>7</v>
      </c>
      <c r="C956" s="40"/>
      <c r="D956" s="54"/>
      <c r="E956" s="40"/>
      <c r="F956" s="68"/>
      <c r="G956" s="55"/>
      <c r="H956" s="58">
        <f>SUM(H954:H955)</f>
        <v>2439</v>
      </c>
    </row>
    <row r="957" spans="1:8" x14ac:dyDescent="0.3">
      <c r="A957" s="53">
        <v>3</v>
      </c>
      <c r="B957" s="70" t="s">
        <v>8</v>
      </c>
      <c r="C957" s="40">
        <v>1</v>
      </c>
      <c r="D957" s="54">
        <v>2700</v>
      </c>
      <c r="E957" s="40">
        <v>5</v>
      </c>
      <c r="F957" s="68">
        <f>C957*D957*E957</f>
        <v>13500</v>
      </c>
      <c r="G957" s="55">
        <v>0</v>
      </c>
      <c r="H957" s="58">
        <f>(1-G957)*F957</f>
        <v>13500</v>
      </c>
    </row>
    <row r="958" spans="1:8" x14ac:dyDescent="0.3">
      <c r="A958" s="53"/>
      <c r="B958" s="70" t="s">
        <v>9</v>
      </c>
      <c r="C958" s="39"/>
      <c r="D958" s="59"/>
      <c r="E958" s="39" t="s">
        <v>134</v>
      </c>
      <c r="F958" s="71"/>
      <c r="G958" s="39"/>
      <c r="H958" s="58">
        <f>H956+H957</f>
        <v>15939</v>
      </c>
    </row>
    <row r="959" spans="1:8" x14ac:dyDescent="0.3">
      <c r="A959" s="40"/>
      <c r="B959" s="40"/>
      <c r="C959" s="40"/>
      <c r="D959" s="41"/>
      <c r="E959" s="40"/>
      <c r="F959" s="40"/>
      <c r="G959" s="40"/>
      <c r="H959" s="42"/>
    </row>
    <row r="960" spans="1:8" x14ac:dyDescent="0.3">
      <c r="A960" s="44"/>
      <c r="B960" s="86" t="s">
        <v>95</v>
      </c>
      <c r="C960" s="44" t="s">
        <v>96</v>
      </c>
      <c r="D960" s="73"/>
      <c r="E960" s="46" t="s">
        <v>97</v>
      </c>
      <c r="F960" s="47"/>
      <c r="G960" s="47"/>
      <c r="H960" s="98"/>
    </row>
    <row r="961" spans="1:8" x14ac:dyDescent="0.3">
      <c r="A961" s="39"/>
      <c r="B961" s="107" t="s">
        <v>0</v>
      </c>
      <c r="C961" s="107" t="s">
        <v>1</v>
      </c>
      <c r="D961" s="108" t="s">
        <v>2</v>
      </c>
      <c r="E961" s="109" t="s">
        <v>3</v>
      </c>
      <c r="F961" s="109" t="s">
        <v>4</v>
      </c>
      <c r="G961" s="109" t="s">
        <v>5</v>
      </c>
      <c r="H961" s="106" t="s">
        <v>6</v>
      </c>
    </row>
    <row r="962" spans="1:8" ht="100.8" x14ac:dyDescent="0.3">
      <c r="A962" s="40">
        <v>1</v>
      </c>
      <c r="B962" s="110" t="s">
        <v>98</v>
      </c>
      <c r="C962" s="40">
        <v>1</v>
      </c>
      <c r="D962" s="54">
        <f>3*(38*7)+(65*31)</f>
        <v>2813</v>
      </c>
      <c r="E962" s="40">
        <v>700</v>
      </c>
      <c r="F962" s="40">
        <f t="shared" ref="F962:F1006" si="71">C962*D962*E962</f>
        <v>1969100</v>
      </c>
      <c r="G962" s="55">
        <v>0.2</v>
      </c>
      <c r="H962" s="42">
        <f>F962*(1-G962)</f>
        <v>1575280</v>
      </c>
    </row>
    <row r="963" spans="1:8" ht="72" x14ac:dyDescent="0.3">
      <c r="A963" s="40">
        <v>2</v>
      </c>
      <c r="B963" s="110" t="s">
        <v>99</v>
      </c>
      <c r="C963" s="40">
        <v>1</v>
      </c>
      <c r="D963" s="54">
        <v>529.25</v>
      </c>
      <c r="E963" s="40">
        <v>450</v>
      </c>
      <c r="F963" s="40">
        <f t="shared" si="71"/>
        <v>238162.5</v>
      </c>
      <c r="G963" s="55">
        <v>0.4</v>
      </c>
      <c r="H963" s="42">
        <f>F963*(1-G963)</f>
        <v>142897.5</v>
      </c>
    </row>
    <row r="964" spans="1:8" ht="72" x14ac:dyDescent="0.3">
      <c r="A964" s="40">
        <v>3</v>
      </c>
      <c r="B964" s="110" t="s">
        <v>100</v>
      </c>
      <c r="C964" s="40">
        <v>1</v>
      </c>
      <c r="D964" s="54">
        <v>282.75</v>
      </c>
      <c r="E964" s="40">
        <v>450</v>
      </c>
      <c r="F964" s="40">
        <f t="shared" si="71"/>
        <v>127237.5</v>
      </c>
      <c r="G964" s="55">
        <v>0.3</v>
      </c>
      <c r="H964" s="42">
        <f>F964*(1-G964)</f>
        <v>89066.25</v>
      </c>
    </row>
    <row r="965" spans="1:8" ht="72" x14ac:dyDescent="0.3">
      <c r="A965" s="40">
        <v>4</v>
      </c>
      <c r="B965" s="110" t="s">
        <v>101</v>
      </c>
      <c r="C965" s="40">
        <v>1</v>
      </c>
      <c r="D965" s="54">
        <v>795</v>
      </c>
      <c r="E965" s="40">
        <v>400</v>
      </c>
      <c r="F965" s="40">
        <f t="shared" si="71"/>
        <v>318000</v>
      </c>
      <c r="G965" s="55">
        <v>0.4</v>
      </c>
      <c r="H965" s="42">
        <f>F965*(1-G965)</f>
        <v>190800</v>
      </c>
    </row>
    <row r="966" spans="1:8" ht="72" x14ac:dyDescent="0.3">
      <c r="A966" s="40">
        <v>5</v>
      </c>
      <c r="B966" s="110" t="s">
        <v>102</v>
      </c>
      <c r="C966" s="40">
        <v>1</v>
      </c>
      <c r="D966" s="54">
        <v>42.75</v>
      </c>
      <c r="E966" s="40">
        <v>150</v>
      </c>
      <c r="F966" s="40">
        <f t="shared" si="71"/>
        <v>6412.5</v>
      </c>
      <c r="G966" s="55">
        <v>0.4</v>
      </c>
      <c r="H966" s="42">
        <f>F966*(1-G966)</f>
        <v>3847.5</v>
      </c>
    </row>
    <row r="967" spans="1:8" ht="57.6" x14ac:dyDescent="0.3">
      <c r="A967" s="40">
        <v>6</v>
      </c>
      <c r="B967" s="53" t="s">
        <v>103</v>
      </c>
      <c r="C967" s="40">
        <v>1</v>
      </c>
      <c r="D967" s="41">
        <v>96</v>
      </c>
      <c r="E967" s="40">
        <v>80</v>
      </c>
      <c r="F967" s="40">
        <f t="shared" si="71"/>
        <v>7680</v>
      </c>
      <c r="G967" s="55">
        <v>0.5</v>
      </c>
      <c r="H967" s="42">
        <f>(1-G967)*F967</f>
        <v>3840</v>
      </c>
    </row>
    <row r="968" spans="1:8" ht="57.6" x14ac:dyDescent="0.3">
      <c r="A968" s="40">
        <v>7</v>
      </c>
      <c r="B968" s="53" t="s">
        <v>104</v>
      </c>
      <c r="C968" s="40">
        <v>1</v>
      </c>
      <c r="D968" s="41">
        <v>210</v>
      </c>
      <c r="E968" s="40">
        <v>80</v>
      </c>
      <c r="F968" s="40">
        <f t="shared" si="71"/>
        <v>16800</v>
      </c>
      <c r="G968" s="55">
        <v>0.5</v>
      </c>
      <c r="H968" s="42">
        <f>(1-G968)*F968</f>
        <v>8400</v>
      </c>
    </row>
    <row r="969" spans="1:8" ht="72" x14ac:dyDescent="0.3">
      <c r="A969" s="40">
        <v>8</v>
      </c>
      <c r="B969" s="110" t="s">
        <v>105</v>
      </c>
      <c r="C969" s="40">
        <v>1</v>
      </c>
      <c r="D969" s="54">
        <v>317</v>
      </c>
      <c r="E969" s="40">
        <v>450</v>
      </c>
      <c r="F969" s="40">
        <f t="shared" si="71"/>
        <v>142650</v>
      </c>
      <c r="G969" s="55">
        <v>0.5</v>
      </c>
      <c r="H969" s="42">
        <f t="shared" ref="H969:H985" si="72">F969*(1-G969)</f>
        <v>71325</v>
      </c>
    </row>
    <row r="970" spans="1:8" ht="72" x14ac:dyDescent="0.3">
      <c r="A970" s="40">
        <v>9</v>
      </c>
      <c r="B970" s="110" t="s">
        <v>106</v>
      </c>
      <c r="C970" s="40">
        <v>1</v>
      </c>
      <c r="D970" s="54">
        <v>42.75</v>
      </c>
      <c r="E970" s="40">
        <v>100</v>
      </c>
      <c r="F970" s="40">
        <f t="shared" si="71"/>
        <v>4275</v>
      </c>
      <c r="G970" s="55">
        <v>0.5</v>
      </c>
      <c r="H970" s="42">
        <f t="shared" si="72"/>
        <v>2137.5</v>
      </c>
    </row>
    <row r="971" spans="1:8" ht="72" x14ac:dyDescent="0.3">
      <c r="A971" s="40">
        <v>10</v>
      </c>
      <c r="B971" s="110" t="s">
        <v>107</v>
      </c>
      <c r="C971" s="40">
        <v>1</v>
      </c>
      <c r="D971" s="54">
        <v>42.75</v>
      </c>
      <c r="E971" s="40">
        <v>100</v>
      </c>
      <c r="F971" s="40">
        <f t="shared" si="71"/>
        <v>4275</v>
      </c>
      <c r="G971" s="55">
        <v>0.5</v>
      </c>
      <c r="H971" s="42">
        <f t="shared" si="72"/>
        <v>2137.5</v>
      </c>
    </row>
    <row r="972" spans="1:8" ht="72" x14ac:dyDescent="0.3">
      <c r="A972" s="40">
        <v>11</v>
      </c>
      <c r="B972" s="110" t="s">
        <v>108</v>
      </c>
      <c r="C972" s="40">
        <v>1</v>
      </c>
      <c r="D972" s="54">
        <v>317</v>
      </c>
      <c r="E972" s="40">
        <v>300</v>
      </c>
      <c r="F972" s="40">
        <f t="shared" si="71"/>
        <v>95100</v>
      </c>
      <c r="G972" s="55">
        <v>0.4</v>
      </c>
      <c r="H972" s="42">
        <f t="shared" si="72"/>
        <v>57060</v>
      </c>
    </row>
    <row r="973" spans="1:8" ht="57.6" x14ac:dyDescent="0.3">
      <c r="A973" s="40">
        <v>12</v>
      </c>
      <c r="B973" s="110" t="s">
        <v>109</v>
      </c>
      <c r="C973" s="40">
        <v>1</v>
      </c>
      <c r="D973" s="54">
        <v>648</v>
      </c>
      <c r="E973" s="40">
        <v>300</v>
      </c>
      <c r="F973" s="40">
        <f t="shared" si="71"/>
        <v>194400</v>
      </c>
      <c r="G973" s="55">
        <v>0.4</v>
      </c>
      <c r="H973" s="42">
        <f t="shared" si="72"/>
        <v>116640</v>
      </c>
    </row>
    <row r="974" spans="1:8" ht="72" x14ac:dyDescent="0.3">
      <c r="A974" s="40">
        <v>13</v>
      </c>
      <c r="B974" s="110" t="s">
        <v>111</v>
      </c>
      <c r="C974" s="40">
        <v>1</v>
      </c>
      <c r="D974" s="54">
        <v>31.5</v>
      </c>
      <c r="E974" s="40">
        <v>150</v>
      </c>
      <c r="F974" s="40">
        <f t="shared" si="71"/>
        <v>4725</v>
      </c>
      <c r="G974" s="55">
        <v>0.5</v>
      </c>
      <c r="H974" s="42">
        <f t="shared" si="72"/>
        <v>2362.5</v>
      </c>
    </row>
    <row r="975" spans="1:8" ht="72" x14ac:dyDescent="0.3">
      <c r="A975" s="40">
        <v>14</v>
      </c>
      <c r="B975" s="110" t="s">
        <v>121</v>
      </c>
      <c r="C975" s="40">
        <v>1</v>
      </c>
      <c r="D975" s="54">
        <f>(25.5*33)+(10.5*29)+(68*25.5)+(13.5*19)+(79*75.3)</f>
        <v>9085.2000000000007</v>
      </c>
      <c r="E975" s="40">
        <v>600</v>
      </c>
      <c r="F975" s="40">
        <f t="shared" si="71"/>
        <v>5451120</v>
      </c>
      <c r="G975" s="55">
        <v>0.4</v>
      </c>
      <c r="H975" s="42">
        <f t="shared" si="72"/>
        <v>3270672</v>
      </c>
    </row>
    <row r="976" spans="1:8" ht="72" x14ac:dyDescent="0.3">
      <c r="A976" s="40">
        <v>15</v>
      </c>
      <c r="B976" s="110" t="s">
        <v>110</v>
      </c>
      <c r="C976" s="40">
        <v>1</v>
      </c>
      <c r="D976" s="54">
        <f>(12.5*8)+12</f>
        <v>112</v>
      </c>
      <c r="E976" s="40">
        <v>150</v>
      </c>
      <c r="F976" s="40">
        <f t="shared" si="71"/>
        <v>16800</v>
      </c>
      <c r="G976" s="55">
        <v>0.5</v>
      </c>
      <c r="H976" s="42">
        <f t="shared" si="72"/>
        <v>8400</v>
      </c>
    </row>
    <row r="977" spans="1:8" ht="57.6" x14ac:dyDescent="0.3">
      <c r="A977" s="40">
        <v>15</v>
      </c>
      <c r="B977" s="110" t="s">
        <v>112</v>
      </c>
      <c r="C977" s="40">
        <v>1</v>
      </c>
      <c r="D977" s="54">
        <f>(7.5*12.5)+150</f>
        <v>243.75</v>
      </c>
      <c r="E977" s="40">
        <v>300</v>
      </c>
      <c r="F977" s="40">
        <f t="shared" si="71"/>
        <v>73125</v>
      </c>
      <c r="G977" s="55">
        <v>0.5</v>
      </c>
      <c r="H977" s="42">
        <f t="shared" si="72"/>
        <v>36562.5</v>
      </c>
    </row>
    <row r="978" spans="1:8" ht="57.6" x14ac:dyDescent="0.3">
      <c r="A978" s="40">
        <v>17</v>
      </c>
      <c r="B978" s="110" t="s">
        <v>113</v>
      </c>
      <c r="C978" s="40">
        <v>1</v>
      </c>
      <c r="D978" s="54">
        <v>57.75</v>
      </c>
      <c r="E978" s="40">
        <v>200</v>
      </c>
      <c r="F978" s="40">
        <f t="shared" si="71"/>
        <v>11550</v>
      </c>
      <c r="G978" s="55">
        <v>0.5</v>
      </c>
      <c r="H978" s="42">
        <f t="shared" si="72"/>
        <v>5775</v>
      </c>
    </row>
    <row r="979" spans="1:8" ht="86.4" x14ac:dyDescent="0.3">
      <c r="A979" s="40">
        <v>18</v>
      </c>
      <c r="B979" s="110" t="s">
        <v>114</v>
      </c>
      <c r="C979" s="40">
        <v>1</v>
      </c>
      <c r="D979" s="54">
        <f>2*(13*115)+30</f>
        <v>3020</v>
      </c>
      <c r="E979" s="40">
        <v>400</v>
      </c>
      <c r="F979" s="40">
        <f t="shared" si="71"/>
        <v>1208000</v>
      </c>
      <c r="G979" s="55">
        <v>0.3</v>
      </c>
      <c r="H979" s="42">
        <f t="shared" si="72"/>
        <v>845600</v>
      </c>
    </row>
    <row r="980" spans="1:8" ht="57.6" x14ac:dyDescent="0.3">
      <c r="A980" s="40">
        <v>19</v>
      </c>
      <c r="B980" s="110" t="s">
        <v>115</v>
      </c>
      <c r="C980" s="40">
        <v>1</v>
      </c>
      <c r="D980" s="54">
        <v>84</v>
      </c>
      <c r="E980" s="40">
        <v>200</v>
      </c>
      <c r="F980" s="40">
        <f t="shared" si="71"/>
        <v>16800</v>
      </c>
      <c r="G980" s="55">
        <v>0.5</v>
      </c>
      <c r="H980" s="42">
        <f t="shared" si="72"/>
        <v>8400</v>
      </c>
    </row>
    <row r="981" spans="1:8" ht="57.6" x14ac:dyDescent="0.3">
      <c r="A981" s="40">
        <v>20</v>
      </c>
      <c r="B981" s="110" t="s">
        <v>116</v>
      </c>
      <c r="C981" s="40">
        <v>1</v>
      </c>
      <c r="D981" s="54">
        <v>64</v>
      </c>
      <c r="E981" s="40">
        <v>400</v>
      </c>
      <c r="F981" s="40">
        <f t="shared" si="71"/>
        <v>25600</v>
      </c>
      <c r="G981" s="55">
        <v>0.3</v>
      </c>
      <c r="H981" s="42">
        <f t="shared" si="72"/>
        <v>17920</v>
      </c>
    </row>
    <row r="982" spans="1:8" x14ac:dyDescent="0.3">
      <c r="A982" s="40">
        <v>21</v>
      </c>
      <c r="B982" s="110" t="s">
        <v>117</v>
      </c>
      <c r="C982" s="40">
        <v>1</v>
      </c>
      <c r="D982" s="54">
        <v>78.569999999999993</v>
      </c>
      <c r="E982" s="40">
        <v>400</v>
      </c>
      <c r="F982" s="40">
        <f t="shared" si="71"/>
        <v>31427.999999999996</v>
      </c>
      <c r="G982" s="55">
        <v>0.3</v>
      </c>
      <c r="H982" s="42">
        <f t="shared" si="72"/>
        <v>21999.599999999995</v>
      </c>
    </row>
    <row r="983" spans="1:8" ht="72" x14ac:dyDescent="0.3">
      <c r="A983" s="40">
        <v>22</v>
      </c>
      <c r="B983" s="110" t="s">
        <v>118</v>
      </c>
      <c r="C983" s="40">
        <v>1</v>
      </c>
      <c r="D983" s="54">
        <f>(4.5*3.3)+(7.5*4.2)</f>
        <v>46.35</v>
      </c>
      <c r="E983" s="40">
        <v>150</v>
      </c>
      <c r="F983" s="40">
        <f t="shared" si="71"/>
        <v>6952.5</v>
      </c>
      <c r="G983" s="55">
        <v>0.5</v>
      </c>
      <c r="H983" s="42">
        <f t="shared" si="72"/>
        <v>3476.25</v>
      </c>
    </row>
    <row r="984" spans="1:8" ht="57.6" x14ac:dyDescent="0.3">
      <c r="A984" s="40">
        <v>23</v>
      </c>
      <c r="B984" s="110" t="s">
        <v>119</v>
      </c>
      <c r="C984" s="40">
        <v>1</v>
      </c>
      <c r="D984" s="54">
        <v>75</v>
      </c>
      <c r="E984" s="40">
        <v>150</v>
      </c>
      <c r="F984" s="40">
        <f t="shared" si="71"/>
        <v>11250</v>
      </c>
      <c r="G984" s="55">
        <v>0.5</v>
      </c>
      <c r="H984" s="42">
        <f t="shared" si="72"/>
        <v>5625</v>
      </c>
    </row>
    <row r="985" spans="1:8" ht="72" x14ac:dyDescent="0.3">
      <c r="A985" s="40">
        <v>24</v>
      </c>
      <c r="B985" s="110" t="s">
        <v>120</v>
      </c>
      <c r="C985" s="40">
        <v>1</v>
      </c>
      <c r="D985" s="54">
        <f>24+18+(3.5*8)+(3.6*27)+(92.6*12.5)</f>
        <v>1324.7</v>
      </c>
      <c r="E985" s="40">
        <v>450</v>
      </c>
      <c r="F985" s="40">
        <f t="shared" si="71"/>
        <v>596115</v>
      </c>
      <c r="G985" s="55">
        <v>0.4</v>
      </c>
      <c r="H985" s="42">
        <f t="shared" si="72"/>
        <v>357669</v>
      </c>
    </row>
    <row r="986" spans="1:8" ht="57.6" x14ac:dyDescent="0.3">
      <c r="A986" s="40">
        <v>25</v>
      </c>
      <c r="B986" s="110" t="s">
        <v>122</v>
      </c>
      <c r="C986" s="40">
        <v>1</v>
      </c>
      <c r="D986" s="54">
        <f>(19.5*4)+(12*1.5)</f>
        <v>96</v>
      </c>
      <c r="E986" s="40">
        <v>200</v>
      </c>
      <c r="F986" s="40">
        <f t="shared" si="71"/>
        <v>19200</v>
      </c>
      <c r="G986" s="55">
        <v>0.5</v>
      </c>
      <c r="H986" s="42">
        <f t="shared" ref="H986:H997" si="73">F986*(1-G986)</f>
        <v>9600</v>
      </c>
    </row>
    <row r="987" spans="1:8" ht="57.6" x14ac:dyDescent="0.3">
      <c r="A987" s="40">
        <v>26</v>
      </c>
      <c r="B987" s="110" t="s">
        <v>123</v>
      </c>
      <c r="C987" s="40">
        <v>1</v>
      </c>
      <c r="D987" s="54">
        <v>22.5</v>
      </c>
      <c r="E987" s="40">
        <v>200</v>
      </c>
      <c r="F987" s="40">
        <f t="shared" si="71"/>
        <v>4500</v>
      </c>
      <c r="G987" s="55">
        <v>0.5</v>
      </c>
      <c r="H987" s="42">
        <f t="shared" si="73"/>
        <v>2250</v>
      </c>
    </row>
    <row r="988" spans="1:8" ht="57.6" x14ac:dyDescent="0.3">
      <c r="A988" s="40">
        <v>27</v>
      </c>
      <c r="B988" s="110" t="s">
        <v>124</v>
      </c>
      <c r="C988" s="40">
        <v>1</v>
      </c>
      <c r="D988" s="54">
        <v>92.25</v>
      </c>
      <c r="E988" s="40">
        <v>200</v>
      </c>
      <c r="F988" s="40">
        <f t="shared" si="71"/>
        <v>18450</v>
      </c>
      <c r="G988" s="55">
        <v>0.5</v>
      </c>
      <c r="H988" s="42">
        <f t="shared" si="73"/>
        <v>9225</v>
      </c>
    </row>
    <row r="989" spans="1:8" ht="57.6" x14ac:dyDescent="0.3">
      <c r="A989" s="40">
        <v>28</v>
      </c>
      <c r="B989" s="110" t="s">
        <v>125</v>
      </c>
      <c r="C989" s="40">
        <v>1</v>
      </c>
      <c r="D989" s="54">
        <v>75</v>
      </c>
      <c r="E989" s="40">
        <v>200</v>
      </c>
      <c r="F989" s="40">
        <f t="shared" si="71"/>
        <v>15000</v>
      </c>
      <c r="G989" s="55">
        <v>0.5</v>
      </c>
      <c r="H989" s="42">
        <f t="shared" si="73"/>
        <v>7500</v>
      </c>
    </row>
    <row r="990" spans="1:8" ht="28.8" x14ac:dyDescent="0.3">
      <c r="A990" s="40">
        <v>29</v>
      </c>
      <c r="B990" s="110" t="s">
        <v>126</v>
      </c>
      <c r="C990" s="40">
        <v>1</v>
      </c>
      <c r="D990" s="54">
        <v>314</v>
      </c>
      <c r="E990" s="40">
        <v>400</v>
      </c>
      <c r="F990" s="40">
        <f t="shared" si="71"/>
        <v>125600</v>
      </c>
      <c r="G990" s="55">
        <v>0.3</v>
      </c>
      <c r="H990" s="42">
        <f t="shared" si="73"/>
        <v>87920</v>
      </c>
    </row>
    <row r="991" spans="1:8" ht="72" x14ac:dyDescent="0.3">
      <c r="A991" s="40">
        <v>30</v>
      </c>
      <c r="B991" s="110" t="s">
        <v>1504</v>
      </c>
      <c r="C991" s="40">
        <v>1</v>
      </c>
      <c r="D991" s="54">
        <v>42.75</v>
      </c>
      <c r="E991" s="40">
        <v>250</v>
      </c>
      <c r="F991" s="40">
        <f t="shared" si="71"/>
        <v>10687.5</v>
      </c>
      <c r="G991" s="55">
        <v>0.5</v>
      </c>
      <c r="H991" s="42">
        <f t="shared" si="73"/>
        <v>5343.75</v>
      </c>
    </row>
    <row r="992" spans="1:8" ht="72" x14ac:dyDescent="0.3">
      <c r="A992" s="40">
        <v>31</v>
      </c>
      <c r="B992" s="110" t="s">
        <v>1505</v>
      </c>
      <c r="C992" s="40">
        <v>1</v>
      </c>
      <c r="D992" s="54">
        <v>75</v>
      </c>
      <c r="E992" s="40">
        <v>150</v>
      </c>
      <c r="F992" s="40">
        <f t="shared" si="71"/>
        <v>11250</v>
      </c>
      <c r="G992" s="55">
        <v>0.4</v>
      </c>
      <c r="H992" s="42">
        <f t="shared" si="73"/>
        <v>6750</v>
      </c>
    </row>
    <row r="993" spans="1:8" ht="72" x14ac:dyDescent="0.3">
      <c r="A993" s="40">
        <v>32</v>
      </c>
      <c r="B993" s="110" t="s">
        <v>127</v>
      </c>
      <c r="C993" s="40">
        <v>1</v>
      </c>
      <c r="D993" s="54">
        <v>75</v>
      </c>
      <c r="E993" s="40">
        <v>150</v>
      </c>
      <c r="F993" s="40">
        <f t="shared" si="71"/>
        <v>11250</v>
      </c>
      <c r="G993" s="55">
        <v>0.4</v>
      </c>
      <c r="H993" s="42">
        <f t="shared" si="73"/>
        <v>6750</v>
      </c>
    </row>
    <row r="994" spans="1:8" ht="72" x14ac:dyDescent="0.3">
      <c r="A994" s="40">
        <v>33</v>
      </c>
      <c r="B994" s="110" t="s">
        <v>128</v>
      </c>
      <c r="C994" s="40">
        <v>1</v>
      </c>
      <c r="D994" s="54">
        <v>631.25</v>
      </c>
      <c r="E994" s="40">
        <v>600</v>
      </c>
      <c r="F994" s="40">
        <f t="shared" si="71"/>
        <v>378750</v>
      </c>
      <c r="G994" s="55">
        <v>0.5</v>
      </c>
      <c r="H994" s="42">
        <f t="shared" si="73"/>
        <v>189375</v>
      </c>
    </row>
    <row r="995" spans="1:8" ht="72" x14ac:dyDescent="0.3">
      <c r="A995" s="40">
        <v>34</v>
      </c>
      <c r="B995" s="110" t="s">
        <v>129</v>
      </c>
      <c r="C995" s="40">
        <v>1</v>
      </c>
      <c r="D995" s="54">
        <v>84</v>
      </c>
      <c r="E995" s="40">
        <v>150</v>
      </c>
      <c r="F995" s="40">
        <f t="shared" si="71"/>
        <v>12600</v>
      </c>
      <c r="G995" s="55">
        <v>0.4</v>
      </c>
      <c r="H995" s="42">
        <f t="shared" si="73"/>
        <v>7560</v>
      </c>
    </row>
    <row r="996" spans="1:8" ht="72" x14ac:dyDescent="0.3">
      <c r="A996" s="40">
        <v>35</v>
      </c>
      <c r="B996" s="110" t="s">
        <v>130</v>
      </c>
      <c r="C996" s="40">
        <v>1</v>
      </c>
      <c r="D996" s="54">
        <v>13.3</v>
      </c>
      <c r="E996" s="40">
        <v>150</v>
      </c>
      <c r="F996" s="40">
        <f t="shared" si="71"/>
        <v>1995</v>
      </c>
      <c r="G996" s="55">
        <v>0.3</v>
      </c>
      <c r="H996" s="42">
        <f t="shared" si="73"/>
        <v>1396.5</v>
      </c>
    </row>
    <row r="997" spans="1:8" ht="72" x14ac:dyDescent="0.3">
      <c r="A997" s="40">
        <v>36</v>
      </c>
      <c r="B997" s="110" t="s">
        <v>131</v>
      </c>
      <c r="C997" s="40">
        <v>1</v>
      </c>
      <c r="D997" s="54">
        <v>33.25</v>
      </c>
      <c r="E997" s="40">
        <v>150</v>
      </c>
      <c r="F997" s="40">
        <f t="shared" si="71"/>
        <v>4987.5</v>
      </c>
      <c r="G997" s="55">
        <v>0.3</v>
      </c>
      <c r="H997" s="42">
        <f t="shared" si="73"/>
        <v>3491.25</v>
      </c>
    </row>
    <row r="998" spans="1:8" ht="43.2" x14ac:dyDescent="0.3">
      <c r="A998" s="40">
        <v>37</v>
      </c>
      <c r="B998" s="53" t="s">
        <v>132</v>
      </c>
      <c r="C998" s="40">
        <v>1</v>
      </c>
      <c r="D998" s="41">
        <v>48</v>
      </c>
      <c r="E998" s="40">
        <v>50</v>
      </c>
      <c r="F998" s="40">
        <f t="shared" si="71"/>
        <v>2400</v>
      </c>
      <c r="G998" s="55">
        <v>0.3</v>
      </c>
      <c r="H998" s="42">
        <f>(1-G998)*F998</f>
        <v>1680</v>
      </c>
    </row>
    <row r="999" spans="1:8" ht="43.2" x14ac:dyDescent="0.3">
      <c r="A999" s="40">
        <v>38</v>
      </c>
      <c r="B999" s="53" t="s">
        <v>132</v>
      </c>
      <c r="C999" s="40">
        <v>1</v>
      </c>
      <c r="D999" s="41">
        <v>120</v>
      </c>
      <c r="E999" s="40">
        <v>50</v>
      </c>
      <c r="F999" s="40">
        <f t="shared" si="71"/>
        <v>6000</v>
      </c>
      <c r="G999" s="55">
        <v>0.4</v>
      </c>
      <c r="H999" s="42">
        <f>(1-G999)*F999</f>
        <v>3600</v>
      </c>
    </row>
    <row r="1000" spans="1:8" ht="86.4" x14ac:dyDescent="0.3">
      <c r="A1000" s="40">
        <v>39</v>
      </c>
      <c r="B1000" s="110" t="s">
        <v>133</v>
      </c>
      <c r="C1000" s="40">
        <v>1</v>
      </c>
      <c r="D1000" s="54">
        <f>2*(6.5*4.5)+(37.7*10.8)</f>
        <v>465.66000000000008</v>
      </c>
      <c r="E1000" s="40">
        <v>700</v>
      </c>
      <c r="F1000" s="40">
        <f t="shared" si="71"/>
        <v>325962.00000000006</v>
      </c>
      <c r="G1000" s="55">
        <v>0.5</v>
      </c>
      <c r="H1000" s="42">
        <f>F1000*(1-G1000)</f>
        <v>162981.00000000003</v>
      </c>
    </row>
    <row r="1001" spans="1:8" ht="72" x14ac:dyDescent="0.3">
      <c r="A1001" s="40">
        <v>40</v>
      </c>
      <c r="B1001" s="110" t="s">
        <v>1760</v>
      </c>
      <c r="C1001" s="40">
        <v>1</v>
      </c>
      <c r="D1001" s="54">
        <f>12+(3.5*5.9)+(14.5*30)+(36*5)+(12*39)+(25.6*4.5)</f>
        <v>1230.8500000000001</v>
      </c>
      <c r="E1001" s="40">
        <v>600</v>
      </c>
      <c r="F1001" s="40">
        <f t="shared" si="71"/>
        <v>738510.00000000012</v>
      </c>
      <c r="G1001" s="55">
        <v>0.4</v>
      </c>
      <c r="H1001" s="42">
        <f>F1001*(1-G1001)</f>
        <v>443106.00000000006</v>
      </c>
    </row>
    <row r="1002" spans="1:8" ht="72" x14ac:dyDescent="0.3">
      <c r="A1002" s="40">
        <v>41</v>
      </c>
      <c r="B1002" s="110" t="s">
        <v>137</v>
      </c>
      <c r="C1002" s="40">
        <v>1</v>
      </c>
      <c r="D1002" s="54">
        <f>(4.6*14.5)+(4.5*21.5)+(36*18.5)+(31*6.6)+(44.5*5.2)</f>
        <v>1265.45</v>
      </c>
      <c r="E1002" s="40">
        <v>600</v>
      </c>
      <c r="F1002" s="40">
        <f t="shared" si="71"/>
        <v>759270</v>
      </c>
      <c r="G1002" s="55">
        <v>0.4</v>
      </c>
      <c r="H1002" s="42">
        <f>F1002*(1-G1002)</f>
        <v>455562</v>
      </c>
    </row>
    <row r="1003" spans="1:8" ht="43.2" x14ac:dyDescent="0.3">
      <c r="A1003" s="40">
        <v>42</v>
      </c>
      <c r="B1003" s="53" t="s">
        <v>135</v>
      </c>
      <c r="C1003" s="40">
        <v>1</v>
      </c>
      <c r="D1003" s="41">
        <v>74</v>
      </c>
      <c r="E1003" s="40">
        <v>50</v>
      </c>
      <c r="F1003" s="40">
        <f t="shared" si="71"/>
        <v>3700</v>
      </c>
      <c r="G1003" s="55">
        <v>0.5</v>
      </c>
      <c r="H1003" s="42">
        <f>(1-G1003)*F1003</f>
        <v>1850</v>
      </c>
    </row>
    <row r="1004" spans="1:8" ht="43.2" x14ac:dyDescent="0.3">
      <c r="A1004" s="40">
        <v>43</v>
      </c>
      <c r="B1004" s="53" t="s">
        <v>138</v>
      </c>
      <c r="C1004" s="40">
        <v>1</v>
      </c>
      <c r="D1004" s="41">
        <v>73.349999999999994</v>
      </c>
      <c r="E1004" s="40">
        <v>50</v>
      </c>
      <c r="F1004" s="40">
        <f t="shared" si="71"/>
        <v>3667.4999999999995</v>
      </c>
      <c r="G1004" s="55">
        <v>0.5</v>
      </c>
      <c r="H1004" s="42">
        <f>(1-G1004)*F1004</f>
        <v>1833.7499999999998</v>
      </c>
    </row>
    <row r="1005" spans="1:8" ht="72" x14ac:dyDescent="0.3">
      <c r="A1005" s="40">
        <v>44</v>
      </c>
      <c r="B1005" s="110" t="s">
        <v>136</v>
      </c>
      <c r="C1005" s="40">
        <v>1</v>
      </c>
      <c r="D1005" s="54">
        <v>13.3</v>
      </c>
      <c r="E1005" s="40">
        <v>150</v>
      </c>
      <c r="F1005" s="40">
        <f t="shared" si="71"/>
        <v>1995</v>
      </c>
      <c r="G1005" s="55">
        <v>0.3</v>
      </c>
      <c r="H1005" s="42">
        <f>F1005*(1-G1005)</f>
        <v>1396.5</v>
      </c>
    </row>
    <row r="1006" spans="1:8" x14ac:dyDescent="0.3">
      <c r="A1006" s="53">
        <v>45</v>
      </c>
      <c r="B1006" s="110" t="s">
        <v>16</v>
      </c>
      <c r="C1006" s="40">
        <v>1</v>
      </c>
      <c r="D1006" s="54">
        <v>554</v>
      </c>
      <c r="E1006" s="40">
        <v>45</v>
      </c>
      <c r="F1006" s="40">
        <f t="shared" si="71"/>
        <v>24930</v>
      </c>
      <c r="G1006" s="74">
        <v>0.5</v>
      </c>
      <c r="H1006" s="42">
        <f>F1006*(1-G1006)</f>
        <v>12465</v>
      </c>
    </row>
    <row r="1007" spans="1:8" x14ac:dyDescent="0.3">
      <c r="A1007" s="40"/>
      <c r="B1007" s="57" t="s">
        <v>7</v>
      </c>
      <c r="C1007" s="40"/>
      <c r="D1007" s="54"/>
      <c r="E1007" s="40"/>
      <c r="F1007" s="40"/>
      <c r="G1007" s="55"/>
      <c r="H1007" s="58">
        <f>SUM(H962:H1006)</f>
        <v>8269528.8499999996</v>
      </c>
    </row>
    <row r="1008" spans="1:8" x14ac:dyDescent="0.3">
      <c r="A1008" s="40">
        <v>46</v>
      </c>
      <c r="B1008" s="57" t="s">
        <v>8</v>
      </c>
      <c r="C1008" s="40">
        <v>1</v>
      </c>
      <c r="D1008" s="54">
        <f>40631+1220+14285+41870+63689</f>
        <v>161695</v>
      </c>
      <c r="E1008" s="40">
        <v>5</v>
      </c>
      <c r="F1008" s="68">
        <f>(10000*5)+(10000*3.75)+(10000*2.5)+(131695*1.25)</f>
        <v>277118.75</v>
      </c>
      <c r="G1008" s="55">
        <v>0</v>
      </c>
      <c r="H1008" s="58">
        <f>(1-G1008)*F1008</f>
        <v>277118.75</v>
      </c>
    </row>
    <row r="1009" spans="1:8" x14ac:dyDescent="0.3">
      <c r="A1009" s="51"/>
      <c r="B1009" s="57" t="s">
        <v>9</v>
      </c>
      <c r="C1009" s="39"/>
      <c r="D1009" s="59"/>
      <c r="E1009" s="39"/>
      <c r="F1009" s="39"/>
      <c r="G1009" s="39"/>
      <c r="H1009" s="58">
        <f>H1007+H1008</f>
        <v>8546647.5999999996</v>
      </c>
    </row>
    <row r="1010" spans="1:8" x14ac:dyDescent="0.3">
      <c r="A1010" s="51"/>
      <c r="B1010" s="57"/>
      <c r="C1010" s="39"/>
      <c r="D1010" s="59"/>
      <c r="E1010" s="39"/>
      <c r="F1010" s="39"/>
      <c r="G1010" s="39"/>
      <c r="H1010" s="58"/>
    </row>
    <row r="1011" spans="1:8" x14ac:dyDescent="0.3">
      <c r="A1011" s="44"/>
      <c r="B1011" s="86">
        <v>2193</v>
      </c>
      <c r="C1011" s="44" t="s">
        <v>94</v>
      </c>
      <c r="D1011" s="73"/>
      <c r="E1011" s="46" t="s">
        <v>1988</v>
      </c>
      <c r="F1011" s="47"/>
      <c r="G1011" s="47"/>
      <c r="H1011" s="98"/>
    </row>
    <row r="1012" spans="1:8" s="3" customFormat="1" x14ac:dyDescent="0.3">
      <c r="A1012" s="39"/>
      <c r="B1012" s="107" t="s">
        <v>0</v>
      </c>
      <c r="C1012" s="107" t="s">
        <v>1</v>
      </c>
      <c r="D1012" s="108" t="s">
        <v>2</v>
      </c>
      <c r="E1012" s="109" t="s">
        <v>3</v>
      </c>
      <c r="F1012" s="109" t="s">
        <v>4</v>
      </c>
      <c r="G1012" s="109" t="s">
        <v>5</v>
      </c>
      <c r="H1012" s="106" t="s">
        <v>6</v>
      </c>
    </row>
    <row r="1013" spans="1:8" x14ac:dyDescent="0.3">
      <c r="A1013" s="40">
        <v>1</v>
      </c>
      <c r="B1013" s="110" t="s">
        <v>15</v>
      </c>
      <c r="C1013" s="40"/>
      <c r="D1013" s="41"/>
      <c r="E1013" s="40"/>
      <c r="F1013" s="40"/>
      <c r="G1013" s="55"/>
      <c r="H1013" s="42"/>
    </row>
    <row r="1014" spans="1:8" x14ac:dyDescent="0.3">
      <c r="A1014" s="40"/>
      <c r="B1014" s="57" t="s">
        <v>7</v>
      </c>
      <c r="C1014" s="40"/>
      <c r="D1014" s="54"/>
      <c r="E1014" s="40"/>
      <c r="F1014" s="40"/>
      <c r="G1014" s="55"/>
      <c r="H1014" s="58">
        <f>H1011</f>
        <v>0</v>
      </c>
    </row>
    <row r="1015" spans="1:8" x14ac:dyDescent="0.3">
      <c r="A1015" s="40">
        <v>2</v>
      </c>
      <c r="B1015" s="57" t="s">
        <v>8</v>
      </c>
      <c r="C1015" s="40">
        <v>1</v>
      </c>
      <c r="D1015" s="54">
        <v>8422</v>
      </c>
      <c r="E1015" s="40">
        <v>5</v>
      </c>
      <c r="F1015" s="40">
        <f>C1015*D1015*E1015</f>
        <v>42110</v>
      </c>
      <c r="G1015" s="55">
        <v>0</v>
      </c>
      <c r="H1015" s="58">
        <f>(1-G1015)*F1015</f>
        <v>42110</v>
      </c>
    </row>
    <row r="1016" spans="1:8" x14ac:dyDescent="0.3">
      <c r="A1016" s="51"/>
      <c r="B1016" s="57" t="s">
        <v>9</v>
      </c>
      <c r="C1016" s="39"/>
      <c r="D1016" s="59"/>
      <c r="E1016" s="39"/>
      <c r="F1016" s="39"/>
      <c r="G1016" s="39"/>
      <c r="H1016" s="58">
        <f>H1014+H1015</f>
        <v>42110</v>
      </c>
    </row>
    <row r="1017" spans="1:8" x14ac:dyDescent="0.3">
      <c r="A1017" s="40"/>
      <c r="B1017" s="40"/>
      <c r="C1017" s="40"/>
      <c r="D1017" s="41"/>
      <c r="E1017" s="40"/>
      <c r="F1017" s="40"/>
      <c r="G1017" s="40"/>
      <c r="H1017" s="42"/>
    </row>
    <row r="1018" spans="1:8" x14ac:dyDescent="0.3">
      <c r="A1018" s="43"/>
      <c r="B1018" s="62" t="s">
        <v>985</v>
      </c>
      <c r="C1018" s="44" t="s">
        <v>1912</v>
      </c>
      <c r="D1018" s="73"/>
      <c r="E1018" s="44" t="s">
        <v>986</v>
      </c>
      <c r="F1018" s="60"/>
      <c r="G1018" s="60"/>
      <c r="H1018" s="48"/>
    </row>
    <row r="1019" spans="1:8" x14ac:dyDescent="0.3">
      <c r="A1019" s="39"/>
      <c r="B1019" s="107" t="s">
        <v>10</v>
      </c>
      <c r="C1019" s="107" t="s">
        <v>1</v>
      </c>
      <c r="D1019" s="108" t="s">
        <v>2</v>
      </c>
      <c r="E1019" s="109" t="s">
        <v>3</v>
      </c>
      <c r="F1019" s="109" t="s">
        <v>4</v>
      </c>
      <c r="G1019" s="109" t="s">
        <v>5</v>
      </c>
      <c r="H1019" s="106" t="s">
        <v>6</v>
      </c>
    </row>
    <row r="1020" spans="1:8" ht="115.2" x14ac:dyDescent="0.3">
      <c r="A1020" s="53">
        <v>1</v>
      </c>
      <c r="B1020" s="53" t="s">
        <v>1766</v>
      </c>
      <c r="C1020" s="40">
        <v>1</v>
      </c>
      <c r="D1020" s="91">
        <v>461.7</v>
      </c>
      <c r="E1020" s="40">
        <v>450</v>
      </c>
      <c r="F1020" s="40">
        <f t="shared" ref="F1020:F1028" si="74">C1020*D1020*E1020</f>
        <v>207765</v>
      </c>
      <c r="G1020" s="55">
        <v>0.4</v>
      </c>
      <c r="H1020" s="42">
        <f t="shared" ref="H1020:H1028" si="75">F1020*(1-G1020)</f>
        <v>124659</v>
      </c>
    </row>
    <row r="1021" spans="1:8" ht="115.2" x14ac:dyDescent="0.3">
      <c r="A1021" s="53">
        <v>2</v>
      </c>
      <c r="B1021" s="53" t="s">
        <v>1767</v>
      </c>
      <c r="C1021" s="40">
        <v>1</v>
      </c>
      <c r="D1021" s="91">
        <v>307.8</v>
      </c>
      <c r="E1021" s="40">
        <v>450</v>
      </c>
      <c r="F1021" s="40">
        <f t="shared" si="74"/>
        <v>138510</v>
      </c>
      <c r="G1021" s="55">
        <v>0.4</v>
      </c>
      <c r="H1021" s="42">
        <f t="shared" si="75"/>
        <v>83106</v>
      </c>
    </row>
    <row r="1022" spans="1:8" ht="129.6" x14ac:dyDescent="0.3">
      <c r="A1022" s="53">
        <v>3</v>
      </c>
      <c r="B1022" s="53" t="s">
        <v>1587</v>
      </c>
      <c r="C1022" s="40">
        <v>1</v>
      </c>
      <c r="D1022" s="91">
        <v>110.08</v>
      </c>
      <c r="E1022" s="40">
        <v>200</v>
      </c>
      <c r="F1022" s="40">
        <f t="shared" si="74"/>
        <v>22016</v>
      </c>
      <c r="G1022" s="55">
        <v>0.5</v>
      </c>
      <c r="H1022" s="42">
        <f t="shared" si="75"/>
        <v>11008</v>
      </c>
    </row>
    <row r="1023" spans="1:8" ht="115.2" x14ac:dyDescent="0.3">
      <c r="A1023" s="53">
        <v>4</v>
      </c>
      <c r="B1023" s="53" t="s">
        <v>1768</v>
      </c>
      <c r="C1023" s="40">
        <v>1</v>
      </c>
      <c r="D1023" s="91">
        <v>115.2</v>
      </c>
      <c r="E1023" s="40">
        <v>400</v>
      </c>
      <c r="F1023" s="40">
        <f t="shared" si="74"/>
        <v>46080</v>
      </c>
      <c r="G1023" s="55">
        <v>0.5</v>
      </c>
      <c r="H1023" s="42">
        <f t="shared" si="75"/>
        <v>23040</v>
      </c>
    </row>
    <row r="1024" spans="1:8" ht="129.6" x14ac:dyDescent="0.3">
      <c r="A1024" s="53">
        <v>5</v>
      </c>
      <c r="B1024" s="53" t="s">
        <v>1588</v>
      </c>
      <c r="C1024" s="40">
        <v>1</v>
      </c>
      <c r="D1024" s="91">
        <v>1382.55</v>
      </c>
      <c r="E1024" s="40">
        <v>500</v>
      </c>
      <c r="F1024" s="40">
        <f t="shared" si="74"/>
        <v>691275</v>
      </c>
      <c r="G1024" s="55">
        <v>0.6</v>
      </c>
      <c r="H1024" s="42">
        <f t="shared" si="75"/>
        <v>276510</v>
      </c>
    </row>
    <row r="1025" spans="1:8" ht="129.6" x14ac:dyDescent="0.3">
      <c r="A1025" s="53">
        <v>6</v>
      </c>
      <c r="B1025" s="53" t="s">
        <v>1589</v>
      </c>
      <c r="C1025" s="40">
        <v>1</v>
      </c>
      <c r="D1025" s="91">
        <v>669.75</v>
      </c>
      <c r="E1025" s="40">
        <v>400</v>
      </c>
      <c r="F1025" s="40">
        <f t="shared" si="74"/>
        <v>267900</v>
      </c>
      <c r="G1025" s="55">
        <v>0.6</v>
      </c>
      <c r="H1025" s="42">
        <f t="shared" si="75"/>
        <v>107160</v>
      </c>
    </row>
    <row r="1026" spans="1:8" ht="57.6" x14ac:dyDescent="0.3">
      <c r="A1026" s="53">
        <v>7</v>
      </c>
      <c r="B1026" s="53" t="s">
        <v>1369</v>
      </c>
      <c r="C1026" s="40">
        <v>1</v>
      </c>
      <c r="D1026" s="91">
        <v>129.19999999999999</v>
      </c>
      <c r="E1026" s="40">
        <v>80</v>
      </c>
      <c r="F1026" s="40">
        <f t="shared" si="74"/>
        <v>10336</v>
      </c>
      <c r="G1026" s="55">
        <v>0.5</v>
      </c>
      <c r="H1026" s="42">
        <f t="shared" si="75"/>
        <v>5168</v>
      </c>
    </row>
    <row r="1027" spans="1:8" ht="43.2" x14ac:dyDescent="0.3">
      <c r="A1027" s="53">
        <v>8</v>
      </c>
      <c r="B1027" s="53" t="s">
        <v>1370</v>
      </c>
      <c r="C1027" s="40">
        <v>1</v>
      </c>
      <c r="D1027" s="91">
        <v>130</v>
      </c>
      <c r="E1027" s="40">
        <v>50</v>
      </c>
      <c r="F1027" s="40">
        <f t="shared" si="74"/>
        <v>6500</v>
      </c>
      <c r="G1027" s="55">
        <v>0.5</v>
      </c>
      <c r="H1027" s="42">
        <f t="shared" si="75"/>
        <v>3250</v>
      </c>
    </row>
    <row r="1028" spans="1:8" ht="28.8" x14ac:dyDescent="0.3">
      <c r="A1028" s="53">
        <v>9</v>
      </c>
      <c r="B1028" s="53" t="s">
        <v>1465</v>
      </c>
      <c r="C1028" s="40">
        <v>1</v>
      </c>
      <c r="D1028" s="91">
        <v>271</v>
      </c>
      <c r="E1028" s="40">
        <v>45</v>
      </c>
      <c r="F1028" s="40">
        <f t="shared" si="74"/>
        <v>12195</v>
      </c>
      <c r="G1028" s="55">
        <v>0.5</v>
      </c>
      <c r="H1028" s="42">
        <f t="shared" si="75"/>
        <v>6097.5</v>
      </c>
    </row>
    <row r="1029" spans="1:8" x14ac:dyDescent="0.3">
      <c r="A1029" s="53"/>
      <c r="B1029" s="57" t="s">
        <v>7</v>
      </c>
      <c r="C1029" s="40"/>
      <c r="D1029" s="54"/>
      <c r="E1029" s="40"/>
      <c r="F1029" s="40"/>
      <c r="G1029" s="55"/>
      <c r="H1029" s="58">
        <f>SUM(H1020:H1028)</f>
        <v>639998.5</v>
      </c>
    </row>
    <row r="1030" spans="1:8" s="3" customFormat="1" x14ac:dyDescent="0.3">
      <c r="A1030" s="53">
        <v>10</v>
      </c>
      <c r="B1030" s="57" t="s">
        <v>8</v>
      </c>
      <c r="C1030" s="40">
        <v>1</v>
      </c>
      <c r="D1030" s="54">
        <v>18373</v>
      </c>
      <c r="E1030" s="40">
        <v>5</v>
      </c>
      <c r="F1030" s="68">
        <f>(10000*5)+(8373*3.75)</f>
        <v>81398.75</v>
      </c>
      <c r="G1030" s="55">
        <v>0</v>
      </c>
      <c r="H1030" s="58">
        <f>(1-G1030)*F1030</f>
        <v>81398.75</v>
      </c>
    </row>
    <row r="1031" spans="1:8" x14ac:dyDescent="0.3">
      <c r="A1031" s="53"/>
      <c r="B1031" s="57" t="s">
        <v>9</v>
      </c>
      <c r="C1031" s="39"/>
      <c r="D1031" s="59"/>
      <c r="E1031" s="39"/>
      <c r="F1031" s="39"/>
      <c r="G1031" s="39"/>
      <c r="H1031" s="58">
        <f>H1029+H1030</f>
        <v>721397.25</v>
      </c>
    </row>
    <row r="1032" spans="1:8" x14ac:dyDescent="0.3">
      <c r="A1032" s="53"/>
      <c r="B1032" s="57"/>
      <c r="C1032" s="39"/>
      <c r="D1032" s="59"/>
      <c r="E1032" s="39"/>
      <c r="F1032" s="39"/>
      <c r="G1032" s="39"/>
      <c r="H1032" s="58"/>
    </row>
    <row r="1033" spans="1:8" x14ac:dyDescent="0.3">
      <c r="A1033" s="44"/>
      <c r="B1033" s="86" t="s">
        <v>139</v>
      </c>
      <c r="C1033" s="44" t="s">
        <v>140</v>
      </c>
      <c r="D1033" s="73"/>
      <c r="E1033" s="46" t="s">
        <v>141</v>
      </c>
      <c r="F1033" s="47"/>
      <c r="G1033" s="47"/>
      <c r="H1033" s="98"/>
    </row>
    <row r="1034" spans="1:8" x14ac:dyDescent="0.3">
      <c r="A1034" s="39"/>
      <c r="B1034" s="107" t="s">
        <v>0</v>
      </c>
      <c r="C1034" s="107" t="s">
        <v>1</v>
      </c>
      <c r="D1034" s="108" t="s">
        <v>2</v>
      </c>
      <c r="E1034" s="109" t="s">
        <v>3</v>
      </c>
      <c r="F1034" s="109" t="s">
        <v>4</v>
      </c>
      <c r="G1034" s="109" t="s">
        <v>5</v>
      </c>
      <c r="H1034" s="106" t="s">
        <v>6</v>
      </c>
    </row>
    <row r="1035" spans="1:8" ht="72" x14ac:dyDescent="0.3">
      <c r="A1035" s="40">
        <v>1</v>
      </c>
      <c r="B1035" s="110" t="s">
        <v>142</v>
      </c>
      <c r="C1035" s="40">
        <v>1</v>
      </c>
      <c r="D1035" s="54">
        <f>(3.3*3.6)+(9*5.6)+(17.3*6)+(11*5.7)+(17.2*8.3)+4</f>
        <v>375.54000000000008</v>
      </c>
      <c r="E1035" s="40">
        <v>400</v>
      </c>
      <c r="F1035" s="40">
        <f t="shared" ref="F1035:F1048" si="76">C1035*D1035*E1035</f>
        <v>150216.00000000003</v>
      </c>
      <c r="G1035" s="55">
        <v>0.3</v>
      </c>
      <c r="H1035" s="42">
        <f>F1035*(1-G1035)</f>
        <v>105151.20000000001</v>
      </c>
    </row>
    <row r="1036" spans="1:8" ht="57.6" x14ac:dyDescent="0.3">
      <c r="A1036" s="40">
        <v>2</v>
      </c>
      <c r="B1036" s="110" t="s">
        <v>1531</v>
      </c>
      <c r="C1036" s="40">
        <v>1</v>
      </c>
      <c r="D1036" s="54">
        <v>2185</v>
      </c>
      <c r="E1036" s="40">
        <v>400</v>
      </c>
      <c r="F1036" s="40">
        <f t="shared" si="76"/>
        <v>874000</v>
      </c>
      <c r="G1036" s="55">
        <v>0.2</v>
      </c>
      <c r="H1036" s="42">
        <f>F1036*(1-G1036)</f>
        <v>699200</v>
      </c>
    </row>
    <row r="1037" spans="1:8" ht="57.6" x14ac:dyDescent="0.3">
      <c r="A1037" s="40">
        <v>3</v>
      </c>
      <c r="B1037" s="110" t="s">
        <v>147</v>
      </c>
      <c r="C1037" s="40">
        <v>1</v>
      </c>
      <c r="D1037" s="54">
        <v>5625</v>
      </c>
      <c r="E1037" s="40">
        <v>450</v>
      </c>
      <c r="F1037" s="40">
        <f t="shared" si="76"/>
        <v>2531250</v>
      </c>
      <c r="G1037" s="55">
        <v>0.2</v>
      </c>
      <c r="H1037" s="42">
        <f>F1037*(1-G1037)</f>
        <v>2025000</v>
      </c>
    </row>
    <row r="1038" spans="1:8" ht="57.6" x14ac:dyDescent="0.3">
      <c r="A1038" s="40">
        <v>4</v>
      </c>
      <c r="B1038" s="110" t="s">
        <v>1532</v>
      </c>
      <c r="C1038" s="40">
        <v>1</v>
      </c>
      <c r="D1038" s="54">
        <v>2128</v>
      </c>
      <c r="E1038" s="40">
        <v>400</v>
      </c>
      <c r="F1038" s="40">
        <f t="shared" si="76"/>
        <v>851200</v>
      </c>
      <c r="G1038" s="55">
        <v>0.2</v>
      </c>
      <c r="H1038" s="42">
        <f>F1038*(1-G1038)</f>
        <v>680960</v>
      </c>
    </row>
    <row r="1039" spans="1:8" ht="28.8" x14ac:dyDescent="0.3">
      <c r="A1039" s="40">
        <v>5</v>
      </c>
      <c r="B1039" s="53" t="s">
        <v>143</v>
      </c>
      <c r="C1039" s="40">
        <v>1</v>
      </c>
      <c r="D1039" s="41">
        <v>34.200000000000003</v>
      </c>
      <c r="E1039" s="40">
        <v>50</v>
      </c>
      <c r="F1039" s="40">
        <f t="shared" si="76"/>
        <v>1710.0000000000002</v>
      </c>
      <c r="G1039" s="55">
        <v>0.4</v>
      </c>
      <c r="H1039" s="42">
        <f>(1-G1039)*F1039</f>
        <v>1026</v>
      </c>
    </row>
    <row r="1040" spans="1:8" ht="57.6" x14ac:dyDescent="0.3">
      <c r="A1040" s="40">
        <v>6</v>
      </c>
      <c r="B1040" s="110" t="s">
        <v>144</v>
      </c>
      <c r="C1040" s="40">
        <v>1</v>
      </c>
      <c r="D1040" s="54">
        <v>24</v>
      </c>
      <c r="E1040" s="40">
        <v>100</v>
      </c>
      <c r="F1040" s="40">
        <f t="shared" si="76"/>
        <v>2400</v>
      </c>
      <c r="G1040" s="55">
        <v>0.5</v>
      </c>
      <c r="H1040" s="42">
        <f>F1040*(1-G1040)</f>
        <v>1200</v>
      </c>
    </row>
    <row r="1041" spans="1:8" ht="43.2" x14ac:dyDescent="0.3">
      <c r="A1041" s="40">
        <v>7</v>
      </c>
      <c r="B1041" s="110" t="s">
        <v>145</v>
      </c>
      <c r="C1041" s="40">
        <v>1</v>
      </c>
      <c r="D1041" s="54">
        <v>25.2</v>
      </c>
      <c r="E1041" s="40">
        <v>200</v>
      </c>
      <c r="F1041" s="40">
        <f t="shared" si="76"/>
        <v>5040</v>
      </c>
      <c r="G1041" s="55">
        <v>0.5</v>
      </c>
      <c r="H1041" s="42">
        <f>F1041*(1-G1041)</f>
        <v>2520</v>
      </c>
    </row>
    <row r="1042" spans="1:8" ht="72" x14ac:dyDescent="0.3">
      <c r="A1042" s="40">
        <v>8</v>
      </c>
      <c r="B1042" s="110" t="s">
        <v>146</v>
      </c>
      <c r="C1042" s="40">
        <v>1</v>
      </c>
      <c r="D1042" s="54">
        <v>62.5</v>
      </c>
      <c r="E1042" s="40">
        <v>200</v>
      </c>
      <c r="F1042" s="40">
        <f t="shared" si="76"/>
        <v>12500</v>
      </c>
      <c r="G1042" s="55">
        <v>0.5</v>
      </c>
      <c r="H1042" s="42">
        <f>F1042*(1-G1042)</f>
        <v>6250</v>
      </c>
    </row>
    <row r="1043" spans="1:8" ht="28.8" x14ac:dyDescent="0.3">
      <c r="A1043" s="40">
        <v>9</v>
      </c>
      <c r="B1043" s="53" t="s">
        <v>148</v>
      </c>
      <c r="C1043" s="40">
        <v>1</v>
      </c>
      <c r="D1043" s="41">
        <v>87.5</v>
      </c>
      <c r="E1043" s="40">
        <v>50</v>
      </c>
      <c r="F1043" s="40">
        <f t="shared" si="76"/>
        <v>4375</v>
      </c>
      <c r="G1043" s="55">
        <v>0.4</v>
      </c>
      <c r="H1043" s="42">
        <f>(1-G1043)*F1043</f>
        <v>2625</v>
      </c>
    </row>
    <row r="1044" spans="1:8" ht="72" x14ac:dyDescent="0.3">
      <c r="A1044" s="40">
        <v>10</v>
      </c>
      <c r="B1044" s="110" t="s">
        <v>1591</v>
      </c>
      <c r="C1044" s="40">
        <v>2</v>
      </c>
      <c r="D1044" s="54">
        <v>84</v>
      </c>
      <c r="E1044" s="40">
        <v>200</v>
      </c>
      <c r="F1044" s="40">
        <f t="shared" si="76"/>
        <v>33600</v>
      </c>
      <c r="G1044" s="55">
        <v>0.5</v>
      </c>
      <c r="H1044" s="42">
        <f>F1044*(1-G1044)</f>
        <v>16800</v>
      </c>
    </row>
    <row r="1045" spans="1:8" ht="43.2" x14ac:dyDescent="0.3">
      <c r="A1045" s="113">
        <v>11</v>
      </c>
      <c r="B1045" s="110" t="s">
        <v>1533</v>
      </c>
      <c r="C1045" s="40">
        <v>1</v>
      </c>
      <c r="D1045" s="54">
        <v>25.2</v>
      </c>
      <c r="E1045" s="40">
        <v>200</v>
      </c>
      <c r="F1045" s="40">
        <f t="shared" si="76"/>
        <v>5040</v>
      </c>
      <c r="G1045" s="55">
        <v>0.5</v>
      </c>
      <c r="H1045" s="42">
        <f>F1045*(1-G1045)</f>
        <v>2520</v>
      </c>
    </row>
    <row r="1046" spans="1:8" x14ac:dyDescent="0.3">
      <c r="A1046" s="113">
        <v>12</v>
      </c>
      <c r="B1046" s="110" t="s">
        <v>150</v>
      </c>
      <c r="C1046" s="40">
        <v>1</v>
      </c>
      <c r="D1046" s="54">
        <v>1</v>
      </c>
      <c r="E1046" s="40">
        <v>500</v>
      </c>
      <c r="F1046" s="40">
        <f t="shared" si="76"/>
        <v>500</v>
      </c>
      <c r="G1046" s="55">
        <v>0.5</v>
      </c>
      <c r="H1046" s="42">
        <f>F1046*(1-G1046)</f>
        <v>250</v>
      </c>
    </row>
    <row r="1047" spans="1:8" x14ac:dyDescent="0.3">
      <c r="A1047" s="113">
        <v>13</v>
      </c>
      <c r="B1047" s="110" t="s">
        <v>151</v>
      </c>
      <c r="C1047" s="40">
        <v>1</v>
      </c>
      <c r="D1047" s="54">
        <v>1</v>
      </c>
      <c r="E1047" s="40">
        <v>400</v>
      </c>
      <c r="F1047" s="40">
        <f t="shared" si="76"/>
        <v>400</v>
      </c>
      <c r="G1047" s="55">
        <v>0.5</v>
      </c>
      <c r="H1047" s="42">
        <f>F1047*(1-G1047)</f>
        <v>200</v>
      </c>
    </row>
    <row r="1048" spans="1:8" ht="72" x14ac:dyDescent="0.3">
      <c r="A1048" s="40">
        <v>14</v>
      </c>
      <c r="B1048" s="110" t="s">
        <v>149</v>
      </c>
      <c r="C1048" s="40">
        <v>1</v>
      </c>
      <c r="D1048" s="54">
        <v>7.5</v>
      </c>
      <c r="E1048" s="40">
        <v>100</v>
      </c>
      <c r="F1048" s="40">
        <f t="shared" si="76"/>
        <v>750</v>
      </c>
      <c r="G1048" s="55">
        <v>0.5</v>
      </c>
      <c r="H1048" s="42">
        <f>F1048*(1-G1048)</f>
        <v>375</v>
      </c>
    </row>
    <row r="1049" spans="1:8" x14ac:dyDescent="0.3">
      <c r="A1049" s="40"/>
      <c r="B1049" s="57" t="s">
        <v>7</v>
      </c>
      <c r="C1049" s="40"/>
      <c r="D1049" s="54"/>
      <c r="E1049" s="40"/>
      <c r="F1049" s="40"/>
      <c r="G1049" s="55"/>
      <c r="H1049" s="58">
        <f>SUM(H1035:H1048)</f>
        <v>3544077.2</v>
      </c>
    </row>
    <row r="1050" spans="1:8" x14ac:dyDescent="0.3">
      <c r="A1050" s="40">
        <v>15</v>
      </c>
      <c r="B1050" s="57" t="s">
        <v>8</v>
      </c>
      <c r="C1050" s="40">
        <v>1</v>
      </c>
      <c r="D1050" s="54">
        <v>41918</v>
      </c>
      <c r="E1050" s="40">
        <v>5</v>
      </c>
      <c r="F1050" s="68">
        <f>(10000*5)+(10000*3.75)+(10000*2.5)+(11918*1.25)</f>
        <v>127397.5</v>
      </c>
      <c r="G1050" s="55">
        <v>0</v>
      </c>
      <c r="H1050" s="58">
        <f>(1-G1050)*F1050</f>
        <v>127397.5</v>
      </c>
    </row>
    <row r="1051" spans="1:8" x14ac:dyDescent="0.3">
      <c r="A1051" s="51"/>
      <c r="B1051" s="57" t="s">
        <v>9</v>
      </c>
      <c r="C1051" s="39"/>
      <c r="D1051" s="59"/>
      <c r="E1051" s="39"/>
      <c r="F1051" s="39"/>
      <c r="G1051" s="39"/>
      <c r="H1051" s="58">
        <f>H1049+H1050</f>
        <v>3671474.7</v>
      </c>
    </row>
    <row r="1052" spans="1:8" x14ac:dyDescent="0.3">
      <c r="A1052" s="40"/>
      <c r="B1052" s="40"/>
      <c r="C1052" s="40"/>
      <c r="D1052" s="41"/>
      <c r="E1052" s="40"/>
      <c r="F1052" s="40"/>
      <c r="G1052" s="40"/>
      <c r="H1052" s="42"/>
    </row>
    <row r="1053" spans="1:8" x14ac:dyDescent="0.3">
      <c r="A1053" s="44"/>
      <c r="B1053" s="86" t="s">
        <v>152</v>
      </c>
      <c r="C1053" s="44" t="s">
        <v>153</v>
      </c>
      <c r="D1053" s="73"/>
      <c r="E1053" s="46"/>
      <c r="F1053" s="47" t="s">
        <v>141</v>
      </c>
      <c r="G1053" s="47"/>
      <c r="H1053" s="98"/>
    </row>
    <row r="1054" spans="1:8" x14ac:dyDescent="0.3">
      <c r="A1054" s="39"/>
      <c r="B1054" s="107" t="s">
        <v>0</v>
      </c>
      <c r="C1054" s="107" t="s">
        <v>1</v>
      </c>
      <c r="D1054" s="108" t="s">
        <v>2</v>
      </c>
      <c r="E1054" s="109" t="s">
        <v>3</v>
      </c>
      <c r="F1054" s="109" t="s">
        <v>4</v>
      </c>
      <c r="G1054" s="109" t="s">
        <v>5</v>
      </c>
      <c r="H1054" s="106" t="s">
        <v>6</v>
      </c>
    </row>
    <row r="1055" spans="1:8" ht="72" x14ac:dyDescent="0.3">
      <c r="A1055" s="40">
        <v>1</v>
      </c>
      <c r="B1055" s="110" t="s">
        <v>1652</v>
      </c>
      <c r="C1055" s="40">
        <v>1</v>
      </c>
      <c r="D1055" s="54">
        <v>352.5</v>
      </c>
      <c r="E1055" s="40">
        <v>450</v>
      </c>
      <c r="F1055" s="40">
        <f>C1055*D1055*E1055</f>
        <v>158625</v>
      </c>
      <c r="G1055" s="55">
        <v>0.4</v>
      </c>
      <c r="H1055" s="42">
        <f>F1055*(1-G1055)</f>
        <v>95175</v>
      </c>
    </row>
    <row r="1056" spans="1:8" x14ac:dyDescent="0.3">
      <c r="A1056" s="40"/>
      <c r="B1056" s="57" t="s">
        <v>7</v>
      </c>
      <c r="C1056" s="40"/>
      <c r="D1056" s="54"/>
      <c r="E1056" s="40"/>
      <c r="F1056" s="40"/>
      <c r="G1056" s="55"/>
      <c r="H1056" s="58">
        <f>SUM(H1055)</f>
        <v>95175</v>
      </c>
    </row>
    <row r="1057" spans="1:8" x14ac:dyDescent="0.3">
      <c r="A1057" s="40">
        <v>2</v>
      </c>
      <c r="B1057" s="57" t="s">
        <v>8</v>
      </c>
      <c r="C1057" s="40">
        <v>1</v>
      </c>
      <c r="D1057" s="54">
        <v>10345</v>
      </c>
      <c r="E1057" s="40">
        <v>5</v>
      </c>
      <c r="F1057" s="68">
        <f>10000*E1057+(3.75*345)</f>
        <v>51293.75</v>
      </c>
      <c r="G1057" s="55">
        <v>0</v>
      </c>
      <c r="H1057" s="58">
        <f>(1-G1057)*F1057</f>
        <v>51293.75</v>
      </c>
    </row>
    <row r="1058" spans="1:8" x14ac:dyDescent="0.3">
      <c r="A1058" s="51"/>
      <c r="B1058" s="57" t="s">
        <v>9</v>
      </c>
      <c r="C1058" s="39"/>
      <c r="D1058" s="59"/>
      <c r="E1058" s="39"/>
      <c r="F1058" s="39"/>
      <c r="G1058" s="39"/>
      <c r="H1058" s="58">
        <f>H1056+H1057</f>
        <v>146468.75</v>
      </c>
    </row>
    <row r="1059" spans="1:8" x14ac:dyDescent="0.3">
      <c r="A1059" s="51"/>
      <c r="B1059" s="57"/>
      <c r="C1059" s="39"/>
      <c r="D1059" s="59"/>
      <c r="E1059" s="39"/>
      <c r="F1059" s="39"/>
      <c r="G1059" s="39"/>
      <c r="H1059" s="58"/>
    </row>
    <row r="1060" spans="1:8" x14ac:dyDescent="0.3">
      <c r="A1060" s="44"/>
      <c r="B1060" s="62">
        <v>2509</v>
      </c>
      <c r="C1060" s="44" t="s">
        <v>1911</v>
      </c>
      <c r="D1060" s="73"/>
      <c r="E1060" s="46" t="s">
        <v>296</v>
      </c>
      <c r="F1060" s="47"/>
      <c r="G1060" s="47"/>
      <c r="H1060" s="98"/>
    </row>
    <row r="1061" spans="1:8" x14ac:dyDescent="0.3">
      <c r="A1061" s="39"/>
      <c r="B1061" s="107" t="s">
        <v>0</v>
      </c>
      <c r="C1061" s="107" t="s">
        <v>1</v>
      </c>
      <c r="D1061" s="108" t="s">
        <v>2</v>
      </c>
      <c r="E1061" s="109" t="s">
        <v>3</v>
      </c>
      <c r="F1061" s="109" t="s">
        <v>4</v>
      </c>
      <c r="G1061" s="109" t="s">
        <v>5</v>
      </c>
      <c r="H1061" s="106" t="s">
        <v>6</v>
      </c>
    </row>
    <row r="1062" spans="1:8" x14ac:dyDescent="0.3">
      <c r="A1062" s="40">
        <v>1</v>
      </c>
      <c r="B1062" s="110" t="s">
        <v>15</v>
      </c>
      <c r="C1062" s="40"/>
      <c r="D1062" s="41"/>
      <c r="E1062" s="40"/>
      <c r="F1062" s="40"/>
      <c r="G1062" s="55"/>
      <c r="H1062" s="42"/>
    </row>
    <row r="1063" spans="1:8" x14ac:dyDescent="0.3">
      <c r="A1063" s="40"/>
      <c r="B1063" s="57" t="s">
        <v>7</v>
      </c>
      <c r="C1063" s="40"/>
      <c r="D1063" s="54"/>
      <c r="E1063" s="40"/>
      <c r="F1063" s="40"/>
      <c r="G1063" s="55"/>
      <c r="H1063" s="58">
        <f>H1060</f>
        <v>0</v>
      </c>
    </row>
    <row r="1064" spans="1:8" x14ac:dyDescent="0.3">
      <c r="A1064" s="40">
        <v>2</v>
      </c>
      <c r="B1064" s="57" t="s">
        <v>8</v>
      </c>
      <c r="C1064" s="40">
        <v>1</v>
      </c>
      <c r="D1064" s="54">
        <v>728</v>
      </c>
      <c r="E1064" s="40">
        <v>5</v>
      </c>
      <c r="F1064" s="40">
        <f>C1064*D1064*E1064</f>
        <v>3640</v>
      </c>
      <c r="G1064" s="55">
        <v>0</v>
      </c>
      <c r="H1064" s="58">
        <f>(1-G1064)*F1064</f>
        <v>3640</v>
      </c>
    </row>
    <row r="1065" spans="1:8" x14ac:dyDescent="0.3">
      <c r="A1065" s="51"/>
      <c r="B1065" s="57" t="s">
        <v>9</v>
      </c>
      <c r="C1065" s="39"/>
      <c r="D1065" s="59"/>
      <c r="E1065" s="39"/>
      <c r="F1065" s="39"/>
      <c r="G1065" s="39"/>
      <c r="H1065" s="58">
        <f>SUM(H1063:H1064)</f>
        <v>3640</v>
      </c>
    </row>
    <row r="1066" spans="1:8" ht="43.2" x14ac:dyDescent="0.3">
      <c r="A1066" s="43"/>
      <c r="B1066" s="62">
        <v>2510</v>
      </c>
      <c r="C1066" s="86" t="s">
        <v>515</v>
      </c>
      <c r="D1066" s="73" t="s">
        <v>516</v>
      </c>
      <c r="E1066" s="46"/>
      <c r="F1066" s="63"/>
      <c r="G1066" s="47"/>
      <c r="H1066" s="48"/>
    </row>
    <row r="1067" spans="1:8" x14ac:dyDescent="0.3">
      <c r="A1067" s="39"/>
      <c r="B1067" s="147" t="s">
        <v>0</v>
      </c>
      <c r="C1067" s="107" t="s">
        <v>1</v>
      </c>
      <c r="D1067" s="108" t="s">
        <v>2</v>
      </c>
      <c r="E1067" s="109" t="s">
        <v>3</v>
      </c>
      <c r="F1067" s="122" t="s">
        <v>4</v>
      </c>
      <c r="G1067" s="109" t="s">
        <v>5</v>
      </c>
      <c r="H1067" s="106" t="s">
        <v>6</v>
      </c>
    </row>
    <row r="1068" spans="1:8" ht="100.8" x14ac:dyDescent="0.3">
      <c r="A1068" s="40">
        <v>1</v>
      </c>
      <c r="B1068" s="144" t="s">
        <v>1653</v>
      </c>
      <c r="C1068" s="40">
        <v>1</v>
      </c>
      <c r="D1068" s="54">
        <v>147</v>
      </c>
      <c r="E1068" s="40">
        <v>600</v>
      </c>
      <c r="F1068" s="68">
        <f>C1068*D1068*E1068</f>
        <v>88200</v>
      </c>
      <c r="G1068" s="55">
        <v>0.6</v>
      </c>
      <c r="H1068" s="42">
        <f>F1068*(1-G1068)</f>
        <v>35280</v>
      </c>
    </row>
    <row r="1069" spans="1:8" ht="57.6" x14ac:dyDescent="0.3">
      <c r="A1069" s="40">
        <v>2</v>
      </c>
      <c r="B1069" s="144" t="s">
        <v>517</v>
      </c>
      <c r="C1069" s="40">
        <v>1</v>
      </c>
      <c r="D1069" s="54">
        <v>313</v>
      </c>
      <c r="E1069" s="40">
        <v>250</v>
      </c>
      <c r="F1069" s="68">
        <f>C1069*D1069*E1069</f>
        <v>78250</v>
      </c>
      <c r="G1069" s="55">
        <v>0.5</v>
      </c>
      <c r="H1069" s="42">
        <f>F1069*(1-G1069)</f>
        <v>39125</v>
      </c>
    </row>
    <row r="1070" spans="1:8" ht="57.6" x14ac:dyDescent="0.3">
      <c r="A1070" s="40">
        <v>3</v>
      </c>
      <c r="B1070" s="144" t="s">
        <v>518</v>
      </c>
      <c r="C1070" s="40">
        <v>1</v>
      </c>
      <c r="D1070" s="54">
        <v>104</v>
      </c>
      <c r="E1070" s="40">
        <v>150</v>
      </c>
      <c r="F1070" s="68">
        <f t="shared" ref="F1070:F1080" si="77">C1070*D1070*E1070</f>
        <v>15600</v>
      </c>
      <c r="G1070" s="55">
        <v>0.5</v>
      </c>
      <c r="H1070" s="42">
        <f t="shared" ref="H1070:H1080" si="78">F1070*(1-G1070)</f>
        <v>7800</v>
      </c>
    </row>
    <row r="1071" spans="1:8" ht="72" x14ac:dyDescent="0.3">
      <c r="A1071" s="40">
        <v>4</v>
      </c>
      <c r="B1071" s="144" t="s">
        <v>1401</v>
      </c>
      <c r="C1071" s="40">
        <v>1</v>
      </c>
      <c r="D1071" s="54">
        <v>9360</v>
      </c>
      <c r="E1071" s="40">
        <v>450</v>
      </c>
      <c r="F1071" s="68">
        <f t="shared" si="77"/>
        <v>4212000</v>
      </c>
      <c r="G1071" s="55">
        <v>0.5</v>
      </c>
      <c r="H1071" s="42">
        <f t="shared" si="78"/>
        <v>2106000</v>
      </c>
    </row>
    <row r="1072" spans="1:8" ht="57.6" x14ac:dyDescent="0.3">
      <c r="A1072" s="40">
        <v>5</v>
      </c>
      <c r="B1072" s="144" t="s">
        <v>1402</v>
      </c>
      <c r="C1072" s="40">
        <v>1</v>
      </c>
      <c r="D1072" s="54">
        <v>1056</v>
      </c>
      <c r="E1072" s="40">
        <v>100</v>
      </c>
      <c r="F1072" s="68">
        <f t="shared" si="77"/>
        <v>105600</v>
      </c>
      <c r="G1072" s="55">
        <v>0.5</v>
      </c>
      <c r="H1072" s="42">
        <f t="shared" si="78"/>
        <v>52800</v>
      </c>
    </row>
    <row r="1073" spans="1:8" ht="43.2" x14ac:dyDescent="0.3">
      <c r="A1073" s="40">
        <v>6</v>
      </c>
      <c r="B1073" s="144" t="s">
        <v>519</v>
      </c>
      <c r="C1073" s="40">
        <v>1</v>
      </c>
      <c r="D1073" s="54">
        <v>60</v>
      </c>
      <c r="E1073" s="40">
        <v>80</v>
      </c>
      <c r="F1073" s="68">
        <f t="shared" si="77"/>
        <v>4800</v>
      </c>
      <c r="G1073" s="55">
        <v>0.5</v>
      </c>
      <c r="H1073" s="42">
        <f t="shared" si="78"/>
        <v>2400</v>
      </c>
    </row>
    <row r="1074" spans="1:8" ht="43.2" x14ac:dyDescent="0.3">
      <c r="A1074" s="40">
        <v>7</v>
      </c>
      <c r="B1074" s="144" t="s">
        <v>520</v>
      </c>
      <c r="C1074" s="40">
        <v>1</v>
      </c>
      <c r="D1074" s="54">
        <v>50</v>
      </c>
      <c r="E1074" s="40">
        <v>50</v>
      </c>
      <c r="F1074" s="68">
        <f t="shared" si="77"/>
        <v>2500</v>
      </c>
      <c r="G1074" s="55">
        <v>0.5</v>
      </c>
      <c r="H1074" s="42">
        <f t="shared" si="78"/>
        <v>1250</v>
      </c>
    </row>
    <row r="1075" spans="1:8" ht="57.6" x14ac:dyDescent="0.3">
      <c r="A1075" s="40">
        <v>8</v>
      </c>
      <c r="B1075" s="144" t="s">
        <v>521</v>
      </c>
      <c r="C1075" s="40">
        <v>1</v>
      </c>
      <c r="D1075" s="54">
        <v>58</v>
      </c>
      <c r="E1075" s="40">
        <v>250</v>
      </c>
      <c r="F1075" s="68">
        <f t="shared" si="77"/>
        <v>14500</v>
      </c>
      <c r="G1075" s="55">
        <v>0.5</v>
      </c>
      <c r="H1075" s="42">
        <f t="shared" si="78"/>
        <v>7250</v>
      </c>
    </row>
    <row r="1076" spans="1:8" ht="72" x14ac:dyDescent="0.3">
      <c r="A1076" s="40">
        <v>9</v>
      </c>
      <c r="B1076" s="144" t="s">
        <v>522</v>
      </c>
      <c r="C1076" s="40">
        <v>1</v>
      </c>
      <c r="D1076" s="54">
        <v>55</v>
      </c>
      <c r="E1076" s="40">
        <v>200</v>
      </c>
      <c r="F1076" s="68">
        <f t="shared" si="77"/>
        <v>11000</v>
      </c>
      <c r="G1076" s="55">
        <v>0.5</v>
      </c>
      <c r="H1076" s="42">
        <f t="shared" si="78"/>
        <v>5500</v>
      </c>
    </row>
    <row r="1077" spans="1:8" ht="72" x14ac:dyDescent="0.3">
      <c r="A1077" s="40">
        <v>10</v>
      </c>
      <c r="B1077" s="144" t="s">
        <v>523</v>
      </c>
      <c r="C1077" s="40">
        <v>1</v>
      </c>
      <c r="D1077" s="54">
        <v>28</v>
      </c>
      <c r="E1077" s="40">
        <v>200</v>
      </c>
      <c r="F1077" s="68">
        <f t="shared" si="77"/>
        <v>5600</v>
      </c>
      <c r="G1077" s="55">
        <v>0.5</v>
      </c>
      <c r="H1077" s="42">
        <f t="shared" si="78"/>
        <v>2800</v>
      </c>
    </row>
    <row r="1078" spans="1:8" s="3" customFormat="1" ht="43.2" x14ac:dyDescent="0.3">
      <c r="A1078" s="40">
        <v>11</v>
      </c>
      <c r="B1078" s="144" t="s">
        <v>524</v>
      </c>
      <c r="C1078" s="40">
        <v>1</v>
      </c>
      <c r="D1078" s="54">
        <v>58.5</v>
      </c>
      <c r="E1078" s="40">
        <v>100</v>
      </c>
      <c r="F1078" s="68">
        <f t="shared" si="77"/>
        <v>5850</v>
      </c>
      <c r="G1078" s="55">
        <v>0.5</v>
      </c>
      <c r="H1078" s="42">
        <f t="shared" si="78"/>
        <v>2925</v>
      </c>
    </row>
    <row r="1079" spans="1:8" ht="43.2" x14ac:dyDescent="0.3">
      <c r="A1079" s="40">
        <v>12</v>
      </c>
      <c r="B1079" s="144" t="s">
        <v>525</v>
      </c>
      <c r="C1079" s="40">
        <v>1</v>
      </c>
      <c r="D1079" s="54">
        <v>44</v>
      </c>
      <c r="E1079" s="40">
        <v>200</v>
      </c>
      <c r="F1079" s="68">
        <f t="shared" si="77"/>
        <v>8800</v>
      </c>
      <c r="G1079" s="55">
        <v>0.5</v>
      </c>
      <c r="H1079" s="42">
        <f t="shared" si="78"/>
        <v>4400</v>
      </c>
    </row>
    <row r="1080" spans="1:8" ht="28.8" x14ac:dyDescent="0.3">
      <c r="A1080" s="40">
        <v>13</v>
      </c>
      <c r="B1080" s="144" t="s">
        <v>419</v>
      </c>
      <c r="C1080" s="40">
        <v>1</v>
      </c>
      <c r="D1080" s="54">
        <f>220*4</f>
        <v>880</v>
      </c>
      <c r="E1080" s="40">
        <v>22</v>
      </c>
      <c r="F1080" s="68">
        <f t="shared" si="77"/>
        <v>19360</v>
      </c>
      <c r="G1080" s="55">
        <v>0.5</v>
      </c>
      <c r="H1080" s="42">
        <f t="shared" si="78"/>
        <v>9680</v>
      </c>
    </row>
    <row r="1081" spans="1:8" x14ac:dyDescent="0.3">
      <c r="A1081" s="40"/>
      <c r="B1081" s="70" t="s">
        <v>7</v>
      </c>
      <c r="C1081" s="40"/>
      <c r="D1081" s="54"/>
      <c r="E1081" s="40"/>
      <c r="F1081" s="68"/>
      <c r="G1081" s="55"/>
      <c r="H1081" s="58">
        <f>SUM(H1068:H1080)</f>
        <v>2277210</v>
      </c>
    </row>
    <row r="1082" spans="1:8" x14ac:dyDescent="0.3">
      <c r="A1082" s="40">
        <v>14</v>
      </c>
      <c r="B1082" s="70" t="s">
        <v>8</v>
      </c>
      <c r="C1082" s="40">
        <v>1</v>
      </c>
      <c r="D1082" s="54">
        <v>48562</v>
      </c>
      <c r="E1082" s="40">
        <v>5</v>
      </c>
      <c r="F1082" s="68">
        <f>(10000*E1082)+(10000*E1082*0.75)+(10000*E1082*0.5)+(18562*E1082*0.25)</f>
        <v>135702.5</v>
      </c>
      <c r="G1082" s="55">
        <v>0</v>
      </c>
      <c r="H1082" s="58">
        <f>(1-G1082)*F1082</f>
        <v>135702.5</v>
      </c>
    </row>
    <row r="1083" spans="1:8" x14ac:dyDescent="0.3">
      <c r="A1083" s="51"/>
      <c r="B1083" s="70" t="s">
        <v>9</v>
      </c>
      <c r="C1083" s="39"/>
      <c r="D1083" s="59"/>
      <c r="E1083" s="39"/>
      <c r="F1083" s="71"/>
      <c r="G1083" s="39"/>
      <c r="H1083" s="58">
        <f>H1081+H1082</f>
        <v>2412912.5</v>
      </c>
    </row>
    <row r="1084" spans="1:8" x14ac:dyDescent="0.3">
      <c r="A1084" s="53"/>
      <c r="B1084" s="70"/>
      <c r="C1084" s="40"/>
      <c r="D1084" s="41"/>
      <c r="E1084" s="40"/>
      <c r="F1084" s="68"/>
      <c r="G1084" s="40"/>
      <c r="H1084" s="58"/>
    </row>
    <row r="1085" spans="1:8" x14ac:dyDescent="0.3">
      <c r="A1085" s="43"/>
      <c r="B1085" s="62" t="s">
        <v>526</v>
      </c>
      <c r="C1085" s="44" t="s">
        <v>1288</v>
      </c>
      <c r="D1085" s="111"/>
      <c r="E1085" s="44" t="s">
        <v>527</v>
      </c>
      <c r="F1085" s="63"/>
      <c r="G1085" s="60"/>
      <c r="H1085" s="48"/>
    </row>
    <row r="1086" spans="1:8" x14ac:dyDescent="0.3">
      <c r="A1086" s="40"/>
      <c r="B1086" s="64" t="s">
        <v>10</v>
      </c>
      <c r="C1086" s="49" t="s">
        <v>1</v>
      </c>
      <c r="D1086" s="112" t="s">
        <v>2</v>
      </c>
      <c r="E1086" s="51" t="s">
        <v>3</v>
      </c>
      <c r="F1086" s="65" t="s">
        <v>4</v>
      </c>
      <c r="G1086" s="51" t="s">
        <v>5</v>
      </c>
      <c r="H1086" s="52" t="s">
        <v>6</v>
      </c>
    </row>
    <row r="1087" spans="1:8" ht="86.4" x14ac:dyDescent="0.3">
      <c r="A1087" s="40">
        <v>1</v>
      </c>
      <c r="B1087" s="64" t="s">
        <v>1907</v>
      </c>
      <c r="C1087" s="40">
        <v>1</v>
      </c>
      <c r="D1087" s="41">
        <v>515.5</v>
      </c>
      <c r="E1087" s="40">
        <v>500</v>
      </c>
      <c r="F1087" s="68">
        <f>D1087*E1087</f>
        <v>257750</v>
      </c>
      <c r="G1087" s="55">
        <v>0.4</v>
      </c>
      <c r="H1087" s="42">
        <f t="shared" ref="H1087:H1097" si="79">F1087*(1-G1087)</f>
        <v>154650</v>
      </c>
    </row>
    <row r="1088" spans="1:8" ht="57.6" x14ac:dyDescent="0.3">
      <c r="A1088" s="40">
        <v>2</v>
      </c>
      <c r="B1088" s="64" t="s">
        <v>528</v>
      </c>
      <c r="C1088" s="40">
        <v>1</v>
      </c>
      <c r="D1088" s="41">
        <v>338</v>
      </c>
      <c r="E1088" s="40">
        <v>300</v>
      </c>
      <c r="F1088" s="68">
        <f>D1088*E1088</f>
        <v>101400</v>
      </c>
      <c r="G1088" s="55">
        <v>0.5</v>
      </c>
      <c r="H1088" s="42">
        <f t="shared" si="79"/>
        <v>50700</v>
      </c>
    </row>
    <row r="1089" spans="1:10" ht="57.6" x14ac:dyDescent="0.3">
      <c r="A1089" s="40">
        <v>3</v>
      </c>
      <c r="B1089" s="64" t="s">
        <v>529</v>
      </c>
      <c r="C1089" s="40">
        <v>1</v>
      </c>
      <c r="D1089" s="41">
        <v>371</v>
      </c>
      <c r="E1089" s="40">
        <v>300</v>
      </c>
      <c r="F1089" s="68">
        <f>D1089*E1089</f>
        <v>111300</v>
      </c>
      <c r="G1089" s="55">
        <v>0.5</v>
      </c>
      <c r="H1089" s="42">
        <f t="shared" si="79"/>
        <v>55650</v>
      </c>
    </row>
    <row r="1090" spans="1:10" ht="43.2" x14ac:dyDescent="0.3">
      <c r="A1090" s="40">
        <v>4</v>
      </c>
      <c r="B1090" s="64" t="s">
        <v>530</v>
      </c>
      <c r="C1090" s="40">
        <v>1</v>
      </c>
      <c r="D1090" s="41">
        <v>5022</v>
      </c>
      <c r="E1090" s="40">
        <v>100</v>
      </c>
      <c r="F1090" s="68">
        <f>D1090*E1090</f>
        <v>502200</v>
      </c>
      <c r="G1090" s="55">
        <v>0.5</v>
      </c>
      <c r="H1090" s="42">
        <f t="shared" si="79"/>
        <v>251100</v>
      </c>
    </row>
    <row r="1091" spans="1:10" ht="129.6" x14ac:dyDescent="0.3">
      <c r="A1091" s="53">
        <v>5</v>
      </c>
      <c r="B1091" s="53" t="s">
        <v>1801</v>
      </c>
      <c r="C1091" s="40">
        <v>1</v>
      </c>
      <c r="D1091" s="91">
        <v>2690.8</v>
      </c>
      <c r="E1091" s="40">
        <v>500</v>
      </c>
      <c r="F1091" s="40">
        <f t="shared" ref="F1091:F1097" si="80">C1091*D1091*E1091</f>
        <v>1345400</v>
      </c>
      <c r="G1091" s="55">
        <v>0.4</v>
      </c>
      <c r="H1091" s="42">
        <f t="shared" si="79"/>
        <v>807240</v>
      </c>
    </row>
    <row r="1092" spans="1:10" ht="72" x14ac:dyDescent="0.3">
      <c r="A1092" s="40">
        <v>6</v>
      </c>
      <c r="B1092" s="110" t="s">
        <v>1644</v>
      </c>
      <c r="C1092" s="113">
        <v>1</v>
      </c>
      <c r="D1092" s="54">
        <f>81+22</f>
        <v>103</v>
      </c>
      <c r="E1092" s="40">
        <v>200</v>
      </c>
      <c r="F1092" s="40">
        <f t="shared" si="80"/>
        <v>20600</v>
      </c>
      <c r="G1092" s="55">
        <v>0.3</v>
      </c>
      <c r="H1092" s="42">
        <f t="shared" si="79"/>
        <v>14419.999999999998</v>
      </c>
    </row>
    <row r="1093" spans="1:10" ht="86.4" x14ac:dyDescent="0.3">
      <c r="A1093" s="40">
        <v>7</v>
      </c>
      <c r="B1093" s="110" t="s">
        <v>180</v>
      </c>
      <c r="C1093" s="40">
        <v>1</v>
      </c>
      <c r="D1093" s="54">
        <f>(20*6.4)+(40*40)</f>
        <v>1728</v>
      </c>
      <c r="E1093" s="40">
        <v>500</v>
      </c>
      <c r="F1093" s="40">
        <f t="shared" si="80"/>
        <v>864000</v>
      </c>
      <c r="G1093" s="55">
        <v>0.3</v>
      </c>
      <c r="H1093" s="42">
        <f t="shared" si="79"/>
        <v>604800</v>
      </c>
    </row>
    <row r="1094" spans="1:10" ht="86.4" x14ac:dyDescent="0.3">
      <c r="A1094" s="40">
        <v>8</v>
      </c>
      <c r="B1094" s="53" t="s">
        <v>1802</v>
      </c>
      <c r="C1094" s="113">
        <v>1</v>
      </c>
      <c r="D1094" s="54">
        <v>2343</v>
      </c>
      <c r="E1094" s="40">
        <v>750</v>
      </c>
      <c r="F1094" s="40">
        <f t="shared" si="80"/>
        <v>1757250</v>
      </c>
      <c r="G1094" s="55">
        <v>0.4</v>
      </c>
      <c r="H1094" s="42">
        <f t="shared" si="79"/>
        <v>1054350</v>
      </c>
    </row>
    <row r="1095" spans="1:10" ht="86.4" x14ac:dyDescent="0.3">
      <c r="A1095" s="40">
        <v>9</v>
      </c>
      <c r="B1095" s="53" t="s">
        <v>1803</v>
      </c>
      <c r="C1095" s="40">
        <v>1</v>
      </c>
      <c r="D1095" s="54">
        <v>1725</v>
      </c>
      <c r="E1095" s="40">
        <v>750</v>
      </c>
      <c r="F1095" s="40">
        <f t="shared" si="80"/>
        <v>1293750</v>
      </c>
      <c r="G1095" s="55">
        <v>0.4</v>
      </c>
      <c r="H1095" s="42">
        <f t="shared" si="79"/>
        <v>776250</v>
      </c>
      <c r="I1095" s="37"/>
      <c r="J1095" s="37"/>
    </row>
    <row r="1096" spans="1:10" ht="115.2" x14ac:dyDescent="0.3">
      <c r="A1096" s="53">
        <v>10</v>
      </c>
      <c r="B1096" s="53" t="s">
        <v>1239</v>
      </c>
      <c r="C1096" s="40">
        <v>1</v>
      </c>
      <c r="D1096" s="91">
        <v>3049.16</v>
      </c>
      <c r="E1096" s="40">
        <v>300</v>
      </c>
      <c r="F1096" s="40">
        <f t="shared" si="80"/>
        <v>914748</v>
      </c>
      <c r="G1096" s="55">
        <v>0.5</v>
      </c>
      <c r="H1096" s="42">
        <f t="shared" si="79"/>
        <v>457374</v>
      </c>
    </row>
    <row r="1097" spans="1:10" ht="72" x14ac:dyDescent="0.3">
      <c r="A1097" s="40">
        <v>11</v>
      </c>
      <c r="B1097" s="110" t="s">
        <v>1289</v>
      </c>
      <c r="C1097" s="40">
        <v>1</v>
      </c>
      <c r="D1097" s="54">
        <v>16.25</v>
      </c>
      <c r="E1097" s="40">
        <v>100</v>
      </c>
      <c r="F1097" s="40">
        <f t="shared" si="80"/>
        <v>1625</v>
      </c>
      <c r="G1097" s="55">
        <v>0.3</v>
      </c>
      <c r="H1097" s="42">
        <f t="shared" si="79"/>
        <v>1137.5</v>
      </c>
    </row>
    <row r="1098" spans="1:10" x14ac:dyDescent="0.3">
      <c r="A1098" s="53"/>
      <c r="B1098" s="70" t="s">
        <v>7</v>
      </c>
      <c r="C1098" s="40"/>
      <c r="D1098" s="41"/>
      <c r="E1098" s="40"/>
      <c r="F1098" s="68"/>
      <c r="G1098" s="40"/>
      <c r="H1098" s="42">
        <f>SUM(H1087:H1097)</f>
        <v>4227671.5</v>
      </c>
    </row>
    <row r="1099" spans="1:10" x14ac:dyDescent="0.3">
      <c r="A1099" s="53">
        <v>12</v>
      </c>
      <c r="B1099" s="70" t="s">
        <v>405</v>
      </c>
      <c r="C1099" s="40">
        <v>1</v>
      </c>
      <c r="D1099" s="146">
        <v>115294</v>
      </c>
      <c r="E1099" s="40">
        <v>5</v>
      </c>
      <c r="F1099" s="68">
        <f>(10000*E1099)+(10000*0.75*E1099)+(10000*0.5*E1099)+(85294*0.25*E1099)</f>
        <v>219117.5</v>
      </c>
      <c r="G1099" s="55">
        <v>0</v>
      </c>
      <c r="H1099" s="58">
        <f>(1-G1099)*F1099</f>
        <v>219117.5</v>
      </c>
    </row>
    <row r="1100" spans="1:10" x14ac:dyDescent="0.3">
      <c r="A1100" s="53"/>
      <c r="B1100" s="70" t="s">
        <v>9</v>
      </c>
      <c r="C1100" s="40"/>
      <c r="D1100" s="41"/>
      <c r="E1100" s="40"/>
      <c r="F1100" s="68"/>
      <c r="G1100" s="40"/>
      <c r="H1100" s="58">
        <f>SUM(H1098:H1099)</f>
        <v>4446789</v>
      </c>
    </row>
    <row r="1101" spans="1:10" x14ac:dyDescent="0.3">
      <c r="A1101" s="43"/>
      <c r="B1101" s="62" t="s">
        <v>1939</v>
      </c>
      <c r="C1101" s="44" t="s">
        <v>1016</v>
      </c>
      <c r="D1101" s="73"/>
      <c r="E1101" s="44" t="s">
        <v>1017</v>
      </c>
      <c r="F1101" s="60"/>
      <c r="G1101" s="60"/>
      <c r="H1101" s="48"/>
    </row>
    <row r="1102" spans="1:10" x14ac:dyDescent="0.3">
      <c r="A1102" s="39"/>
      <c r="B1102" s="107" t="s">
        <v>10</v>
      </c>
      <c r="C1102" s="107" t="s">
        <v>1</v>
      </c>
      <c r="D1102" s="108" t="s">
        <v>2</v>
      </c>
      <c r="E1102" s="109" t="s">
        <v>3</v>
      </c>
      <c r="F1102" s="109" t="s">
        <v>4</v>
      </c>
      <c r="G1102" s="109" t="s">
        <v>5</v>
      </c>
      <c r="H1102" s="106" t="s">
        <v>6</v>
      </c>
    </row>
    <row r="1103" spans="1:10" ht="115.2" x14ac:dyDescent="0.3">
      <c r="A1103" s="53">
        <v>1</v>
      </c>
      <c r="B1103" s="53" t="s">
        <v>1785</v>
      </c>
      <c r="C1103" s="40">
        <v>1</v>
      </c>
      <c r="D1103" s="91">
        <v>231.5</v>
      </c>
      <c r="E1103" s="40">
        <v>450</v>
      </c>
      <c r="F1103" s="40">
        <f t="shared" ref="F1103:F1117" si="81">C1103*D1103*E1103</f>
        <v>104175</v>
      </c>
      <c r="G1103" s="55">
        <v>0.3</v>
      </c>
      <c r="H1103" s="42">
        <f t="shared" ref="H1103:H1117" si="82">F1103*(1-G1103)</f>
        <v>72922.5</v>
      </c>
    </row>
    <row r="1104" spans="1:10" ht="100.8" x14ac:dyDescent="0.3">
      <c r="A1104" s="53">
        <v>2</v>
      </c>
      <c r="B1104" s="53" t="s">
        <v>1508</v>
      </c>
      <c r="C1104" s="40">
        <v>1</v>
      </c>
      <c r="D1104" s="91">
        <v>4810</v>
      </c>
      <c r="E1104" s="40">
        <v>450</v>
      </c>
      <c r="F1104" s="40">
        <f t="shared" si="81"/>
        <v>2164500</v>
      </c>
      <c r="G1104" s="55">
        <v>0.3</v>
      </c>
      <c r="H1104" s="42">
        <f t="shared" si="82"/>
        <v>1515150</v>
      </c>
    </row>
    <row r="1105" spans="1:8" ht="100.8" x14ac:dyDescent="0.3">
      <c r="A1105" s="53">
        <v>3</v>
      </c>
      <c r="B1105" s="53" t="s">
        <v>1509</v>
      </c>
      <c r="C1105" s="40">
        <v>1</v>
      </c>
      <c r="D1105" s="91">
        <v>4810</v>
      </c>
      <c r="E1105" s="40">
        <v>450</v>
      </c>
      <c r="F1105" s="40">
        <f t="shared" si="81"/>
        <v>2164500</v>
      </c>
      <c r="G1105" s="55">
        <v>0.3</v>
      </c>
      <c r="H1105" s="42">
        <f t="shared" si="82"/>
        <v>1515150</v>
      </c>
    </row>
    <row r="1106" spans="1:8" ht="100.8" x14ac:dyDescent="0.3">
      <c r="A1106" s="53">
        <v>4</v>
      </c>
      <c r="B1106" s="53" t="s">
        <v>1510</v>
      </c>
      <c r="C1106" s="40">
        <v>1</v>
      </c>
      <c r="D1106" s="91">
        <v>567</v>
      </c>
      <c r="E1106" s="40">
        <v>450</v>
      </c>
      <c r="F1106" s="40">
        <f t="shared" si="81"/>
        <v>255150</v>
      </c>
      <c r="G1106" s="55">
        <v>0.3</v>
      </c>
      <c r="H1106" s="42">
        <f t="shared" si="82"/>
        <v>178605</v>
      </c>
    </row>
    <row r="1107" spans="1:8" ht="100.8" x14ac:dyDescent="0.3">
      <c r="A1107" s="53">
        <v>5</v>
      </c>
      <c r="B1107" s="53" t="s">
        <v>1511</v>
      </c>
      <c r="C1107" s="40">
        <v>1</v>
      </c>
      <c r="D1107" s="91">
        <v>792.2</v>
      </c>
      <c r="E1107" s="40">
        <v>450</v>
      </c>
      <c r="F1107" s="40">
        <f t="shared" si="81"/>
        <v>356490</v>
      </c>
      <c r="G1107" s="55">
        <v>0.3</v>
      </c>
      <c r="H1107" s="42">
        <f t="shared" si="82"/>
        <v>249542.99999999997</v>
      </c>
    </row>
    <row r="1108" spans="1:8" ht="100.8" x14ac:dyDescent="0.3">
      <c r="A1108" s="53">
        <v>6</v>
      </c>
      <c r="B1108" s="53" t="s">
        <v>1512</v>
      </c>
      <c r="C1108" s="40">
        <v>1</v>
      </c>
      <c r="D1108" s="91">
        <v>407</v>
      </c>
      <c r="E1108" s="40">
        <v>450</v>
      </c>
      <c r="F1108" s="40">
        <f t="shared" si="81"/>
        <v>183150</v>
      </c>
      <c r="G1108" s="55">
        <v>0.3</v>
      </c>
      <c r="H1108" s="42">
        <f t="shared" si="82"/>
        <v>128204.99999999999</v>
      </c>
    </row>
    <row r="1109" spans="1:8" ht="115.2" x14ac:dyDescent="0.3">
      <c r="A1109" s="53">
        <v>7</v>
      </c>
      <c r="B1109" s="53" t="s">
        <v>1786</v>
      </c>
      <c r="C1109" s="40">
        <v>1</v>
      </c>
      <c r="D1109" s="91">
        <v>160.05000000000001</v>
      </c>
      <c r="E1109" s="40">
        <v>300</v>
      </c>
      <c r="F1109" s="40">
        <f t="shared" si="81"/>
        <v>48015</v>
      </c>
      <c r="G1109" s="55">
        <v>0.4</v>
      </c>
      <c r="H1109" s="42">
        <f t="shared" si="82"/>
        <v>28809</v>
      </c>
    </row>
    <row r="1110" spans="1:8" ht="100.8" x14ac:dyDescent="0.3">
      <c r="A1110" s="53">
        <v>8</v>
      </c>
      <c r="B1110" s="53" t="s">
        <v>1599</v>
      </c>
      <c r="C1110" s="40">
        <v>1</v>
      </c>
      <c r="D1110" s="91">
        <v>120</v>
      </c>
      <c r="E1110" s="40">
        <v>400</v>
      </c>
      <c r="F1110" s="40">
        <f t="shared" si="81"/>
        <v>48000</v>
      </c>
      <c r="G1110" s="55">
        <v>0.4</v>
      </c>
      <c r="H1110" s="42">
        <f t="shared" si="82"/>
        <v>28800</v>
      </c>
    </row>
    <row r="1111" spans="1:8" ht="115.2" x14ac:dyDescent="0.3">
      <c r="A1111" s="53">
        <v>7</v>
      </c>
      <c r="B1111" s="53" t="s">
        <v>1787</v>
      </c>
      <c r="C1111" s="40">
        <v>1</v>
      </c>
      <c r="D1111" s="91">
        <v>24</v>
      </c>
      <c r="E1111" s="40">
        <v>400</v>
      </c>
      <c r="F1111" s="40">
        <f t="shared" si="81"/>
        <v>9600</v>
      </c>
      <c r="G1111" s="55">
        <v>0.3</v>
      </c>
      <c r="H1111" s="42">
        <f t="shared" si="82"/>
        <v>6720</v>
      </c>
    </row>
    <row r="1112" spans="1:8" ht="115.2" x14ac:dyDescent="0.3">
      <c r="A1112" s="53">
        <v>9</v>
      </c>
      <c r="B1112" s="53" t="s">
        <v>1600</v>
      </c>
      <c r="C1112" s="40">
        <v>1</v>
      </c>
      <c r="D1112" s="91">
        <v>78.3</v>
      </c>
      <c r="E1112" s="40">
        <v>150</v>
      </c>
      <c r="F1112" s="40">
        <f t="shared" si="81"/>
        <v>11745</v>
      </c>
      <c r="G1112" s="55">
        <v>0.5</v>
      </c>
      <c r="H1112" s="42">
        <f t="shared" si="82"/>
        <v>5872.5</v>
      </c>
    </row>
    <row r="1113" spans="1:8" ht="100.8" x14ac:dyDescent="0.3">
      <c r="A1113" s="53">
        <v>10</v>
      </c>
      <c r="B1113" s="53" t="s">
        <v>1601</v>
      </c>
      <c r="C1113" s="40">
        <v>1</v>
      </c>
      <c r="D1113" s="91">
        <v>139.5</v>
      </c>
      <c r="E1113" s="40">
        <v>150</v>
      </c>
      <c r="F1113" s="40">
        <f t="shared" si="81"/>
        <v>20925</v>
      </c>
      <c r="G1113" s="55">
        <v>0.5</v>
      </c>
      <c r="H1113" s="42">
        <f t="shared" si="82"/>
        <v>10462.5</v>
      </c>
    </row>
    <row r="1114" spans="1:8" s="3" customFormat="1" ht="100.8" x14ac:dyDescent="0.3">
      <c r="A1114" s="53">
        <v>11</v>
      </c>
      <c r="B1114" s="53" t="s">
        <v>1602</v>
      </c>
      <c r="C1114" s="40">
        <v>1</v>
      </c>
      <c r="D1114" s="91">
        <v>48</v>
      </c>
      <c r="E1114" s="40">
        <v>150</v>
      </c>
      <c r="F1114" s="40">
        <f t="shared" si="81"/>
        <v>7200</v>
      </c>
      <c r="G1114" s="55">
        <v>0.5</v>
      </c>
      <c r="H1114" s="42">
        <f t="shared" si="82"/>
        <v>3600</v>
      </c>
    </row>
    <row r="1115" spans="1:8" ht="72" x14ac:dyDescent="0.3">
      <c r="A1115" s="53">
        <v>12</v>
      </c>
      <c r="B1115" s="53" t="s">
        <v>1428</v>
      </c>
      <c r="C1115" s="40">
        <v>1</v>
      </c>
      <c r="D1115" s="91">
        <v>4</v>
      </c>
      <c r="E1115" s="40">
        <v>150</v>
      </c>
      <c r="F1115" s="40">
        <f t="shared" si="81"/>
        <v>600</v>
      </c>
      <c r="G1115" s="55">
        <v>0.3</v>
      </c>
      <c r="H1115" s="42">
        <f t="shared" si="82"/>
        <v>420</v>
      </c>
    </row>
    <row r="1116" spans="1:8" ht="28.8" x14ac:dyDescent="0.3">
      <c r="A1116" s="53">
        <v>13</v>
      </c>
      <c r="B1116" s="53" t="s">
        <v>1018</v>
      </c>
      <c r="C1116" s="40">
        <v>1</v>
      </c>
      <c r="D1116" s="91">
        <v>654.96</v>
      </c>
      <c r="E1116" s="40">
        <v>35</v>
      </c>
      <c r="F1116" s="40">
        <f t="shared" si="81"/>
        <v>22923.600000000002</v>
      </c>
      <c r="G1116" s="55">
        <v>0.4</v>
      </c>
      <c r="H1116" s="42">
        <f t="shared" si="82"/>
        <v>13754.160000000002</v>
      </c>
    </row>
    <row r="1117" spans="1:8" ht="28.8" x14ac:dyDescent="0.3">
      <c r="A1117" s="53">
        <v>14</v>
      </c>
      <c r="B1117" s="53" t="s">
        <v>1019</v>
      </c>
      <c r="C1117" s="40">
        <v>1</v>
      </c>
      <c r="D1117" s="91">
        <v>654.96</v>
      </c>
      <c r="E1117" s="40">
        <v>44</v>
      </c>
      <c r="F1117" s="40">
        <f t="shared" si="81"/>
        <v>28818.240000000002</v>
      </c>
      <c r="G1117" s="55">
        <v>0.4</v>
      </c>
      <c r="H1117" s="42">
        <f t="shared" si="82"/>
        <v>17290.944</v>
      </c>
    </row>
    <row r="1118" spans="1:8" x14ac:dyDescent="0.3">
      <c r="A1118" s="53"/>
      <c r="B1118" s="57" t="s">
        <v>7</v>
      </c>
      <c r="C1118" s="40"/>
      <c r="D1118" s="54"/>
      <c r="E1118" s="40"/>
      <c r="F1118" s="40"/>
      <c r="G1118" s="55"/>
      <c r="H1118" s="58">
        <f>SUM(H1103:H1117)</f>
        <v>3775304.6040000003</v>
      </c>
    </row>
    <row r="1119" spans="1:8" x14ac:dyDescent="0.3">
      <c r="A1119" s="53">
        <v>15</v>
      </c>
      <c r="B1119" s="57" t="s">
        <v>8</v>
      </c>
      <c r="C1119" s="40">
        <v>1</v>
      </c>
      <c r="D1119" s="54">
        <v>107242</v>
      </c>
      <c r="E1119" s="40">
        <v>5</v>
      </c>
      <c r="F1119" s="40">
        <f>(10000*5)+(10000*3.75)+(2.5*10000)+(1.25*77242)</f>
        <v>209052.5</v>
      </c>
      <c r="G1119" s="55">
        <v>0</v>
      </c>
      <c r="H1119" s="58">
        <f>(1-G1119)*F1119</f>
        <v>209052.5</v>
      </c>
    </row>
    <row r="1120" spans="1:8" x14ac:dyDescent="0.3">
      <c r="A1120" s="53"/>
      <c r="B1120" s="57" t="s">
        <v>9</v>
      </c>
      <c r="C1120" s="39"/>
      <c r="D1120" s="59"/>
      <c r="E1120" s="39"/>
      <c r="F1120" s="39"/>
      <c r="G1120" s="39"/>
      <c r="H1120" s="157">
        <f>H1118+H1119</f>
        <v>3984357.1040000003</v>
      </c>
    </row>
    <row r="1121" spans="1:8" s="3" customFormat="1" x14ac:dyDescent="0.3">
      <c r="A1121" s="40"/>
      <c r="B1121" s="110"/>
      <c r="C1121" s="40"/>
      <c r="D1121" s="54"/>
      <c r="E1121" s="40"/>
      <c r="F1121" s="40"/>
      <c r="G1121" s="55"/>
      <c r="H1121" s="42"/>
    </row>
    <row r="1122" spans="1:8" x14ac:dyDescent="0.3">
      <c r="A1122" s="43"/>
      <c r="B1122" s="62">
        <v>2514</v>
      </c>
      <c r="C1122" s="44" t="s">
        <v>1002</v>
      </c>
      <c r="D1122" s="73"/>
      <c r="E1122" s="44" t="s">
        <v>1935</v>
      </c>
      <c r="F1122" s="60"/>
      <c r="G1122" s="60"/>
      <c r="H1122" s="48"/>
    </row>
    <row r="1123" spans="1:8" x14ac:dyDescent="0.3">
      <c r="A1123" s="39"/>
      <c r="B1123" s="107" t="s">
        <v>10</v>
      </c>
      <c r="C1123" s="107" t="s">
        <v>1</v>
      </c>
      <c r="D1123" s="108" t="s">
        <v>2</v>
      </c>
      <c r="E1123" s="109" t="s">
        <v>3</v>
      </c>
      <c r="F1123" s="109" t="s">
        <v>4</v>
      </c>
      <c r="G1123" s="109" t="s">
        <v>5</v>
      </c>
      <c r="H1123" s="106" t="s">
        <v>6</v>
      </c>
    </row>
    <row r="1124" spans="1:8" ht="100.8" x14ac:dyDescent="0.3">
      <c r="A1124" s="53">
        <v>1</v>
      </c>
      <c r="B1124" s="53" t="s">
        <v>1654</v>
      </c>
      <c r="C1124" s="40">
        <v>1</v>
      </c>
      <c r="D1124" s="91">
        <v>132</v>
      </c>
      <c r="E1124" s="40">
        <v>450</v>
      </c>
      <c r="F1124" s="40">
        <f>C1124*D1124*E1124</f>
        <v>59400</v>
      </c>
      <c r="G1124" s="55">
        <v>0.4</v>
      </c>
      <c r="H1124" s="42">
        <f>F1124*(1-G1124)</f>
        <v>35640</v>
      </c>
    </row>
    <row r="1125" spans="1:8" ht="28.8" x14ac:dyDescent="0.3">
      <c r="A1125" s="53">
        <v>2</v>
      </c>
      <c r="B1125" s="53" t="s">
        <v>1003</v>
      </c>
      <c r="C1125" s="40">
        <v>1</v>
      </c>
      <c r="D1125" s="91">
        <v>141.6</v>
      </c>
      <c r="E1125" s="40">
        <v>45</v>
      </c>
      <c r="F1125" s="40">
        <f>C1125*D1125*E1125</f>
        <v>6372</v>
      </c>
      <c r="G1125" s="55">
        <v>0.4</v>
      </c>
      <c r="H1125" s="42">
        <f>F1125*(1-G1125)</f>
        <v>3823.2</v>
      </c>
    </row>
    <row r="1126" spans="1:8" x14ac:dyDescent="0.3">
      <c r="A1126" s="53"/>
      <c r="B1126" s="57" t="s">
        <v>7</v>
      </c>
      <c r="C1126" s="40"/>
      <c r="D1126" s="54"/>
      <c r="E1126" s="40"/>
      <c r="F1126" s="40"/>
      <c r="G1126" s="55"/>
      <c r="H1126" s="58">
        <f>SUM(H1124:H1125)</f>
        <v>39463.199999999997</v>
      </c>
    </row>
    <row r="1127" spans="1:8" x14ac:dyDescent="0.3">
      <c r="A1127" s="53">
        <v>3</v>
      </c>
      <c r="B1127" s="57" t="s">
        <v>8</v>
      </c>
      <c r="C1127" s="40">
        <v>1</v>
      </c>
      <c r="D1127" s="54">
        <v>5013</v>
      </c>
      <c r="E1127" s="40">
        <v>5</v>
      </c>
      <c r="F1127" s="40">
        <f>(10000*5)+(10000*3.75)+(10000*2.5)+(20013*1.75)</f>
        <v>147522.75</v>
      </c>
      <c r="G1127" s="55">
        <v>0</v>
      </c>
      <c r="H1127" s="58">
        <f>(1-G1127)*F1127</f>
        <v>147522.75</v>
      </c>
    </row>
    <row r="1128" spans="1:8" x14ac:dyDescent="0.3">
      <c r="A1128" s="53"/>
      <c r="B1128" s="57" t="s">
        <v>9</v>
      </c>
      <c r="C1128" s="39"/>
      <c r="D1128" s="59"/>
      <c r="E1128" s="39"/>
      <c r="F1128" s="39"/>
      <c r="G1128" s="39"/>
      <c r="H1128" s="157">
        <f>H1126+H1127</f>
        <v>186985.95</v>
      </c>
    </row>
    <row r="1129" spans="1:8" x14ac:dyDescent="0.3">
      <c r="A1129" s="142"/>
      <c r="B1129" s="158">
        <v>2515</v>
      </c>
      <c r="C1129" s="140" t="s">
        <v>1004</v>
      </c>
      <c r="D1129" s="141"/>
      <c r="E1129" s="140" t="s">
        <v>1005</v>
      </c>
      <c r="F1129" s="142"/>
      <c r="G1129" s="142"/>
      <c r="H1129" s="143"/>
    </row>
    <row r="1130" spans="1:8" x14ac:dyDescent="0.3">
      <c r="A1130" s="159"/>
      <c r="B1130" s="160" t="s">
        <v>10</v>
      </c>
      <c r="C1130" s="160" t="s">
        <v>1</v>
      </c>
      <c r="D1130" s="161" t="s">
        <v>2</v>
      </c>
      <c r="E1130" s="159" t="s">
        <v>3</v>
      </c>
      <c r="F1130" s="159" t="s">
        <v>4</v>
      </c>
      <c r="G1130" s="159" t="s">
        <v>5</v>
      </c>
      <c r="H1130" s="162" t="s">
        <v>6</v>
      </c>
    </row>
    <row r="1131" spans="1:8" ht="100.8" x14ac:dyDescent="0.3">
      <c r="A1131" s="163">
        <v>1</v>
      </c>
      <c r="B1131" s="163" t="s">
        <v>1770</v>
      </c>
      <c r="C1131" s="87">
        <v>1</v>
      </c>
      <c r="D1131" s="164">
        <f>42.24+6.4+80.64</f>
        <v>129.28</v>
      </c>
      <c r="E1131" s="87">
        <v>450</v>
      </c>
      <c r="F1131" s="87">
        <f t="shared" ref="F1131:F1138" si="83">C1131*D1131*E1131</f>
        <v>58176</v>
      </c>
      <c r="G1131" s="89">
        <v>0.4</v>
      </c>
      <c r="H1131" s="90">
        <f t="shared" ref="H1131:H1138" si="84">F1131*(1-G1131)</f>
        <v>34905.599999999999</v>
      </c>
    </row>
    <row r="1132" spans="1:8" ht="115.2" x14ac:dyDescent="0.3">
      <c r="A1132" s="163">
        <v>2</v>
      </c>
      <c r="B1132" s="163" t="s">
        <v>1771</v>
      </c>
      <c r="C1132" s="87">
        <v>1</v>
      </c>
      <c r="D1132" s="164">
        <f>156+56</f>
        <v>212</v>
      </c>
      <c r="E1132" s="87">
        <v>450</v>
      </c>
      <c r="F1132" s="87">
        <f t="shared" si="83"/>
        <v>95400</v>
      </c>
      <c r="G1132" s="89">
        <v>0.4</v>
      </c>
      <c r="H1132" s="90">
        <f t="shared" si="84"/>
        <v>57240</v>
      </c>
    </row>
    <row r="1133" spans="1:8" ht="86.4" x14ac:dyDescent="0.3">
      <c r="A1133" s="163">
        <v>3</v>
      </c>
      <c r="B1133" s="163" t="s">
        <v>1772</v>
      </c>
      <c r="C1133" s="87">
        <v>1</v>
      </c>
      <c r="D1133" s="164">
        <f>17*23</f>
        <v>391</v>
      </c>
      <c r="E1133" s="87">
        <v>450</v>
      </c>
      <c r="F1133" s="87">
        <f t="shared" si="83"/>
        <v>175950</v>
      </c>
      <c r="G1133" s="89">
        <v>0.4</v>
      </c>
      <c r="H1133" s="90">
        <f t="shared" si="84"/>
        <v>105570</v>
      </c>
    </row>
    <row r="1134" spans="1:8" s="3" customFormat="1" ht="100.8" x14ac:dyDescent="0.3">
      <c r="A1134" s="163">
        <v>4</v>
      </c>
      <c r="B1134" s="163" t="s">
        <v>1773</v>
      </c>
      <c r="C1134" s="87">
        <v>1</v>
      </c>
      <c r="D1134" s="164">
        <f>102+153</f>
        <v>255</v>
      </c>
      <c r="E1134" s="87">
        <v>450</v>
      </c>
      <c r="F1134" s="87">
        <f t="shared" si="83"/>
        <v>114750</v>
      </c>
      <c r="G1134" s="89">
        <v>0.4</v>
      </c>
      <c r="H1134" s="90">
        <f t="shared" si="84"/>
        <v>68850</v>
      </c>
    </row>
    <row r="1135" spans="1:8" ht="86.4" x14ac:dyDescent="0.3">
      <c r="A1135" s="163">
        <v>5</v>
      </c>
      <c r="B1135" s="163" t="s">
        <v>1592</v>
      </c>
      <c r="C1135" s="87">
        <v>1</v>
      </c>
      <c r="D1135" s="164">
        <v>89</v>
      </c>
      <c r="E1135" s="87">
        <v>450</v>
      </c>
      <c r="F1135" s="87">
        <f t="shared" si="83"/>
        <v>40050</v>
      </c>
      <c r="G1135" s="89">
        <v>0.4</v>
      </c>
      <c r="H1135" s="90">
        <f t="shared" si="84"/>
        <v>24030</v>
      </c>
    </row>
    <row r="1136" spans="1:8" ht="86.4" x14ac:dyDescent="0.3">
      <c r="A1136" s="163">
        <v>6</v>
      </c>
      <c r="B1136" s="163" t="s">
        <v>1593</v>
      </c>
      <c r="C1136" s="87">
        <v>1</v>
      </c>
      <c r="D1136" s="164">
        <f>3.5*4</f>
        <v>14</v>
      </c>
      <c r="E1136" s="87">
        <v>300</v>
      </c>
      <c r="F1136" s="87">
        <f t="shared" si="83"/>
        <v>4200</v>
      </c>
      <c r="G1136" s="89">
        <v>0.4</v>
      </c>
      <c r="H1136" s="90">
        <f t="shared" si="84"/>
        <v>2520</v>
      </c>
    </row>
    <row r="1137" spans="1:8" ht="86.4" x14ac:dyDescent="0.3">
      <c r="A1137" s="163">
        <v>7</v>
      </c>
      <c r="B1137" s="163" t="s">
        <v>1594</v>
      </c>
      <c r="C1137" s="87">
        <v>1</v>
      </c>
      <c r="D1137" s="164">
        <f>19.5*7</f>
        <v>136.5</v>
      </c>
      <c r="E1137" s="87">
        <v>450</v>
      </c>
      <c r="F1137" s="87">
        <f t="shared" si="83"/>
        <v>61425</v>
      </c>
      <c r="G1137" s="89">
        <v>0.4</v>
      </c>
      <c r="H1137" s="90">
        <f t="shared" si="84"/>
        <v>36855</v>
      </c>
    </row>
    <row r="1138" spans="1:8" ht="28.8" x14ac:dyDescent="0.3">
      <c r="A1138" s="163">
        <v>8</v>
      </c>
      <c r="B1138" s="163" t="s">
        <v>1466</v>
      </c>
      <c r="C1138" s="87">
        <v>1</v>
      </c>
      <c r="D1138" s="164">
        <v>280</v>
      </c>
      <c r="E1138" s="87">
        <v>45</v>
      </c>
      <c r="F1138" s="87">
        <f t="shared" si="83"/>
        <v>12600</v>
      </c>
      <c r="G1138" s="89">
        <v>0.4</v>
      </c>
      <c r="H1138" s="90">
        <f t="shared" si="84"/>
        <v>7560</v>
      </c>
    </row>
    <row r="1139" spans="1:8" x14ac:dyDescent="0.3">
      <c r="A1139" s="163"/>
      <c r="B1139" s="160" t="s">
        <v>7</v>
      </c>
      <c r="C1139" s="87"/>
      <c r="D1139" s="88"/>
      <c r="E1139" s="87"/>
      <c r="F1139" s="87"/>
      <c r="G1139" s="89"/>
      <c r="H1139" s="162">
        <f>SUM(H1131:H1138)</f>
        <v>337530.6</v>
      </c>
    </row>
    <row r="1140" spans="1:8" x14ac:dyDescent="0.3">
      <c r="A1140" s="163">
        <v>9</v>
      </c>
      <c r="B1140" s="160" t="s">
        <v>8</v>
      </c>
      <c r="C1140" s="87">
        <v>1</v>
      </c>
      <c r="D1140" s="88">
        <v>4601</v>
      </c>
      <c r="E1140" s="87">
        <v>5</v>
      </c>
      <c r="F1140" s="87">
        <f>C1140*D1140*E1140</f>
        <v>23005</v>
      </c>
      <c r="G1140" s="89">
        <v>0</v>
      </c>
      <c r="H1140" s="162">
        <f>(1-G1140)*F1140</f>
        <v>23005</v>
      </c>
    </row>
    <row r="1141" spans="1:8" x14ac:dyDescent="0.3">
      <c r="A1141" s="163"/>
      <c r="B1141" s="160" t="s">
        <v>9</v>
      </c>
      <c r="C1141" s="159"/>
      <c r="D1141" s="161"/>
      <c r="E1141" s="159"/>
      <c r="F1141" s="159"/>
      <c r="G1141" s="159"/>
      <c r="H1141" s="162">
        <f>H1139+H1140</f>
        <v>360535.6</v>
      </c>
    </row>
    <row r="1142" spans="1:8" x14ac:dyDescent="0.3">
      <c r="A1142" s="142"/>
      <c r="B1142" s="158">
        <v>2516</v>
      </c>
      <c r="C1142" s="140" t="s">
        <v>1006</v>
      </c>
      <c r="D1142" s="141"/>
      <c r="E1142" s="140" t="s">
        <v>1005</v>
      </c>
      <c r="F1142" s="142"/>
      <c r="G1142" s="142"/>
      <c r="H1142" s="143"/>
    </row>
    <row r="1143" spans="1:8" x14ac:dyDescent="0.3">
      <c r="A1143" s="159"/>
      <c r="B1143" s="160" t="s">
        <v>10</v>
      </c>
      <c r="C1143" s="160" t="s">
        <v>1</v>
      </c>
      <c r="D1143" s="161" t="s">
        <v>2</v>
      </c>
      <c r="E1143" s="159" t="s">
        <v>3</v>
      </c>
      <c r="F1143" s="159" t="s">
        <v>4</v>
      </c>
      <c r="G1143" s="159" t="s">
        <v>5</v>
      </c>
      <c r="H1143" s="162" t="s">
        <v>6</v>
      </c>
    </row>
    <row r="1144" spans="1:8" ht="86.4" x14ac:dyDescent="0.3">
      <c r="A1144" s="163">
        <v>1</v>
      </c>
      <c r="B1144" s="163" t="s">
        <v>1595</v>
      </c>
      <c r="C1144" s="87">
        <v>1</v>
      </c>
      <c r="D1144" s="164">
        <v>607.5</v>
      </c>
      <c r="E1144" s="87">
        <v>450</v>
      </c>
      <c r="F1144" s="87">
        <f>C1144*D1144*E1144</f>
        <v>273375</v>
      </c>
      <c r="G1144" s="89">
        <v>0.4</v>
      </c>
      <c r="H1144" s="90">
        <f>F1144*(1-G1144)</f>
        <v>164025</v>
      </c>
    </row>
    <row r="1145" spans="1:8" ht="86.4" x14ac:dyDescent="0.3">
      <c r="A1145" s="163">
        <v>2</v>
      </c>
      <c r="B1145" s="163" t="s">
        <v>1596</v>
      </c>
      <c r="C1145" s="87">
        <v>1</v>
      </c>
      <c r="D1145" s="164">
        <v>96</v>
      </c>
      <c r="E1145" s="87">
        <v>200</v>
      </c>
      <c r="F1145" s="87">
        <f>C1145*D1145*E1145</f>
        <v>19200</v>
      </c>
      <c r="G1145" s="89">
        <v>0.4</v>
      </c>
      <c r="H1145" s="90">
        <f>F1145*(1-G1145)</f>
        <v>11520</v>
      </c>
    </row>
    <row r="1146" spans="1:8" ht="28.8" x14ac:dyDescent="0.3">
      <c r="A1146" s="163">
        <v>2</v>
      </c>
      <c r="B1146" s="163" t="s">
        <v>1466</v>
      </c>
      <c r="C1146" s="87">
        <v>1</v>
      </c>
      <c r="D1146" s="164">
        <v>242.92</v>
      </c>
      <c r="E1146" s="87">
        <v>45</v>
      </c>
      <c r="F1146" s="87">
        <f>C1146*D1146*E1146</f>
        <v>10931.4</v>
      </c>
      <c r="G1146" s="89">
        <v>0.4</v>
      </c>
      <c r="H1146" s="90">
        <f>F1146*(1-G1146)</f>
        <v>6558.8399999999992</v>
      </c>
    </row>
    <row r="1147" spans="1:8" x14ac:dyDescent="0.3">
      <c r="A1147" s="163"/>
      <c r="B1147" s="160" t="s">
        <v>7</v>
      </c>
      <c r="C1147" s="87"/>
      <c r="D1147" s="88"/>
      <c r="E1147" s="87"/>
      <c r="F1147" s="87"/>
      <c r="G1147" s="89"/>
      <c r="H1147" s="162">
        <f>SUM(H1144:H1146)</f>
        <v>182103.84</v>
      </c>
    </row>
    <row r="1148" spans="1:8" s="3" customFormat="1" x14ac:dyDescent="0.3">
      <c r="A1148" s="163">
        <v>9</v>
      </c>
      <c r="B1148" s="160" t="s">
        <v>8</v>
      </c>
      <c r="C1148" s="87">
        <v>1</v>
      </c>
      <c r="D1148" s="88">
        <v>3688</v>
      </c>
      <c r="E1148" s="87">
        <v>5</v>
      </c>
      <c r="F1148" s="87">
        <f>C1148*D1148*E1148</f>
        <v>18440</v>
      </c>
      <c r="G1148" s="89">
        <v>0</v>
      </c>
      <c r="H1148" s="162">
        <f>(1-G1148)*F1148</f>
        <v>18440</v>
      </c>
    </row>
    <row r="1149" spans="1:8" x14ac:dyDescent="0.3">
      <c r="A1149" s="163"/>
      <c r="B1149" s="160" t="s">
        <v>9</v>
      </c>
      <c r="C1149" s="159"/>
      <c r="D1149" s="161"/>
      <c r="E1149" s="159"/>
      <c r="F1149" s="159"/>
      <c r="G1149" s="159"/>
      <c r="H1149" s="162">
        <f>H1147+H1148</f>
        <v>200543.84</v>
      </c>
    </row>
    <row r="1150" spans="1:8" x14ac:dyDescent="0.3">
      <c r="A1150" s="43"/>
      <c r="B1150" s="62">
        <v>2518</v>
      </c>
      <c r="C1150" s="44" t="s">
        <v>1007</v>
      </c>
      <c r="D1150" s="73"/>
      <c r="E1150" s="44" t="s">
        <v>1936</v>
      </c>
      <c r="F1150" s="60"/>
      <c r="G1150" s="60"/>
      <c r="H1150" s="48"/>
    </row>
    <row r="1151" spans="1:8" x14ac:dyDescent="0.3">
      <c r="A1151" s="40"/>
      <c r="B1151" s="49" t="s">
        <v>10</v>
      </c>
      <c r="C1151" s="49" t="s">
        <v>1</v>
      </c>
      <c r="D1151" s="50" t="s">
        <v>2</v>
      </c>
      <c r="E1151" s="51" t="s">
        <v>3</v>
      </c>
      <c r="F1151" s="51" t="s">
        <v>4</v>
      </c>
      <c r="G1151" s="51" t="s">
        <v>5</v>
      </c>
      <c r="H1151" s="52" t="s">
        <v>6</v>
      </c>
    </row>
    <row r="1152" spans="1:8" x14ac:dyDescent="0.3">
      <c r="A1152" s="53">
        <v>1</v>
      </c>
      <c r="B1152" s="53" t="s">
        <v>1008</v>
      </c>
      <c r="C1152" s="40"/>
      <c r="D1152" s="91"/>
      <c r="E1152" s="40"/>
      <c r="F1152" s="40"/>
      <c r="G1152" s="55"/>
      <c r="H1152" s="42"/>
    </row>
    <row r="1153" spans="1:8" x14ac:dyDescent="0.3">
      <c r="A1153" s="53"/>
      <c r="B1153" s="57" t="s">
        <v>7</v>
      </c>
      <c r="C1153" s="40"/>
      <c r="D1153" s="54"/>
      <c r="E1153" s="40"/>
      <c r="F1153" s="40"/>
      <c r="G1153" s="55"/>
      <c r="H1153" s="58"/>
    </row>
    <row r="1154" spans="1:8" x14ac:dyDescent="0.3">
      <c r="A1154" s="53">
        <v>2</v>
      </c>
      <c r="B1154" s="57" t="s">
        <v>8</v>
      </c>
      <c r="C1154" s="87">
        <v>1</v>
      </c>
      <c r="D1154" s="88">
        <v>4454</v>
      </c>
      <c r="E1154" s="87">
        <v>5</v>
      </c>
      <c r="F1154" s="87">
        <f>C1154*D1154*E1154</f>
        <v>22270</v>
      </c>
      <c r="G1154" s="89">
        <v>0</v>
      </c>
      <c r="H1154" s="162">
        <f>(1-G1154)*F1154</f>
        <v>22270</v>
      </c>
    </row>
    <row r="1155" spans="1:8" s="3" customFormat="1" x14ac:dyDescent="0.3">
      <c r="A1155" s="53"/>
      <c r="B1155" s="57" t="s">
        <v>9</v>
      </c>
      <c r="C1155" s="159"/>
      <c r="D1155" s="161"/>
      <c r="E1155" s="159"/>
      <c r="F1155" s="159"/>
      <c r="G1155" s="159"/>
      <c r="H1155" s="162">
        <f>H1153+H1154</f>
        <v>22270</v>
      </c>
    </row>
    <row r="1156" spans="1:8" x14ac:dyDescent="0.3">
      <c r="A1156" s="43"/>
      <c r="B1156" s="62">
        <v>2519</v>
      </c>
      <c r="C1156" s="44" t="s">
        <v>1009</v>
      </c>
      <c r="D1156" s="73"/>
      <c r="E1156" s="44" t="s">
        <v>1937</v>
      </c>
      <c r="F1156" s="60"/>
      <c r="G1156" s="60"/>
      <c r="H1156" s="48"/>
    </row>
    <row r="1157" spans="1:8" x14ac:dyDescent="0.3">
      <c r="A1157" s="39"/>
      <c r="B1157" s="107" t="s">
        <v>10</v>
      </c>
      <c r="C1157" s="107" t="s">
        <v>1</v>
      </c>
      <c r="D1157" s="108" t="s">
        <v>2</v>
      </c>
      <c r="E1157" s="109" t="s">
        <v>3</v>
      </c>
      <c r="F1157" s="109" t="s">
        <v>4</v>
      </c>
      <c r="G1157" s="109" t="s">
        <v>5</v>
      </c>
      <c r="H1157" s="106" t="s">
        <v>6</v>
      </c>
    </row>
    <row r="1158" spans="1:8" ht="100.8" x14ac:dyDescent="0.3">
      <c r="A1158" s="53">
        <v>1</v>
      </c>
      <c r="B1158" s="53" t="s">
        <v>1655</v>
      </c>
      <c r="C1158" s="40">
        <v>1</v>
      </c>
      <c r="D1158" s="91">
        <v>149.5</v>
      </c>
      <c r="E1158" s="40">
        <v>450</v>
      </c>
      <c r="F1158" s="40">
        <f>C1158*D1158*E1158</f>
        <v>67275</v>
      </c>
      <c r="G1158" s="55">
        <v>0.4</v>
      </c>
      <c r="H1158" s="42">
        <f>F1158*(1-G1158)</f>
        <v>40365</v>
      </c>
    </row>
    <row r="1159" spans="1:8" ht="28.8" x14ac:dyDescent="0.3">
      <c r="A1159" s="53">
        <v>2</v>
      </c>
      <c r="B1159" s="53" t="s">
        <v>1003</v>
      </c>
      <c r="C1159" s="40">
        <v>1</v>
      </c>
      <c r="D1159" s="91">
        <v>109.82</v>
      </c>
      <c r="E1159" s="40">
        <v>45</v>
      </c>
      <c r="F1159" s="40">
        <f>C1159*D1159*E1159</f>
        <v>4941.8999999999996</v>
      </c>
      <c r="G1159" s="55">
        <v>0.4</v>
      </c>
      <c r="H1159" s="42">
        <f>F1159*(1-G1159)</f>
        <v>2965.14</v>
      </c>
    </row>
    <row r="1160" spans="1:8" x14ac:dyDescent="0.3">
      <c r="A1160" s="53"/>
      <c r="B1160" s="57" t="s">
        <v>7</v>
      </c>
      <c r="C1160" s="40"/>
      <c r="D1160" s="54"/>
      <c r="E1160" s="40"/>
      <c r="F1160" s="40"/>
      <c r="G1160" s="55"/>
      <c r="H1160" s="58">
        <f>SUM(H1158:H1159)</f>
        <v>43330.14</v>
      </c>
    </row>
    <row r="1161" spans="1:8" x14ac:dyDescent="0.3">
      <c r="A1161" s="53">
        <v>3</v>
      </c>
      <c r="B1161" s="57" t="s">
        <v>8</v>
      </c>
      <c r="C1161" s="40">
        <v>1</v>
      </c>
      <c r="D1161" s="54">
        <v>3015</v>
      </c>
      <c r="E1161" s="40">
        <v>5</v>
      </c>
      <c r="F1161" s="40">
        <f>C1161*D1161*E1161</f>
        <v>15075</v>
      </c>
      <c r="G1161" s="55">
        <v>0</v>
      </c>
      <c r="H1161" s="58">
        <f>(1-G1161)*F1161</f>
        <v>15075</v>
      </c>
    </row>
    <row r="1162" spans="1:8" x14ac:dyDescent="0.3">
      <c r="A1162" s="53"/>
      <c r="B1162" s="57" t="s">
        <v>9</v>
      </c>
      <c r="C1162" s="39"/>
      <c r="D1162" s="59"/>
      <c r="E1162" s="39"/>
      <c r="F1162" s="39"/>
      <c r="G1162" s="39"/>
      <c r="H1162" s="58">
        <f>H1160+H1161</f>
        <v>58405.14</v>
      </c>
    </row>
    <row r="1163" spans="1:8" s="3" customFormat="1" x14ac:dyDescent="0.3">
      <c r="A1163" s="60"/>
      <c r="B1163" s="79">
        <v>2520</v>
      </c>
      <c r="C1163" s="47" t="s">
        <v>789</v>
      </c>
      <c r="D1163" s="156"/>
      <c r="E1163" s="47" t="s">
        <v>1938</v>
      </c>
      <c r="F1163" s="47"/>
      <c r="G1163" s="60"/>
      <c r="H1163" s="48"/>
    </row>
    <row r="1164" spans="1:8" x14ac:dyDescent="0.3">
      <c r="A1164" s="39"/>
      <c r="B1164" s="165" t="s">
        <v>10</v>
      </c>
      <c r="C1164" s="166" t="s">
        <v>1</v>
      </c>
      <c r="D1164" s="167" t="s">
        <v>2</v>
      </c>
      <c r="E1164" s="165" t="s">
        <v>3</v>
      </c>
      <c r="F1164" s="165" t="s">
        <v>4</v>
      </c>
      <c r="G1164" s="165" t="s">
        <v>5</v>
      </c>
      <c r="H1164" s="168" t="s">
        <v>6</v>
      </c>
    </row>
    <row r="1165" spans="1:8" ht="100.8" x14ac:dyDescent="0.3">
      <c r="A1165" s="151">
        <v>1</v>
      </c>
      <c r="B1165" s="53" t="s">
        <v>790</v>
      </c>
      <c r="C1165" s="40">
        <v>1</v>
      </c>
      <c r="D1165" s="41">
        <v>303.83999999999997</v>
      </c>
      <c r="E1165" s="40">
        <v>450</v>
      </c>
      <c r="F1165" s="40">
        <f>C1165*D1165*E1165</f>
        <v>136728</v>
      </c>
      <c r="G1165" s="55">
        <v>0.5</v>
      </c>
      <c r="H1165" s="42">
        <f>(1-G1165)*F1165</f>
        <v>68364</v>
      </c>
    </row>
    <row r="1166" spans="1:8" ht="86.4" x14ac:dyDescent="0.3">
      <c r="A1166" s="40">
        <v>2</v>
      </c>
      <c r="B1166" s="53" t="s">
        <v>791</v>
      </c>
      <c r="C1166" s="40">
        <v>1</v>
      </c>
      <c r="D1166" s="41">
        <v>28</v>
      </c>
      <c r="E1166" s="40">
        <v>100</v>
      </c>
      <c r="F1166" s="40">
        <f>C1166*D1166*E1166</f>
        <v>2800</v>
      </c>
      <c r="G1166" s="55">
        <v>0.6</v>
      </c>
      <c r="H1166" s="42">
        <f>(1-G1166)*F1166</f>
        <v>1120</v>
      </c>
    </row>
    <row r="1167" spans="1:8" ht="28.8" x14ac:dyDescent="0.3">
      <c r="A1167" s="40">
        <v>3</v>
      </c>
      <c r="B1167" s="53" t="s">
        <v>1467</v>
      </c>
      <c r="C1167" s="40">
        <v>1</v>
      </c>
      <c r="D1167" s="54">
        <v>114.76</v>
      </c>
      <c r="E1167" s="40">
        <v>45</v>
      </c>
      <c r="F1167" s="40">
        <f>C1167*D1167*E1167</f>
        <v>5164.2</v>
      </c>
      <c r="G1167" s="55">
        <v>0.5</v>
      </c>
      <c r="H1167" s="42">
        <f>F1167*(1-G1167)</f>
        <v>2582.1</v>
      </c>
    </row>
    <row r="1168" spans="1:8" x14ac:dyDescent="0.3">
      <c r="A1168" s="40"/>
      <c r="B1168" s="40" t="s">
        <v>11</v>
      </c>
      <c r="C1168" s="57"/>
      <c r="D1168" s="105"/>
      <c r="E1168" s="39"/>
      <c r="F1168" s="39"/>
      <c r="G1168" s="39"/>
      <c r="H1168" s="58">
        <f>H1165+H1166+H1167</f>
        <v>72066.100000000006</v>
      </c>
    </row>
    <row r="1169" spans="1:10" x14ac:dyDescent="0.3">
      <c r="A1169" s="40">
        <v>4</v>
      </c>
      <c r="B1169" s="40" t="s">
        <v>8</v>
      </c>
      <c r="C1169" s="40">
        <v>1</v>
      </c>
      <c r="D1169" s="146">
        <v>3293</v>
      </c>
      <c r="E1169" s="40">
        <v>5</v>
      </c>
      <c r="F1169" s="169">
        <f>C1169*D1169*E1169</f>
        <v>16465</v>
      </c>
      <c r="G1169" s="55">
        <v>0</v>
      </c>
      <c r="H1169" s="42">
        <f>(1-G1169)*F1169</f>
        <v>16465</v>
      </c>
    </row>
    <row r="1170" spans="1:10" x14ac:dyDescent="0.3">
      <c r="A1170" s="40"/>
      <c r="B1170" s="39" t="s">
        <v>9</v>
      </c>
      <c r="C1170" s="39"/>
      <c r="D1170" s="105"/>
      <c r="E1170" s="39"/>
      <c r="F1170" s="170"/>
      <c r="G1170" s="39"/>
      <c r="H1170" s="58">
        <f>H1168+H1169</f>
        <v>88531.1</v>
      </c>
    </row>
    <row r="1171" spans="1:10" s="3" customFormat="1" x14ac:dyDescent="0.3">
      <c r="A1171" s="142"/>
      <c r="B1171" s="158">
        <v>2521</v>
      </c>
      <c r="C1171" s="140" t="s">
        <v>1010</v>
      </c>
      <c r="D1171" s="141"/>
      <c r="E1171" s="140" t="s">
        <v>1005</v>
      </c>
      <c r="F1171" s="142"/>
      <c r="G1171" s="142"/>
      <c r="H1171" s="143"/>
    </row>
    <row r="1172" spans="1:10" x14ac:dyDescent="0.3">
      <c r="A1172" s="159"/>
      <c r="B1172" s="160" t="s">
        <v>10</v>
      </c>
      <c r="C1172" s="160" t="s">
        <v>1</v>
      </c>
      <c r="D1172" s="161" t="s">
        <v>2</v>
      </c>
      <c r="E1172" s="159" t="s">
        <v>3</v>
      </c>
      <c r="F1172" s="159" t="s">
        <v>4</v>
      </c>
      <c r="G1172" s="159" t="s">
        <v>5</v>
      </c>
      <c r="H1172" s="162" t="s">
        <v>6</v>
      </c>
      <c r="I1172" s="37"/>
      <c r="J1172" s="37"/>
    </row>
    <row r="1173" spans="1:10" ht="100.8" x14ac:dyDescent="0.3">
      <c r="A1173" s="163">
        <v>1</v>
      </c>
      <c r="B1173" s="163" t="s">
        <v>1770</v>
      </c>
      <c r="C1173" s="87">
        <v>1</v>
      </c>
      <c r="D1173" s="164">
        <f>15.5*4.3</f>
        <v>66.649999999999991</v>
      </c>
      <c r="E1173" s="87">
        <v>450</v>
      </c>
      <c r="F1173" s="87">
        <f>C1173*D1173*E1173</f>
        <v>29992.499999999996</v>
      </c>
      <c r="G1173" s="89">
        <v>0.4</v>
      </c>
      <c r="H1173" s="90">
        <f>F1173*(1-G1173)</f>
        <v>17995.499999999996</v>
      </c>
    </row>
    <row r="1174" spans="1:10" ht="86.4" x14ac:dyDescent="0.3">
      <c r="A1174" s="163">
        <v>2</v>
      </c>
      <c r="B1174" s="163" t="s">
        <v>1774</v>
      </c>
      <c r="C1174" s="87">
        <v>1</v>
      </c>
      <c r="D1174" s="164">
        <f>13.5*21</f>
        <v>283.5</v>
      </c>
      <c r="E1174" s="87">
        <v>450</v>
      </c>
      <c r="F1174" s="87">
        <f>C1174*D1174*E1174</f>
        <v>127575</v>
      </c>
      <c r="G1174" s="89">
        <v>0.3</v>
      </c>
      <c r="H1174" s="90">
        <f>F1174*(1-G1174)</f>
        <v>89302.5</v>
      </c>
    </row>
    <row r="1175" spans="1:10" ht="28.8" x14ac:dyDescent="0.3">
      <c r="A1175" s="163">
        <v>3</v>
      </c>
      <c r="B1175" s="163" t="s">
        <v>1466</v>
      </c>
      <c r="C1175" s="87">
        <v>1</v>
      </c>
      <c r="D1175" s="164">
        <v>240</v>
      </c>
      <c r="E1175" s="87">
        <v>45</v>
      </c>
      <c r="F1175" s="87">
        <f>C1175*D1175*E1175</f>
        <v>10800</v>
      </c>
      <c r="G1175" s="89">
        <v>0.4</v>
      </c>
      <c r="H1175" s="90">
        <f>F1175*(1-G1175)</f>
        <v>6480</v>
      </c>
    </row>
    <row r="1176" spans="1:10" x14ac:dyDescent="0.3">
      <c r="A1176" s="163"/>
      <c r="B1176" s="160" t="s">
        <v>7</v>
      </c>
      <c r="C1176" s="87"/>
      <c r="D1176" s="88"/>
      <c r="E1176" s="87"/>
      <c r="F1176" s="87"/>
      <c r="G1176" s="89"/>
      <c r="H1176" s="162">
        <f>SUM(H1173:H1175)</f>
        <v>113778</v>
      </c>
    </row>
    <row r="1177" spans="1:10" x14ac:dyDescent="0.3">
      <c r="A1177" s="163">
        <v>4</v>
      </c>
      <c r="B1177" s="160" t="s">
        <v>8</v>
      </c>
      <c r="C1177" s="87">
        <v>1</v>
      </c>
      <c r="D1177" s="88">
        <v>3804</v>
      </c>
      <c r="E1177" s="87">
        <v>5</v>
      </c>
      <c r="F1177" s="87">
        <f>C1177*D1177*E1177</f>
        <v>19020</v>
      </c>
      <c r="G1177" s="89">
        <v>0</v>
      </c>
      <c r="H1177" s="162">
        <f>(1-G1177)*F1177</f>
        <v>19020</v>
      </c>
    </row>
    <row r="1178" spans="1:10" x14ac:dyDescent="0.3">
      <c r="A1178" s="163"/>
      <c r="B1178" s="160" t="s">
        <v>9</v>
      </c>
      <c r="C1178" s="159"/>
      <c r="D1178" s="161"/>
      <c r="E1178" s="159"/>
      <c r="F1178" s="159"/>
      <c r="G1178" s="159"/>
      <c r="H1178" s="162">
        <f>H1176+H1177</f>
        <v>132798</v>
      </c>
    </row>
    <row r="1179" spans="1:10" x14ac:dyDescent="0.3">
      <c r="A1179" s="60"/>
      <c r="B1179" s="79">
        <v>2523</v>
      </c>
      <c r="C1179" s="47" t="s">
        <v>792</v>
      </c>
      <c r="D1179" s="156"/>
      <c r="E1179" s="47" t="s">
        <v>793</v>
      </c>
      <c r="F1179" s="47"/>
      <c r="G1179" s="60"/>
      <c r="H1179" s="48"/>
    </row>
    <row r="1180" spans="1:10" x14ac:dyDescent="0.3">
      <c r="A1180" s="39"/>
      <c r="B1180" s="165" t="s">
        <v>10</v>
      </c>
      <c r="C1180" s="166" t="s">
        <v>1</v>
      </c>
      <c r="D1180" s="167" t="s">
        <v>2</v>
      </c>
      <c r="E1180" s="165" t="s">
        <v>3</v>
      </c>
      <c r="F1180" s="165" t="s">
        <v>4</v>
      </c>
      <c r="G1180" s="165" t="s">
        <v>5</v>
      </c>
      <c r="H1180" s="168" t="s">
        <v>6</v>
      </c>
    </row>
    <row r="1181" spans="1:10" ht="57.6" x14ac:dyDescent="0.3">
      <c r="A1181" s="40">
        <v>1</v>
      </c>
      <c r="B1181" s="53" t="s">
        <v>1513</v>
      </c>
      <c r="C1181" s="40">
        <v>1</v>
      </c>
      <c r="D1181" s="41">
        <v>9269</v>
      </c>
      <c r="E1181" s="40">
        <v>150</v>
      </c>
      <c r="F1181" s="40">
        <f t="shared" ref="F1181:F1202" si="85">C1181*D1181*E1181</f>
        <v>1390350</v>
      </c>
      <c r="G1181" s="55">
        <v>0.7</v>
      </c>
      <c r="H1181" s="42">
        <f t="shared" ref="H1181:H1187" si="86">(1-G1181)*F1181</f>
        <v>417105.00000000006</v>
      </c>
    </row>
    <row r="1182" spans="1:10" ht="57.6" x14ac:dyDescent="0.3">
      <c r="A1182" s="40">
        <v>2</v>
      </c>
      <c r="B1182" s="53" t="s">
        <v>794</v>
      </c>
      <c r="C1182" s="40">
        <v>1</v>
      </c>
      <c r="D1182" s="41">
        <v>5240.76</v>
      </c>
      <c r="E1182" s="40">
        <v>200</v>
      </c>
      <c r="F1182" s="40">
        <f t="shared" si="85"/>
        <v>1048152</v>
      </c>
      <c r="G1182" s="55">
        <v>0.7</v>
      </c>
      <c r="H1182" s="42">
        <f t="shared" si="86"/>
        <v>314445.60000000003</v>
      </c>
    </row>
    <row r="1183" spans="1:10" ht="57.6" x14ac:dyDescent="0.3">
      <c r="A1183" s="40">
        <v>3</v>
      </c>
      <c r="B1183" s="53" t="s">
        <v>1514</v>
      </c>
      <c r="C1183" s="40">
        <v>1</v>
      </c>
      <c r="D1183" s="41">
        <v>3015.36</v>
      </c>
      <c r="E1183" s="40">
        <v>150</v>
      </c>
      <c r="F1183" s="40">
        <f t="shared" si="85"/>
        <v>452304</v>
      </c>
      <c r="G1183" s="55">
        <v>0.7</v>
      </c>
      <c r="H1183" s="42">
        <f t="shared" si="86"/>
        <v>135691.20000000001</v>
      </c>
    </row>
    <row r="1184" spans="1:10" ht="86.4" x14ac:dyDescent="0.3">
      <c r="A1184" s="40">
        <v>4</v>
      </c>
      <c r="B1184" s="53" t="s">
        <v>795</v>
      </c>
      <c r="C1184" s="40">
        <v>1</v>
      </c>
      <c r="D1184" s="41">
        <v>744.56</v>
      </c>
      <c r="E1184" s="40">
        <v>450</v>
      </c>
      <c r="F1184" s="40">
        <f t="shared" si="85"/>
        <v>335052</v>
      </c>
      <c r="G1184" s="55">
        <v>0.6</v>
      </c>
      <c r="H1184" s="42">
        <f t="shared" si="86"/>
        <v>134020.80000000002</v>
      </c>
    </row>
    <row r="1185" spans="1:8" ht="72" x14ac:dyDescent="0.3">
      <c r="A1185" s="40">
        <v>5</v>
      </c>
      <c r="B1185" s="53" t="s">
        <v>796</v>
      </c>
      <c r="C1185" s="40">
        <v>1</v>
      </c>
      <c r="D1185" s="41">
        <v>260.14999999999998</v>
      </c>
      <c r="E1185" s="40">
        <v>350</v>
      </c>
      <c r="F1185" s="40">
        <f t="shared" si="85"/>
        <v>91052.499999999985</v>
      </c>
      <c r="G1185" s="55">
        <v>0.5</v>
      </c>
      <c r="H1185" s="42">
        <f t="shared" si="86"/>
        <v>45526.249999999993</v>
      </c>
    </row>
    <row r="1186" spans="1:8" ht="86.4" x14ac:dyDescent="0.3">
      <c r="A1186" s="40">
        <v>6</v>
      </c>
      <c r="B1186" s="53" t="s">
        <v>1603</v>
      </c>
      <c r="C1186" s="40">
        <v>1</v>
      </c>
      <c r="D1186" s="41">
        <v>468</v>
      </c>
      <c r="E1186" s="40">
        <v>450</v>
      </c>
      <c r="F1186" s="40">
        <f t="shared" si="85"/>
        <v>210600</v>
      </c>
      <c r="G1186" s="55">
        <v>0.6</v>
      </c>
      <c r="H1186" s="42">
        <f t="shared" si="86"/>
        <v>84240</v>
      </c>
    </row>
    <row r="1187" spans="1:8" ht="43.2" x14ac:dyDescent="0.3">
      <c r="A1187" s="40">
        <v>7</v>
      </c>
      <c r="B1187" s="53" t="s">
        <v>1313</v>
      </c>
      <c r="C1187" s="40">
        <v>1</v>
      </c>
      <c r="D1187" s="41">
        <v>40</v>
      </c>
      <c r="E1187" s="40">
        <v>80</v>
      </c>
      <c r="F1187" s="40">
        <f t="shared" si="85"/>
        <v>3200</v>
      </c>
      <c r="G1187" s="55">
        <v>0.4</v>
      </c>
      <c r="H1187" s="42">
        <f t="shared" si="86"/>
        <v>1920</v>
      </c>
    </row>
    <row r="1188" spans="1:8" ht="86.4" x14ac:dyDescent="0.3">
      <c r="A1188" s="40">
        <v>8</v>
      </c>
      <c r="B1188" s="53" t="s">
        <v>797</v>
      </c>
      <c r="C1188" s="40">
        <v>1</v>
      </c>
      <c r="D1188" s="54">
        <v>832.13</v>
      </c>
      <c r="E1188" s="40">
        <v>450</v>
      </c>
      <c r="F1188" s="40">
        <f t="shared" si="85"/>
        <v>374458.5</v>
      </c>
      <c r="G1188" s="55">
        <v>0.7</v>
      </c>
      <c r="H1188" s="42">
        <f>F1188*(1-G1188)</f>
        <v>112337.55000000002</v>
      </c>
    </row>
    <row r="1189" spans="1:8" ht="43.2" x14ac:dyDescent="0.3">
      <c r="A1189" s="40">
        <v>9</v>
      </c>
      <c r="B1189" s="53" t="s">
        <v>1313</v>
      </c>
      <c r="C1189" s="40">
        <v>1</v>
      </c>
      <c r="D1189" s="41">
        <v>59.8</v>
      </c>
      <c r="E1189" s="40">
        <v>80</v>
      </c>
      <c r="F1189" s="40">
        <f t="shared" si="85"/>
        <v>4784</v>
      </c>
      <c r="G1189" s="55">
        <v>0.7</v>
      </c>
      <c r="H1189" s="42">
        <f>(1-G1189)*F1189</f>
        <v>1435.2000000000003</v>
      </c>
    </row>
    <row r="1190" spans="1:8" ht="57.6" x14ac:dyDescent="0.3">
      <c r="A1190" s="40">
        <v>10</v>
      </c>
      <c r="B1190" s="53" t="s">
        <v>1513</v>
      </c>
      <c r="C1190" s="40">
        <v>1</v>
      </c>
      <c r="D1190" s="54">
        <v>390</v>
      </c>
      <c r="E1190" s="40">
        <v>150</v>
      </c>
      <c r="F1190" s="40">
        <f t="shared" si="85"/>
        <v>58500</v>
      </c>
      <c r="G1190" s="55">
        <v>0.7</v>
      </c>
      <c r="H1190" s="42">
        <f t="shared" ref="H1190:H1202" si="87">F1190*(1-G1190)</f>
        <v>17550.000000000004</v>
      </c>
    </row>
    <row r="1191" spans="1:8" ht="43.2" x14ac:dyDescent="0.3">
      <c r="A1191" s="40">
        <v>11</v>
      </c>
      <c r="B1191" s="53" t="s">
        <v>798</v>
      </c>
      <c r="C1191" s="40">
        <v>1</v>
      </c>
      <c r="D1191" s="54">
        <v>397.35</v>
      </c>
      <c r="E1191" s="40">
        <v>150</v>
      </c>
      <c r="F1191" s="40">
        <f t="shared" si="85"/>
        <v>59602.5</v>
      </c>
      <c r="G1191" s="55">
        <v>0.7</v>
      </c>
      <c r="H1191" s="42">
        <f t="shared" si="87"/>
        <v>17880.750000000004</v>
      </c>
    </row>
    <row r="1192" spans="1:8" ht="43.2" x14ac:dyDescent="0.3">
      <c r="A1192" s="40">
        <v>12</v>
      </c>
      <c r="B1192" s="53" t="s">
        <v>798</v>
      </c>
      <c r="C1192" s="40">
        <v>1</v>
      </c>
      <c r="D1192" s="54">
        <v>713.1</v>
      </c>
      <c r="E1192" s="40">
        <v>150</v>
      </c>
      <c r="F1192" s="40">
        <f t="shared" si="85"/>
        <v>106965</v>
      </c>
      <c r="G1192" s="55">
        <v>0.7</v>
      </c>
      <c r="H1192" s="42">
        <f t="shared" si="87"/>
        <v>32089.500000000004</v>
      </c>
    </row>
    <row r="1193" spans="1:8" ht="86.4" x14ac:dyDescent="0.3">
      <c r="A1193" s="40">
        <v>13</v>
      </c>
      <c r="B1193" s="53" t="s">
        <v>799</v>
      </c>
      <c r="C1193" s="40">
        <v>1</v>
      </c>
      <c r="D1193" s="54">
        <v>236.12</v>
      </c>
      <c r="E1193" s="40">
        <v>300</v>
      </c>
      <c r="F1193" s="40">
        <f t="shared" si="85"/>
        <v>70836</v>
      </c>
      <c r="G1193" s="55">
        <v>0.6</v>
      </c>
      <c r="H1193" s="42">
        <f t="shared" si="87"/>
        <v>28334.400000000001</v>
      </c>
    </row>
    <row r="1194" spans="1:8" ht="86.4" x14ac:dyDescent="0.3">
      <c r="A1194" s="40">
        <v>14</v>
      </c>
      <c r="B1194" s="53" t="s">
        <v>1515</v>
      </c>
      <c r="C1194" s="40">
        <v>1</v>
      </c>
      <c r="D1194" s="54">
        <v>123.9</v>
      </c>
      <c r="E1194" s="40">
        <v>350</v>
      </c>
      <c r="F1194" s="40">
        <f t="shared" si="85"/>
        <v>43365</v>
      </c>
      <c r="G1194" s="55">
        <v>0.6</v>
      </c>
      <c r="H1194" s="42">
        <f t="shared" si="87"/>
        <v>17346</v>
      </c>
    </row>
    <row r="1195" spans="1:8" ht="72" x14ac:dyDescent="0.3">
      <c r="A1195" s="40">
        <v>15</v>
      </c>
      <c r="B1195" s="53" t="s">
        <v>800</v>
      </c>
      <c r="C1195" s="40">
        <v>1</v>
      </c>
      <c r="D1195" s="54">
        <v>248.73</v>
      </c>
      <c r="E1195" s="40">
        <v>300</v>
      </c>
      <c r="F1195" s="40">
        <f t="shared" si="85"/>
        <v>74619</v>
      </c>
      <c r="G1195" s="55">
        <v>0.6</v>
      </c>
      <c r="H1195" s="42">
        <f t="shared" si="87"/>
        <v>29847.600000000002</v>
      </c>
    </row>
    <row r="1196" spans="1:8" ht="72" x14ac:dyDescent="0.3">
      <c r="A1196" s="40">
        <v>16</v>
      </c>
      <c r="B1196" s="53" t="s">
        <v>1604</v>
      </c>
      <c r="C1196" s="40">
        <v>1</v>
      </c>
      <c r="D1196" s="54">
        <v>133.76</v>
      </c>
      <c r="E1196" s="40">
        <v>550</v>
      </c>
      <c r="F1196" s="40">
        <f t="shared" si="85"/>
        <v>73568</v>
      </c>
      <c r="G1196" s="55">
        <v>0.6</v>
      </c>
      <c r="H1196" s="42">
        <f t="shared" si="87"/>
        <v>29427.200000000001</v>
      </c>
    </row>
    <row r="1197" spans="1:8" ht="72" x14ac:dyDescent="0.3">
      <c r="A1197" s="40">
        <v>17</v>
      </c>
      <c r="B1197" s="53" t="s">
        <v>801</v>
      </c>
      <c r="C1197" s="40">
        <v>1</v>
      </c>
      <c r="D1197" s="54">
        <v>15.6</v>
      </c>
      <c r="E1197" s="40">
        <v>150</v>
      </c>
      <c r="F1197" s="40">
        <f t="shared" si="85"/>
        <v>2340</v>
      </c>
      <c r="G1197" s="55">
        <v>0.6</v>
      </c>
      <c r="H1197" s="42">
        <f t="shared" si="87"/>
        <v>936</v>
      </c>
    </row>
    <row r="1198" spans="1:8" ht="57.6" x14ac:dyDescent="0.3">
      <c r="A1198" s="40">
        <v>18</v>
      </c>
      <c r="B1198" s="53" t="s">
        <v>802</v>
      </c>
      <c r="C1198" s="40">
        <v>1</v>
      </c>
      <c r="D1198" s="54">
        <v>9.44</v>
      </c>
      <c r="E1198" s="40">
        <v>100</v>
      </c>
      <c r="F1198" s="40">
        <f t="shared" si="85"/>
        <v>944</v>
      </c>
      <c r="G1198" s="55">
        <v>0.6</v>
      </c>
      <c r="H1198" s="42">
        <f t="shared" si="87"/>
        <v>377.6</v>
      </c>
    </row>
    <row r="1199" spans="1:8" s="3" customFormat="1" ht="86.4" x14ac:dyDescent="0.3">
      <c r="A1199" s="151">
        <v>19</v>
      </c>
      <c r="B1199" s="53" t="s">
        <v>803</v>
      </c>
      <c r="C1199" s="40">
        <v>1</v>
      </c>
      <c r="D1199" s="54">
        <v>222.52</v>
      </c>
      <c r="E1199" s="40">
        <v>450</v>
      </c>
      <c r="F1199" s="40">
        <f t="shared" si="85"/>
        <v>100134</v>
      </c>
      <c r="G1199" s="55">
        <v>0.6</v>
      </c>
      <c r="H1199" s="42">
        <f t="shared" si="87"/>
        <v>40053.600000000006</v>
      </c>
    </row>
    <row r="1200" spans="1:8" ht="43.2" x14ac:dyDescent="0.3">
      <c r="A1200" s="171">
        <v>20</v>
      </c>
      <c r="B1200" s="53" t="s">
        <v>804</v>
      </c>
      <c r="C1200" s="40">
        <v>1</v>
      </c>
      <c r="D1200" s="54">
        <v>6</v>
      </c>
      <c r="E1200" s="40">
        <v>80</v>
      </c>
      <c r="F1200" s="40">
        <f t="shared" si="85"/>
        <v>480</v>
      </c>
      <c r="G1200" s="55">
        <v>0.6</v>
      </c>
      <c r="H1200" s="42">
        <f t="shared" si="87"/>
        <v>192</v>
      </c>
    </row>
    <row r="1201" spans="1:8" x14ac:dyDescent="0.3">
      <c r="A1201" s="83">
        <v>21</v>
      </c>
      <c r="B1201" s="53" t="s">
        <v>805</v>
      </c>
      <c r="C1201" s="40">
        <v>2</v>
      </c>
      <c r="D1201" s="54">
        <v>1</v>
      </c>
      <c r="E1201" s="40">
        <v>1250</v>
      </c>
      <c r="F1201" s="40">
        <f t="shared" si="85"/>
        <v>2500</v>
      </c>
      <c r="G1201" s="55">
        <v>0.5</v>
      </c>
      <c r="H1201" s="42">
        <f t="shared" si="87"/>
        <v>1250</v>
      </c>
    </row>
    <row r="1202" spans="1:8" ht="28.8" x14ac:dyDescent="0.3">
      <c r="A1202" s="83">
        <v>22</v>
      </c>
      <c r="B1202" s="53" t="s">
        <v>806</v>
      </c>
      <c r="C1202" s="40">
        <v>1</v>
      </c>
      <c r="D1202" s="54">
        <v>30000</v>
      </c>
      <c r="E1202" s="40">
        <v>0.55000000000000004</v>
      </c>
      <c r="F1202" s="40">
        <f t="shared" si="85"/>
        <v>16500</v>
      </c>
      <c r="G1202" s="55">
        <v>0.5</v>
      </c>
      <c r="H1202" s="42">
        <f t="shared" si="87"/>
        <v>8250</v>
      </c>
    </row>
    <row r="1203" spans="1:8" x14ac:dyDescent="0.3">
      <c r="A1203" s="83"/>
      <c r="B1203" s="40" t="s">
        <v>11</v>
      </c>
      <c r="C1203" s="57"/>
      <c r="D1203" s="105"/>
      <c r="E1203" s="39"/>
      <c r="F1203" s="39"/>
      <c r="G1203" s="39"/>
      <c r="H1203" s="58">
        <f>SUM(H1181:H1202)</f>
        <v>1470256.2500000002</v>
      </c>
    </row>
    <row r="1204" spans="1:8" x14ac:dyDescent="0.3">
      <c r="A1204" s="40">
        <v>23</v>
      </c>
      <c r="B1204" s="40" t="s">
        <v>8</v>
      </c>
      <c r="C1204" s="40">
        <v>1</v>
      </c>
      <c r="D1204" s="146">
        <v>105657</v>
      </c>
      <c r="E1204" s="40">
        <v>5</v>
      </c>
      <c r="F1204" s="169">
        <f>(10000*5)+(10000*3.75)+(10000*2.5)+(75657*1.25)</f>
        <v>207071.25</v>
      </c>
      <c r="G1204" s="55">
        <v>0</v>
      </c>
      <c r="H1204" s="42">
        <f>(1-G1204)*F1204</f>
        <v>207071.25</v>
      </c>
    </row>
    <row r="1205" spans="1:8" x14ac:dyDescent="0.3">
      <c r="A1205" s="40"/>
      <c r="B1205" s="39" t="s">
        <v>9</v>
      </c>
      <c r="C1205" s="39"/>
      <c r="D1205" s="105"/>
      <c r="E1205" s="39"/>
      <c r="F1205" s="170"/>
      <c r="G1205" s="39"/>
      <c r="H1205" s="58">
        <f>H1203+H1204</f>
        <v>1677327.5000000002</v>
      </c>
    </row>
    <row r="1206" spans="1:8" x14ac:dyDescent="0.3">
      <c r="A1206" s="51"/>
      <c r="B1206" s="57"/>
      <c r="C1206" s="39"/>
      <c r="D1206" s="59"/>
      <c r="E1206" s="39"/>
      <c r="F1206" s="39"/>
      <c r="G1206" s="39"/>
      <c r="H1206" s="58"/>
    </row>
    <row r="1207" spans="1:8" x14ac:dyDescent="0.3">
      <c r="A1207" s="43"/>
      <c r="B1207" s="62">
        <v>2528</v>
      </c>
      <c r="C1207" s="44" t="s">
        <v>1011</v>
      </c>
      <c r="D1207" s="73"/>
      <c r="E1207" s="44" t="s">
        <v>1012</v>
      </c>
      <c r="F1207" s="60"/>
      <c r="G1207" s="60"/>
      <c r="H1207" s="48"/>
    </row>
    <row r="1208" spans="1:8" x14ac:dyDescent="0.3">
      <c r="A1208" s="39"/>
      <c r="B1208" s="107" t="s">
        <v>10</v>
      </c>
      <c r="C1208" s="107" t="s">
        <v>1</v>
      </c>
      <c r="D1208" s="108" t="s">
        <v>2</v>
      </c>
      <c r="E1208" s="109" t="s">
        <v>3</v>
      </c>
      <c r="F1208" s="109" t="s">
        <v>4</v>
      </c>
      <c r="G1208" s="109" t="s">
        <v>5</v>
      </c>
      <c r="H1208" s="106" t="s">
        <v>6</v>
      </c>
    </row>
    <row r="1209" spans="1:8" ht="129.6" x14ac:dyDescent="0.3">
      <c r="A1209" s="53">
        <v>1</v>
      </c>
      <c r="B1209" s="53" t="s">
        <v>1775</v>
      </c>
      <c r="C1209" s="40">
        <v>1</v>
      </c>
      <c r="D1209" s="91">
        <f>455.5+345.78+47.95</f>
        <v>849.23</v>
      </c>
      <c r="E1209" s="40">
        <v>250</v>
      </c>
      <c r="F1209" s="40">
        <f t="shared" ref="F1209:F1216" si="88">C1209*D1209*E1209</f>
        <v>212307.5</v>
      </c>
      <c r="G1209" s="55">
        <v>0.4</v>
      </c>
      <c r="H1209" s="42">
        <f t="shared" ref="H1209:H1216" si="89">F1209*(1-G1209)</f>
        <v>127384.5</v>
      </c>
    </row>
    <row r="1210" spans="1:8" ht="100.8" x14ac:dyDescent="0.3">
      <c r="A1210" s="53">
        <v>2</v>
      </c>
      <c r="B1210" s="53" t="s">
        <v>1776</v>
      </c>
      <c r="C1210" s="40">
        <v>1</v>
      </c>
      <c r="D1210" s="91">
        <v>291.2</v>
      </c>
      <c r="E1210" s="40">
        <v>120</v>
      </c>
      <c r="F1210" s="40">
        <f t="shared" si="88"/>
        <v>34944</v>
      </c>
      <c r="G1210" s="55">
        <v>0.4</v>
      </c>
      <c r="H1210" s="42">
        <f t="shared" si="89"/>
        <v>20966.399999999998</v>
      </c>
    </row>
    <row r="1211" spans="1:8" ht="100.8" x14ac:dyDescent="0.3">
      <c r="A1211" s="53">
        <v>3</v>
      </c>
      <c r="B1211" s="53" t="s">
        <v>1777</v>
      </c>
      <c r="C1211" s="40">
        <v>1</v>
      </c>
      <c r="D1211" s="91">
        <v>182</v>
      </c>
      <c r="E1211" s="40">
        <v>120</v>
      </c>
      <c r="F1211" s="40">
        <f t="shared" si="88"/>
        <v>21840</v>
      </c>
      <c r="G1211" s="55">
        <v>0.4</v>
      </c>
      <c r="H1211" s="42">
        <f t="shared" si="89"/>
        <v>13104</v>
      </c>
    </row>
    <row r="1212" spans="1:8" ht="129.6" x14ac:dyDescent="0.3">
      <c r="A1212" s="53">
        <v>4</v>
      </c>
      <c r="B1212" s="53" t="s">
        <v>1778</v>
      </c>
      <c r="C1212" s="40">
        <v>1</v>
      </c>
      <c r="D1212" s="91">
        <v>305.5</v>
      </c>
      <c r="E1212" s="40">
        <v>200</v>
      </c>
      <c r="F1212" s="40">
        <f t="shared" si="88"/>
        <v>61100</v>
      </c>
      <c r="G1212" s="55">
        <v>0.4</v>
      </c>
      <c r="H1212" s="42">
        <f t="shared" si="89"/>
        <v>36660</v>
      </c>
    </row>
    <row r="1213" spans="1:8" ht="86.4" x14ac:dyDescent="0.3">
      <c r="A1213" s="53">
        <v>5</v>
      </c>
      <c r="B1213" s="53" t="s">
        <v>1779</v>
      </c>
      <c r="C1213" s="40">
        <v>1</v>
      </c>
      <c r="D1213" s="91">
        <v>30</v>
      </c>
      <c r="E1213" s="40">
        <v>300</v>
      </c>
      <c r="F1213" s="40">
        <f t="shared" si="88"/>
        <v>9000</v>
      </c>
      <c r="G1213" s="55">
        <v>0.4</v>
      </c>
      <c r="H1213" s="42">
        <f t="shared" si="89"/>
        <v>5400</v>
      </c>
    </row>
    <row r="1214" spans="1:8" ht="100.8" x14ac:dyDescent="0.3">
      <c r="A1214" s="53">
        <v>6</v>
      </c>
      <c r="B1214" s="53" t="s">
        <v>1780</v>
      </c>
      <c r="C1214" s="40">
        <v>1</v>
      </c>
      <c r="D1214" s="91">
        <v>27</v>
      </c>
      <c r="E1214" s="40">
        <v>150</v>
      </c>
      <c r="F1214" s="40">
        <f t="shared" si="88"/>
        <v>4050</v>
      </c>
      <c r="G1214" s="55">
        <v>0.4</v>
      </c>
      <c r="H1214" s="42">
        <f t="shared" si="89"/>
        <v>2430</v>
      </c>
    </row>
    <row r="1215" spans="1:8" ht="115.2" x14ac:dyDescent="0.3">
      <c r="A1215" s="53">
        <v>7</v>
      </c>
      <c r="B1215" s="53" t="s">
        <v>1781</v>
      </c>
      <c r="C1215" s="40">
        <v>1</v>
      </c>
      <c r="D1215" s="91">
        <v>30</v>
      </c>
      <c r="E1215" s="40">
        <v>150</v>
      </c>
      <c r="F1215" s="40">
        <f t="shared" si="88"/>
        <v>4500</v>
      </c>
      <c r="G1215" s="55">
        <v>0.4</v>
      </c>
      <c r="H1215" s="42">
        <f t="shared" si="89"/>
        <v>2700</v>
      </c>
    </row>
    <row r="1216" spans="1:8" ht="115.2" x14ac:dyDescent="0.3">
      <c r="A1216" s="53">
        <v>8</v>
      </c>
      <c r="B1216" s="53" t="s">
        <v>1782</v>
      </c>
      <c r="C1216" s="40">
        <v>1</v>
      </c>
      <c r="D1216" s="91">
        <v>105</v>
      </c>
      <c r="E1216" s="40">
        <v>400</v>
      </c>
      <c r="F1216" s="40">
        <f t="shared" si="88"/>
        <v>42000</v>
      </c>
      <c r="G1216" s="55">
        <v>0.4</v>
      </c>
      <c r="H1216" s="42">
        <f t="shared" si="89"/>
        <v>25200</v>
      </c>
    </row>
    <row r="1217" spans="1:8" ht="57.6" x14ac:dyDescent="0.3">
      <c r="A1217" s="40">
        <f>1+A1216</f>
        <v>9</v>
      </c>
      <c r="B1217" s="110" t="s">
        <v>1536</v>
      </c>
      <c r="C1217" s="40">
        <v>1</v>
      </c>
      <c r="D1217" s="54">
        <v>139.5</v>
      </c>
      <c r="E1217" s="40">
        <v>120</v>
      </c>
      <c r="F1217" s="40">
        <f t="shared" ref="F1217:F1228" si="90">C1217*D1217*E1217</f>
        <v>16740</v>
      </c>
      <c r="G1217" s="55">
        <v>0.3</v>
      </c>
      <c r="H1217" s="42">
        <f t="shared" ref="H1217:H1230" si="91">F1217*(1-G1217)</f>
        <v>11718</v>
      </c>
    </row>
    <row r="1218" spans="1:8" ht="57.6" x14ac:dyDescent="0.3">
      <c r="A1218" s="40">
        <f t="shared" ref="A1218:A1240" si="92">1+A1217</f>
        <v>10</v>
      </c>
      <c r="B1218" s="110" t="s">
        <v>281</v>
      </c>
      <c r="C1218" s="40">
        <v>1</v>
      </c>
      <c r="D1218" s="54">
        <v>51</v>
      </c>
      <c r="E1218" s="40">
        <v>150</v>
      </c>
      <c r="F1218" s="40">
        <f t="shared" si="90"/>
        <v>7650</v>
      </c>
      <c r="G1218" s="55">
        <v>0.4</v>
      </c>
      <c r="H1218" s="42">
        <f t="shared" si="91"/>
        <v>4590</v>
      </c>
    </row>
    <row r="1219" spans="1:8" ht="43.2" x14ac:dyDescent="0.3">
      <c r="A1219" s="40">
        <f t="shared" si="92"/>
        <v>11</v>
      </c>
      <c r="B1219" s="110" t="s">
        <v>282</v>
      </c>
      <c r="C1219" s="40">
        <v>1</v>
      </c>
      <c r="D1219" s="54">
        <v>517.5</v>
      </c>
      <c r="E1219" s="40">
        <v>400</v>
      </c>
      <c r="F1219" s="40">
        <f t="shared" si="90"/>
        <v>207000</v>
      </c>
      <c r="G1219" s="55">
        <v>0.4</v>
      </c>
      <c r="H1219" s="42">
        <f t="shared" si="91"/>
        <v>124200</v>
      </c>
    </row>
    <row r="1220" spans="1:8" ht="57.6" x14ac:dyDescent="0.3">
      <c r="A1220" s="40">
        <f t="shared" si="92"/>
        <v>12</v>
      </c>
      <c r="B1220" s="110" t="s">
        <v>283</v>
      </c>
      <c r="C1220" s="40">
        <v>1</v>
      </c>
      <c r="D1220" s="54">
        <v>53.2</v>
      </c>
      <c r="E1220" s="40">
        <v>80</v>
      </c>
      <c r="F1220" s="40">
        <f t="shared" si="90"/>
        <v>4256</v>
      </c>
      <c r="G1220" s="55">
        <v>0.4</v>
      </c>
      <c r="H1220" s="42">
        <f t="shared" si="91"/>
        <v>2553.6</v>
      </c>
    </row>
    <row r="1221" spans="1:8" ht="57.6" x14ac:dyDescent="0.3">
      <c r="A1221" s="40">
        <f t="shared" si="92"/>
        <v>13</v>
      </c>
      <c r="B1221" s="110" t="s">
        <v>284</v>
      </c>
      <c r="C1221" s="40">
        <v>1</v>
      </c>
      <c r="D1221" s="54">
        <v>74.75</v>
      </c>
      <c r="E1221" s="40">
        <v>150</v>
      </c>
      <c r="F1221" s="40">
        <f t="shared" si="90"/>
        <v>11212.5</v>
      </c>
      <c r="G1221" s="55">
        <v>0.5</v>
      </c>
      <c r="H1221" s="42">
        <f t="shared" si="91"/>
        <v>5606.25</v>
      </c>
    </row>
    <row r="1222" spans="1:8" ht="57.6" x14ac:dyDescent="0.3">
      <c r="A1222" s="40">
        <f t="shared" si="92"/>
        <v>14</v>
      </c>
      <c r="B1222" s="110" t="s">
        <v>285</v>
      </c>
      <c r="C1222" s="40">
        <v>1</v>
      </c>
      <c r="D1222" s="54">
        <v>1804</v>
      </c>
      <c r="E1222" s="40">
        <v>400</v>
      </c>
      <c r="F1222" s="40">
        <f t="shared" si="90"/>
        <v>721600</v>
      </c>
      <c r="G1222" s="55">
        <v>0.4</v>
      </c>
      <c r="H1222" s="42">
        <f t="shared" si="91"/>
        <v>432960</v>
      </c>
    </row>
    <row r="1223" spans="1:8" ht="57.6" x14ac:dyDescent="0.3">
      <c r="A1223" s="40">
        <f t="shared" si="92"/>
        <v>15</v>
      </c>
      <c r="B1223" s="110" t="s">
        <v>286</v>
      </c>
      <c r="C1223" s="40">
        <v>1</v>
      </c>
      <c r="D1223" s="54">
        <v>8588.1200000000008</v>
      </c>
      <c r="E1223" s="40">
        <v>400</v>
      </c>
      <c r="F1223" s="40">
        <f t="shared" si="90"/>
        <v>3435248.0000000005</v>
      </c>
      <c r="G1223" s="55">
        <v>0.4</v>
      </c>
      <c r="H1223" s="42">
        <f t="shared" si="91"/>
        <v>2061148.8000000003</v>
      </c>
    </row>
    <row r="1224" spans="1:8" ht="57.6" x14ac:dyDescent="0.3">
      <c r="A1224" s="40">
        <f t="shared" si="92"/>
        <v>16</v>
      </c>
      <c r="B1224" s="53" t="s">
        <v>1537</v>
      </c>
      <c r="C1224" s="40">
        <v>1</v>
      </c>
      <c r="D1224" s="54">
        <v>735.14</v>
      </c>
      <c r="E1224" s="40">
        <v>150</v>
      </c>
      <c r="F1224" s="40">
        <f t="shared" si="90"/>
        <v>110271</v>
      </c>
      <c r="G1224" s="55">
        <v>0.4</v>
      </c>
      <c r="H1224" s="42">
        <f t="shared" si="91"/>
        <v>66162.599999999991</v>
      </c>
    </row>
    <row r="1225" spans="1:8" ht="57.6" x14ac:dyDescent="0.3">
      <c r="A1225" s="40">
        <f t="shared" si="92"/>
        <v>17</v>
      </c>
      <c r="B1225" s="53" t="s">
        <v>287</v>
      </c>
      <c r="C1225" s="40">
        <v>1</v>
      </c>
      <c r="D1225" s="54">
        <v>1328</v>
      </c>
      <c r="E1225" s="40">
        <v>150</v>
      </c>
      <c r="F1225" s="40">
        <f t="shared" si="90"/>
        <v>199200</v>
      </c>
      <c r="G1225" s="55">
        <v>0.4</v>
      </c>
      <c r="H1225" s="42">
        <f t="shared" si="91"/>
        <v>119520</v>
      </c>
    </row>
    <row r="1226" spans="1:8" ht="57.6" x14ac:dyDescent="0.3">
      <c r="A1226" s="40">
        <f t="shared" si="92"/>
        <v>18</v>
      </c>
      <c r="B1226" s="53" t="s">
        <v>288</v>
      </c>
      <c r="C1226" s="40">
        <v>1</v>
      </c>
      <c r="D1226" s="133">
        <v>70</v>
      </c>
      <c r="E1226" s="40">
        <v>150</v>
      </c>
      <c r="F1226" s="40">
        <f t="shared" si="90"/>
        <v>10500</v>
      </c>
      <c r="G1226" s="55">
        <v>0.4</v>
      </c>
      <c r="H1226" s="42">
        <f t="shared" si="91"/>
        <v>6300</v>
      </c>
    </row>
    <row r="1227" spans="1:8" ht="72" x14ac:dyDescent="0.3">
      <c r="A1227" s="40">
        <f t="shared" si="92"/>
        <v>19</v>
      </c>
      <c r="B1227" s="64" t="s">
        <v>531</v>
      </c>
      <c r="C1227" s="40">
        <v>1</v>
      </c>
      <c r="D1227" s="150">
        <v>540</v>
      </c>
      <c r="E1227" s="40">
        <v>300</v>
      </c>
      <c r="F1227" s="68">
        <f t="shared" si="90"/>
        <v>162000</v>
      </c>
      <c r="G1227" s="55">
        <v>0.5</v>
      </c>
      <c r="H1227" s="42">
        <f t="shared" si="91"/>
        <v>81000</v>
      </c>
    </row>
    <row r="1228" spans="1:8" ht="57.6" x14ac:dyDescent="0.3">
      <c r="A1228" s="40">
        <f t="shared" si="92"/>
        <v>20</v>
      </c>
      <c r="B1228" s="64" t="s">
        <v>532</v>
      </c>
      <c r="C1228" s="40">
        <v>1</v>
      </c>
      <c r="D1228" s="41">
        <v>1456</v>
      </c>
      <c r="E1228" s="40">
        <v>250</v>
      </c>
      <c r="F1228" s="68">
        <f t="shared" si="90"/>
        <v>364000</v>
      </c>
      <c r="G1228" s="55">
        <v>0.5</v>
      </c>
      <c r="H1228" s="42">
        <f t="shared" si="91"/>
        <v>182000</v>
      </c>
    </row>
    <row r="1229" spans="1:8" ht="72" x14ac:dyDescent="0.3">
      <c r="A1229" s="40">
        <f t="shared" si="92"/>
        <v>21</v>
      </c>
      <c r="B1229" s="64" t="s">
        <v>533</v>
      </c>
      <c r="C1229" s="40">
        <v>1</v>
      </c>
      <c r="D1229" s="41">
        <v>40</v>
      </c>
      <c r="E1229" s="40">
        <v>200</v>
      </c>
      <c r="F1229" s="68">
        <f t="shared" ref="F1229:F1236" si="93">D1229*E1229</f>
        <v>8000</v>
      </c>
      <c r="G1229" s="55">
        <v>0.5</v>
      </c>
      <c r="H1229" s="42">
        <f t="shared" si="91"/>
        <v>4000</v>
      </c>
    </row>
    <row r="1230" spans="1:8" ht="86.4" x14ac:dyDescent="0.3">
      <c r="A1230" s="40">
        <f t="shared" si="92"/>
        <v>22</v>
      </c>
      <c r="B1230" s="64" t="s">
        <v>534</v>
      </c>
      <c r="C1230" s="40">
        <v>1</v>
      </c>
      <c r="D1230" s="41">
        <v>640</v>
      </c>
      <c r="E1230" s="40">
        <v>250</v>
      </c>
      <c r="F1230" s="68">
        <f t="shared" si="93"/>
        <v>160000</v>
      </c>
      <c r="G1230" s="55">
        <v>0.5</v>
      </c>
      <c r="H1230" s="42">
        <f t="shared" si="91"/>
        <v>80000</v>
      </c>
    </row>
    <row r="1231" spans="1:8" ht="57.6" x14ac:dyDescent="0.3">
      <c r="A1231" s="40">
        <f t="shared" si="92"/>
        <v>23</v>
      </c>
      <c r="B1231" s="64" t="s">
        <v>1516</v>
      </c>
      <c r="C1231" s="40">
        <v>1</v>
      </c>
      <c r="D1231" s="41">
        <v>294</v>
      </c>
      <c r="E1231" s="40">
        <v>150</v>
      </c>
      <c r="F1231" s="68">
        <f t="shared" si="93"/>
        <v>44100</v>
      </c>
      <c r="G1231" s="55">
        <v>0.5</v>
      </c>
      <c r="H1231" s="42">
        <f t="shared" ref="H1231:H1237" si="94">F1231*(1-G1231)</f>
        <v>22050</v>
      </c>
    </row>
    <row r="1232" spans="1:8" ht="72" x14ac:dyDescent="0.3">
      <c r="A1232" s="40">
        <f t="shared" si="92"/>
        <v>24</v>
      </c>
      <c r="B1232" s="64" t="s">
        <v>535</v>
      </c>
      <c r="C1232" s="40">
        <v>1</v>
      </c>
      <c r="D1232" s="41">
        <v>21</v>
      </c>
      <c r="E1232" s="40">
        <v>100</v>
      </c>
      <c r="F1232" s="68">
        <f t="shared" si="93"/>
        <v>2100</v>
      </c>
      <c r="G1232" s="55">
        <v>0.5</v>
      </c>
      <c r="H1232" s="42">
        <f t="shared" si="94"/>
        <v>1050</v>
      </c>
    </row>
    <row r="1233" spans="1:11" ht="57.6" x14ac:dyDescent="0.3">
      <c r="A1233" s="40">
        <f t="shared" si="92"/>
        <v>25</v>
      </c>
      <c r="B1233" s="64" t="s">
        <v>1517</v>
      </c>
      <c r="C1233" s="40">
        <v>1</v>
      </c>
      <c r="D1233" s="41">
        <v>355</v>
      </c>
      <c r="E1233" s="40">
        <v>150</v>
      </c>
      <c r="F1233" s="68">
        <f t="shared" si="93"/>
        <v>53250</v>
      </c>
      <c r="G1233" s="55">
        <v>0.5</v>
      </c>
      <c r="H1233" s="42">
        <f t="shared" si="94"/>
        <v>26625</v>
      </c>
    </row>
    <row r="1234" spans="1:11" ht="57.6" x14ac:dyDescent="0.3">
      <c r="A1234" s="40">
        <f t="shared" si="92"/>
        <v>26</v>
      </c>
      <c r="B1234" s="64" t="s">
        <v>536</v>
      </c>
      <c r="C1234" s="40">
        <v>1</v>
      </c>
      <c r="D1234" s="41">
        <v>446</v>
      </c>
      <c r="E1234" s="40">
        <v>150</v>
      </c>
      <c r="F1234" s="68">
        <f t="shared" si="93"/>
        <v>66900</v>
      </c>
      <c r="G1234" s="55">
        <v>0.5</v>
      </c>
      <c r="H1234" s="42">
        <f t="shared" si="94"/>
        <v>33450</v>
      </c>
    </row>
    <row r="1235" spans="1:11" ht="72" x14ac:dyDescent="0.3">
      <c r="A1235" s="40">
        <f t="shared" si="92"/>
        <v>27</v>
      </c>
      <c r="B1235" s="64" t="s">
        <v>537</v>
      </c>
      <c r="C1235" s="40">
        <v>1</v>
      </c>
      <c r="D1235" s="41">
        <v>6</v>
      </c>
      <c r="E1235" s="40">
        <v>100</v>
      </c>
      <c r="F1235" s="68">
        <f t="shared" si="93"/>
        <v>600</v>
      </c>
      <c r="G1235" s="55">
        <v>0.5</v>
      </c>
      <c r="H1235" s="42">
        <f t="shared" si="94"/>
        <v>300</v>
      </c>
    </row>
    <row r="1236" spans="1:11" ht="72" x14ac:dyDescent="0.3">
      <c r="A1236" s="40">
        <f t="shared" si="92"/>
        <v>28</v>
      </c>
      <c r="B1236" s="64" t="s">
        <v>537</v>
      </c>
      <c r="C1236" s="40">
        <v>1</v>
      </c>
      <c r="D1236" s="41">
        <v>4</v>
      </c>
      <c r="E1236" s="40">
        <v>100</v>
      </c>
      <c r="F1236" s="68">
        <f t="shared" si="93"/>
        <v>400</v>
      </c>
      <c r="G1236" s="55">
        <v>0.5</v>
      </c>
      <c r="H1236" s="42">
        <f t="shared" si="94"/>
        <v>200</v>
      </c>
      <c r="I1236" s="37"/>
      <c r="J1236" s="37"/>
      <c r="K1236" s="37"/>
    </row>
    <row r="1237" spans="1:11" ht="43.2" x14ac:dyDescent="0.3">
      <c r="A1237" s="40">
        <f t="shared" si="92"/>
        <v>29</v>
      </c>
      <c r="B1237" s="64" t="s">
        <v>538</v>
      </c>
      <c r="C1237" s="40">
        <v>1</v>
      </c>
      <c r="D1237" s="172">
        <v>22</v>
      </c>
      <c r="E1237" s="40">
        <v>50</v>
      </c>
      <c r="F1237" s="68">
        <f>C1237*D1237*E1237</f>
        <v>1100</v>
      </c>
      <c r="G1237" s="55">
        <v>0.5</v>
      </c>
      <c r="H1237" s="42">
        <f t="shared" si="94"/>
        <v>550</v>
      </c>
      <c r="I1237" s="37"/>
      <c r="J1237" s="37"/>
      <c r="K1237" s="37"/>
    </row>
    <row r="1238" spans="1:11" ht="72" x14ac:dyDescent="0.3">
      <c r="A1238" s="40">
        <f t="shared" si="92"/>
        <v>30</v>
      </c>
      <c r="B1238" s="53" t="s">
        <v>807</v>
      </c>
      <c r="C1238" s="40">
        <v>1</v>
      </c>
      <c r="D1238" s="150">
        <v>12608</v>
      </c>
      <c r="E1238" s="40">
        <v>450</v>
      </c>
      <c r="F1238" s="40">
        <f>C1238*D1238*E1238</f>
        <v>5673600</v>
      </c>
      <c r="G1238" s="55">
        <v>0.6</v>
      </c>
      <c r="H1238" s="42">
        <f>(1-G1238)*F1238</f>
        <v>2269440</v>
      </c>
      <c r="I1238" s="37"/>
      <c r="J1238" s="37"/>
      <c r="K1238" s="37"/>
    </row>
    <row r="1239" spans="1:11" ht="72" x14ac:dyDescent="0.3">
      <c r="A1239" s="40">
        <f t="shared" si="92"/>
        <v>31</v>
      </c>
      <c r="B1239" s="53" t="s">
        <v>808</v>
      </c>
      <c r="C1239" s="40">
        <v>1</v>
      </c>
      <c r="D1239" s="41">
        <v>529.16999999999996</v>
      </c>
      <c r="E1239" s="40">
        <v>400</v>
      </c>
      <c r="F1239" s="40">
        <f>C1239*D1239*E1239</f>
        <v>211667.99999999997</v>
      </c>
      <c r="G1239" s="55">
        <v>0.6</v>
      </c>
      <c r="H1239" s="42">
        <f>(1-G1239)*F1239</f>
        <v>84667.199999999997</v>
      </c>
    </row>
    <row r="1240" spans="1:11" ht="86.4" x14ac:dyDescent="0.3">
      <c r="A1240" s="40">
        <f t="shared" si="92"/>
        <v>32</v>
      </c>
      <c r="B1240" s="53" t="s">
        <v>809</v>
      </c>
      <c r="C1240" s="40">
        <v>1</v>
      </c>
      <c r="D1240" s="41">
        <v>154.16</v>
      </c>
      <c r="E1240" s="40">
        <v>250</v>
      </c>
      <c r="F1240" s="40">
        <f>C1240*D1240*E1240</f>
        <v>38540</v>
      </c>
      <c r="G1240" s="55">
        <v>0.6</v>
      </c>
      <c r="H1240" s="42">
        <f>(1-G1240)*F1240</f>
        <v>15416</v>
      </c>
    </row>
    <row r="1241" spans="1:11" x14ac:dyDescent="0.3">
      <c r="A1241" s="53"/>
      <c r="B1241" s="57" t="s">
        <v>7</v>
      </c>
      <c r="C1241" s="40"/>
      <c r="D1241" s="54"/>
      <c r="E1241" s="40"/>
      <c r="F1241" s="40"/>
      <c r="G1241" s="55"/>
      <c r="H1241" s="58">
        <f>SUM(H1209:H1240)</f>
        <v>5869352.3500000006</v>
      </c>
    </row>
    <row r="1242" spans="1:11" x14ac:dyDescent="0.3">
      <c r="A1242" s="53">
        <v>33</v>
      </c>
      <c r="B1242" s="57" t="s">
        <v>8</v>
      </c>
      <c r="C1242" s="40">
        <v>1</v>
      </c>
      <c r="D1242" s="54">
        <v>282640</v>
      </c>
      <c r="E1242" s="40">
        <v>5</v>
      </c>
      <c r="F1242" s="68">
        <f>(10000*E1242)+(10000*E1242*0.75)+(10000*E1242*0.5)+(252640*E1242*0.25)</f>
        <v>428300</v>
      </c>
      <c r="G1242" s="55">
        <v>0</v>
      </c>
      <c r="H1242" s="58">
        <f>(1-G1242)*F1242</f>
        <v>428300</v>
      </c>
    </row>
    <row r="1243" spans="1:11" x14ac:dyDescent="0.3">
      <c r="A1243" s="53"/>
      <c r="B1243" s="57" t="s">
        <v>9</v>
      </c>
      <c r="C1243" s="39"/>
      <c r="D1243" s="59"/>
      <c r="E1243" s="39"/>
      <c r="F1243" s="39"/>
      <c r="G1243" s="39"/>
      <c r="H1243" s="58">
        <f>H1241+H1242</f>
        <v>6297652.3500000006</v>
      </c>
    </row>
    <row r="1244" spans="1:11" x14ac:dyDescent="0.3">
      <c r="A1244" s="60"/>
      <c r="B1244" s="79">
        <v>2529</v>
      </c>
      <c r="C1244" s="47" t="s">
        <v>810</v>
      </c>
      <c r="D1244" s="156"/>
      <c r="E1244" s="47" t="s">
        <v>811</v>
      </c>
      <c r="F1244" s="47"/>
      <c r="G1244" s="60"/>
      <c r="H1244" s="48"/>
    </row>
    <row r="1245" spans="1:11" x14ac:dyDescent="0.3">
      <c r="A1245" s="40"/>
      <c r="B1245" s="151" t="s">
        <v>10</v>
      </c>
      <c r="C1245" s="173" t="s">
        <v>1</v>
      </c>
      <c r="D1245" s="174" t="s">
        <v>2</v>
      </c>
      <c r="E1245" s="151" t="s">
        <v>3</v>
      </c>
      <c r="F1245" s="151" t="s">
        <v>4</v>
      </c>
      <c r="G1245" s="151" t="s">
        <v>5</v>
      </c>
      <c r="H1245" s="175" t="s">
        <v>6</v>
      </c>
    </row>
    <row r="1246" spans="1:11" ht="72" x14ac:dyDescent="0.3">
      <c r="A1246" s="40">
        <v>1</v>
      </c>
      <c r="B1246" s="53" t="s">
        <v>812</v>
      </c>
      <c r="C1246" s="40">
        <v>1</v>
      </c>
      <c r="D1246" s="41">
        <v>247.68</v>
      </c>
      <c r="E1246" s="40">
        <v>400</v>
      </c>
      <c r="F1246" s="40">
        <f>C1246*D1246*E1246</f>
        <v>99072</v>
      </c>
      <c r="G1246" s="55">
        <v>0.5</v>
      </c>
      <c r="H1246" s="42">
        <f>(1-G1246)*F1246</f>
        <v>49536</v>
      </c>
    </row>
    <row r="1247" spans="1:11" s="3" customFormat="1" ht="72" x14ac:dyDescent="0.3">
      <c r="A1247" s="151">
        <v>2</v>
      </c>
      <c r="B1247" s="53" t="s">
        <v>1518</v>
      </c>
      <c r="C1247" s="40">
        <v>1</v>
      </c>
      <c r="D1247" s="41">
        <v>219.56</v>
      </c>
      <c r="E1247" s="40">
        <v>400</v>
      </c>
      <c r="F1247" s="40">
        <f>C1247*D1247*E1247</f>
        <v>87824</v>
      </c>
      <c r="G1247" s="55">
        <v>0.6</v>
      </c>
      <c r="H1247" s="42">
        <f>(1-G1247)*F1247</f>
        <v>35129.599999999999</v>
      </c>
    </row>
    <row r="1248" spans="1:11" ht="57.6" x14ac:dyDescent="0.3">
      <c r="A1248" s="151">
        <v>3</v>
      </c>
      <c r="B1248" s="53" t="s">
        <v>813</v>
      </c>
      <c r="C1248" s="40">
        <v>1</v>
      </c>
      <c r="D1248" s="41">
        <v>45.77</v>
      </c>
      <c r="E1248" s="40">
        <v>100</v>
      </c>
      <c r="F1248" s="40">
        <f>C1248*D1248*E1248</f>
        <v>4577</v>
      </c>
      <c r="G1248" s="55">
        <v>0.5</v>
      </c>
      <c r="H1248" s="42">
        <f>(1-G1248)*F1248</f>
        <v>2288.5</v>
      </c>
    </row>
    <row r="1249" spans="1:8" ht="43.2" x14ac:dyDescent="0.3">
      <c r="A1249" s="40">
        <v>4</v>
      </c>
      <c r="B1249" s="53" t="s">
        <v>1314</v>
      </c>
      <c r="C1249" s="40">
        <v>1</v>
      </c>
      <c r="D1249" s="41">
        <v>33.619999999999997</v>
      </c>
      <c r="E1249" s="40">
        <v>80</v>
      </c>
      <c r="F1249" s="40">
        <f>C1249*D1249*E1249</f>
        <v>2689.6</v>
      </c>
      <c r="G1249" s="55">
        <v>0.6</v>
      </c>
      <c r="H1249" s="42">
        <f>(1-G1249)*F1249</f>
        <v>1075.8399999999999</v>
      </c>
    </row>
    <row r="1250" spans="1:8" ht="43.2" x14ac:dyDescent="0.3">
      <c r="A1250" s="83">
        <v>5</v>
      </c>
      <c r="B1250" s="53" t="s">
        <v>1468</v>
      </c>
      <c r="C1250" s="40">
        <v>1</v>
      </c>
      <c r="D1250" s="54">
        <v>166.44</v>
      </c>
      <c r="E1250" s="40">
        <v>45</v>
      </c>
      <c r="F1250" s="40">
        <f>C1250*D1250*E1250</f>
        <v>7489.8</v>
      </c>
      <c r="G1250" s="55">
        <v>0.7</v>
      </c>
      <c r="H1250" s="42">
        <f>(1-G1250)*F1250</f>
        <v>2246.9400000000005</v>
      </c>
    </row>
    <row r="1251" spans="1:8" x14ac:dyDescent="0.3">
      <c r="A1251" s="40"/>
      <c r="B1251" s="40" t="s">
        <v>11</v>
      </c>
      <c r="C1251" s="57"/>
      <c r="D1251" s="105"/>
      <c r="E1251" s="39"/>
      <c r="F1251" s="39"/>
      <c r="G1251" s="39"/>
      <c r="H1251" s="58">
        <f>SUM(H1246:H1250)</f>
        <v>90276.88</v>
      </c>
    </row>
    <row r="1252" spans="1:8" x14ac:dyDescent="0.3">
      <c r="A1252" s="40">
        <v>6</v>
      </c>
      <c r="B1252" s="40" t="s">
        <v>8</v>
      </c>
      <c r="C1252" s="40">
        <v>1</v>
      </c>
      <c r="D1252" s="146">
        <v>6926</v>
      </c>
      <c r="E1252" s="40">
        <v>5</v>
      </c>
      <c r="F1252" s="169">
        <f>C1252*D1252*E1252</f>
        <v>34630</v>
      </c>
      <c r="G1252" s="55">
        <v>0</v>
      </c>
      <c r="H1252" s="42">
        <f>(1-G1252)*F1252</f>
        <v>34630</v>
      </c>
    </row>
    <row r="1253" spans="1:8" x14ac:dyDescent="0.3">
      <c r="A1253" s="40"/>
      <c r="B1253" s="39" t="s">
        <v>9</v>
      </c>
      <c r="C1253" s="39"/>
      <c r="D1253" s="105"/>
      <c r="E1253" s="39"/>
      <c r="F1253" s="170"/>
      <c r="G1253" s="39"/>
      <c r="H1253" s="58">
        <f>H1251+H1252</f>
        <v>124906.88</v>
      </c>
    </row>
    <row r="1254" spans="1:8" x14ac:dyDescent="0.3">
      <c r="A1254" s="60"/>
      <c r="B1254" s="79">
        <v>2530</v>
      </c>
      <c r="C1254" s="47" t="s">
        <v>814</v>
      </c>
      <c r="D1254" s="156"/>
      <c r="E1254" s="47" t="s">
        <v>815</v>
      </c>
      <c r="F1254" s="47"/>
      <c r="G1254" s="60"/>
      <c r="H1254" s="48"/>
    </row>
    <row r="1255" spans="1:8" x14ac:dyDescent="0.3">
      <c r="A1255" s="39"/>
      <c r="B1255" s="151" t="s">
        <v>10</v>
      </c>
      <c r="C1255" s="173" t="s">
        <v>1</v>
      </c>
      <c r="D1255" s="174" t="s">
        <v>2</v>
      </c>
      <c r="E1255" s="151" t="s">
        <v>3</v>
      </c>
      <c r="F1255" s="151" t="s">
        <v>4</v>
      </c>
      <c r="G1255" s="151" t="s">
        <v>5</v>
      </c>
      <c r="H1255" s="175" t="s">
        <v>6</v>
      </c>
    </row>
    <row r="1256" spans="1:8" ht="57.6" x14ac:dyDescent="0.3">
      <c r="A1256" s="40">
        <v>1</v>
      </c>
      <c r="B1256" s="53" t="s">
        <v>816</v>
      </c>
      <c r="C1256" s="40">
        <v>1</v>
      </c>
      <c r="D1256" s="41">
        <v>486.69</v>
      </c>
      <c r="E1256" s="40">
        <v>400</v>
      </c>
      <c r="F1256" s="40">
        <f>C1256*D1256*E1256</f>
        <v>194676</v>
      </c>
      <c r="G1256" s="55">
        <v>0.6</v>
      </c>
      <c r="H1256" s="42">
        <f>(1-G1256)*F1256</f>
        <v>77870.400000000009</v>
      </c>
    </row>
    <row r="1257" spans="1:8" ht="57.6" x14ac:dyDescent="0.3">
      <c r="A1257" s="151">
        <v>2</v>
      </c>
      <c r="B1257" s="53" t="s">
        <v>1788</v>
      </c>
      <c r="C1257" s="40">
        <v>1</v>
      </c>
      <c r="D1257" s="41">
        <v>39.72</v>
      </c>
      <c r="E1257" s="40">
        <v>400</v>
      </c>
      <c r="F1257" s="40">
        <f>C1257*D1257*E1257</f>
        <v>15888</v>
      </c>
      <c r="G1257" s="55">
        <v>0.5</v>
      </c>
      <c r="H1257" s="42">
        <f>(1-G1257)*F1257</f>
        <v>7944</v>
      </c>
    </row>
    <row r="1258" spans="1:8" ht="57.6" x14ac:dyDescent="0.3">
      <c r="A1258" s="83">
        <v>3</v>
      </c>
      <c r="B1258" s="53" t="s">
        <v>813</v>
      </c>
      <c r="C1258" s="40">
        <v>1</v>
      </c>
      <c r="D1258" s="41">
        <v>12.64</v>
      </c>
      <c r="E1258" s="40">
        <v>100</v>
      </c>
      <c r="F1258" s="40">
        <f>C1258*D1258*E1258</f>
        <v>1264</v>
      </c>
      <c r="G1258" s="55">
        <v>0.6</v>
      </c>
      <c r="H1258" s="42">
        <f>(1-G1258)*F1258</f>
        <v>505.6</v>
      </c>
    </row>
    <row r="1259" spans="1:8" x14ac:dyDescent="0.3">
      <c r="A1259" s="83">
        <v>4</v>
      </c>
      <c r="B1259" s="53" t="s">
        <v>817</v>
      </c>
      <c r="C1259" s="40">
        <v>1</v>
      </c>
      <c r="D1259" s="54">
        <v>149.57</v>
      </c>
      <c r="E1259" s="40">
        <v>22</v>
      </c>
      <c r="F1259" s="40">
        <f>C1259*D1259*E1259</f>
        <v>3290.54</v>
      </c>
      <c r="G1259" s="55">
        <v>0.6</v>
      </c>
      <c r="H1259" s="42">
        <f>(1-G1259)*F1259</f>
        <v>1316.2160000000001</v>
      </c>
    </row>
    <row r="1260" spans="1:8" x14ac:dyDescent="0.3">
      <c r="A1260" s="40"/>
      <c r="B1260" s="40" t="s">
        <v>11</v>
      </c>
      <c r="C1260" s="57"/>
      <c r="D1260" s="105"/>
      <c r="E1260" s="39"/>
      <c r="F1260" s="39"/>
      <c r="G1260" s="39"/>
      <c r="H1260" s="58">
        <f>SUM(H1256:H1259)</f>
        <v>87636.216000000015</v>
      </c>
    </row>
    <row r="1261" spans="1:8" x14ac:dyDescent="0.3">
      <c r="A1261" s="40">
        <v>5</v>
      </c>
      <c r="B1261" s="40" t="s">
        <v>8</v>
      </c>
      <c r="C1261" s="40">
        <v>1</v>
      </c>
      <c r="D1261" s="146">
        <v>5593</v>
      </c>
      <c r="E1261" s="40">
        <v>5</v>
      </c>
      <c r="F1261" s="169">
        <f>C1261*D1261*E1261</f>
        <v>27965</v>
      </c>
      <c r="G1261" s="55">
        <v>0</v>
      </c>
      <c r="H1261" s="42">
        <f>(1-G1261)*F1261</f>
        <v>27965</v>
      </c>
    </row>
    <row r="1262" spans="1:8" x14ac:dyDescent="0.3">
      <c r="A1262" s="40"/>
      <c r="B1262" s="39" t="s">
        <v>9</v>
      </c>
      <c r="C1262" s="39"/>
      <c r="D1262" s="105"/>
      <c r="E1262" s="39"/>
      <c r="F1262" s="170"/>
      <c r="G1262" s="39"/>
      <c r="H1262" s="58">
        <f>H1260+H1261</f>
        <v>115601.21600000001</v>
      </c>
    </row>
    <row r="1263" spans="1:8" x14ac:dyDescent="0.3">
      <c r="A1263" s="40"/>
      <c r="B1263" s="39"/>
      <c r="C1263" s="39"/>
      <c r="D1263" s="105"/>
      <c r="E1263" s="39"/>
      <c r="F1263" s="170"/>
      <c r="G1263" s="39"/>
      <c r="H1263" s="58"/>
    </row>
    <row r="1264" spans="1:8" x14ac:dyDescent="0.3">
      <c r="A1264" s="40"/>
      <c r="B1264" s="39"/>
      <c r="C1264" s="39"/>
      <c r="D1264" s="105"/>
      <c r="E1264" s="39"/>
      <c r="F1264" s="170"/>
      <c r="G1264" s="39"/>
      <c r="H1264" s="58"/>
    </row>
    <row r="1265" spans="1:8" x14ac:dyDescent="0.3">
      <c r="A1265" s="43"/>
      <c r="B1265" s="62">
        <v>2532</v>
      </c>
      <c r="C1265" s="44" t="s">
        <v>1013</v>
      </c>
      <c r="D1265" s="73"/>
      <c r="E1265" s="44" t="s">
        <v>1014</v>
      </c>
      <c r="F1265" s="60"/>
      <c r="G1265" s="60"/>
      <c r="H1265" s="48"/>
    </row>
    <row r="1266" spans="1:8" x14ac:dyDescent="0.3">
      <c r="A1266" s="39"/>
      <c r="B1266" s="107" t="s">
        <v>10</v>
      </c>
      <c r="C1266" s="107" t="s">
        <v>1</v>
      </c>
      <c r="D1266" s="108" t="s">
        <v>2</v>
      </c>
      <c r="E1266" s="109" t="s">
        <v>3</v>
      </c>
      <c r="F1266" s="109" t="s">
        <v>4</v>
      </c>
      <c r="G1266" s="109" t="s">
        <v>5</v>
      </c>
      <c r="H1266" s="106" t="s">
        <v>6</v>
      </c>
    </row>
    <row r="1267" spans="1:8" ht="115.2" x14ac:dyDescent="0.3">
      <c r="A1267" s="53">
        <v>1</v>
      </c>
      <c r="B1267" s="53" t="s">
        <v>1783</v>
      </c>
      <c r="C1267" s="40">
        <v>1</v>
      </c>
      <c r="D1267" s="91">
        <v>63</v>
      </c>
      <c r="E1267" s="40">
        <v>450</v>
      </c>
      <c r="F1267" s="40">
        <f>C1267*D1267*E1267</f>
        <v>28350</v>
      </c>
      <c r="G1267" s="55">
        <v>0.4</v>
      </c>
      <c r="H1267" s="42">
        <f>F1267*(1-G1267)</f>
        <v>17010</v>
      </c>
    </row>
    <row r="1268" spans="1:8" ht="115.2" x14ac:dyDescent="0.3">
      <c r="A1268" s="53">
        <v>2</v>
      </c>
      <c r="B1268" s="53" t="s">
        <v>1784</v>
      </c>
      <c r="C1268" s="40">
        <v>1</v>
      </c>
      <c r="D1268" s="91">
        <v>172.2</v>
      </c>
      <c r="E1268" s="40">
        <v>250</v>
      </c>
      <c r="F1268" s="40">
        <f>C1268*D1268*E1268</f>
        <v>43050</v>
      </c>
      <c r="G1268" s="55">
        <v>0.4</v>
      </c>
      <c r="H1268" s="42">
        <f>F1268*(1-G1268)</f>
        <v>25830</v>
      </c>
    </row>
    <row r="1269" spans="1:8" ht="115.2" x14ac:dyDescent="0.3">
      <c r="A1269" s="53">
        <v>3</v>
      </c>
      <c r="B1269" s="53" t="s">
        <v>1597</v>
      </c>
      <c r="C1269" s="40">
        <v>1</v>
      </c>
      <c r="D1269" s="91">
        <v>54</v>
      </c>
      <c r="E1269" s="40">
        <v>250</v>
      </c>
      <c r="F1269" s="40">
        <f>C1269*D1269*E1269</f>
        <v>13500</v>
      </c>
      <c r="G1269" s="55">
        <v>0.4</v>
      </c>
      <c r="H1269" s="42">
        <f>F1269*(1-G1269)</f>
        <v>8100</v>
      </c>
    </row>
    <row r="1270" spans="1:8" ht="72" x14ac:dyDescent="0.3">
      <c r="A1270" s="53">
        <v>4</v>
      </c>
      <c r="B1270" s="53" t="s">
        <v>1598</v>
      </c>
      <c r="C1270" s="40">
        <v>1</v>
      </c>
      <c r="D1270" s="91">
        <v>200</v>
      </c>
      <c r="E1270" s="40">
        <v>150</v>
      </c>
      <c r="F1270" s="40">
        <f>C1270*D1270*E1270</f>
        <v>30000</v>
      </c>
      <c r="G1270" s="55">
        <v>0.4</v>
      </c>
      <c r="H1270" s="42">
        <f>F1270*(1-G1270)</f>
        <v>18000</v>
      </c>
    </row>
    <row r="1271" spans="1:8" ht="28.8" x14ac:dyDescent="0.3">
      <c r="A1271" s="53">
        <v>5</v>
      </c>
      <c r="B1271" s="53" t="s">
        <v>1015</v>
      </c>
      <c r="C1271" s="40">
        <v>1</v>
      </c>
      <c r="D1271" s="91">
        <v>149.57</v>
      </c>
      <c r="E1271" s="40">
        <v>22</v>
      </c>
      <c r="F1271" s="40">
        <f>C1271*D1271*E1271</f>
        <v>3290.54</v>
      </c>
      <c r="G1271" s="55">
        <v>0.4</v>
      </c>
      <c r="H1271" s="42">
        <f>F1271*(1-G1271)</f>
        <v>1974.3239999999998</v>
      </c>
    </row>
    <row r="1272" spans="1:8" x14ac:dyDescent="0.3">
      <c r="A1272" s="53"/>
      <c r="B1272" s="57" t="s">
        <v>7</v>
      </c>
      <c r="C1272" s="40"/>
      <c r="D1272" s="54"/>
      <c r="E1272" s="40"/>
      <c r="F1272" s="40"/>
      <c r="G1272" s="55"/>
      <c r="H1272" s="58">
        <f>SUM(H1267:H1271)</f>
        <v>70914.323999999993</v>
      </c>
    </row>
    <row r="1273" spans="1:8" x14ac:dyDescent="0.3">
      <c r="A1273" s="53">
        <v>6</v>
      </c>
      <c r="B1273" s="57" t="s">
        <v>8</v>
      </c>
      <c r="C1273" s="40">
        <v>1</v>
      </c>
      <c r="D1273" s="54">
        <v>5593</v>
      </c>
      <c r="E1273" s="40">
        <v>5</v>
      </c>
      <c r="F1273" s="40">
        <f>C1273*D1273*E1273</f>
        <v>27965</v>
      </c>
      <c r="G1273" s="55">
        <v>0</v>
      </c>
      <c r="H1273" s="58">
        <f>(1-G1273)*F1273</f>
        <v>27965</v>
      </c>
    </row>
    <row r="1274" spans="1:8" x14ac:dyDescent="0.3">
      <c r="A1274" s="53"/>
      <c r="B1274" s="57" t="s">
        <v>9</v>
      </c>
      <c r="C1274" s="39"/>
      <c r="D1274" s="59"/>
      <c r="E1274" s="39"/>
      <c r="F1274" s="39"/>
      <c r="G1274" s="39"/>
      <c r="H1274" s="58">
        <f>H1272+H1273</f>
        <v>98879.323999999993</v>
      </c>
    </row>
    <row r="1275" spans="1:8" x14ac:dyDescent="0.3">
      <c r="A1275" s="43"/>
      <c r="B1275" s="79">
        <v>2531</v>
      </c>
      <c r="C1275" s="47" t="s">
        <v>818</v>
      </c>
      <c r="D1275" s="156"/>
      <c r="E1275" s="47" t="s">
        <v>819</v>
      </c>
      <c r="F1275" s="47"/>
      <c r="G1275" s="60"/>
      <c r="H1275" s="48"/>
    </row>
    <row r="1276" spans="1:8" x14ac:dyDescent="0.3">
      <c r="A1276" s="40"/>
      <c r="B1276" s="151" t="s">
        <v>10</v>
      </c>
      <c r="C1276" s="173" t="s">
        <v>1</v>
      </c>
      <c r="D1276" s="174" t="s">
        <v>2</v>
      </c>
      <c r="E1276" s="151" t="s">
        <v>3</v>
      </c>
      <c r="F1276" s="151" t="s">
        <v>4</v>
      </c>
      <c r="G1276" s="151" t="s">
        <v>5</v>
      </c>
      <c r="H1276" s="175" t="s">
        <v>6</v>
      </c>
    </row>
    <row r="1277" spans="1:8" ht="28.8" x14ac:dyDescent="0.3">
      <c r="A1277" s="40">
        <v>1</v>
      </c>
      <c r="B1277" s="53" t="s">
        <v>1605</v>
      </c>
      <c r="C1277" s="40">
        <v>1</v>
      </c>
      <c r="D1277" s="41">
        <v>160.80000000000001</v>
      </c>
      <c r="E1277" s="40">
        <v>450</v>
      </c>
      <c r="F1277" s="40">
        <f>C1277*D1277*E1277</f>
        <v>72360</v>
      </c>
      <c r="G1277" s="55">
        <v>0.61</v>
      </c>
      <c r="H1277" s="42">
        <f>(1-G1277)*F1277</f>
        <v>28220.400000000001</v>
      </c>
    </row>
    <row r="1278" spans="1:8" ht="86.4" x14ac:dyDescent="0.3">
      <c r="A1278" s="40">
        <v>2</v>
      </c>
      <c r="B1278" s="53" t="s">
        <v>1789</v>
      </c>
      <c r="C1278" s="40">
        <v>1</v>
      </c>
      <c r="D1278" s="41">
        <v>109.63</v>
      </c>
      <c r="E1278" s="40">
        <v>400</v>
      </c>
      <c r="F1278" s="40">
        <f>C1278*D1278*E1278</f>
        <v>43852</v>
      </c>
      <c r="G1278" s="55">
        <v>0.6</v>
      </c>
      <c r="H1278" s="42">
        <f>(1-G1278)*F1278</f>
        <v>17540.8</v>
      </c>
    </row>
    <row r="1279" spans="1:8" ht="57.6" x14ac:dyDescent="0.3">
      <c r="A1279" s="40">
        <v>3</v>
      </c>
      <c r="B1279" s="53" t="s">
        <v>820</v>
      </c>
      <c r="C1279" s="40">
        <v>1</v>
      </c>
      <c r="D1279" s="41">
        <v>40</v>
      </c>
      <c r="E1279" s="40">
        <v>100</v>
      </c>
      <c r="F1279" s="40">
        <f>C1279*D1279*E1279</f>
        <v>4000</v>
      </c>
      <c r="G1279" s="55">
        <v>0.6</v>
      </c>
      <c r="H1279" s="42">
        <f>(1-G1279)*F1279</f>
        <v>1600</v>
      </c>
    </row>
    <row r="1280" spans="1:8" ht="57.6" x14ac:dyDescent="0.3">
      <c r="A1280" s="40">
        <v>4</v>
      </c>
      <c r="B1280" s="53" t="s">
        <v>821</v>
      </c>
      <c r="C1280" s="40">
        <v>1</v>
      </c>
      <c r="D1280" s="41">
        <v>14.58</v>
      </c>
      <c r="E1280" s="40">
        <v>100</v>
      </c>
      <c r="F1280" s="40">
        <f>C1280*D1280*E1280</f>
        <v>1458</v>
      </c>
      <c r="G1280" s="55">
        <v>0.5</v>
      </c>
      <c r="H1280" s="42">
        <f>(1-G1280)*F1280</f>
        <v>729</v>
      </c>
    </row>
    <row r="1281" spans="1:8" ht="28.8" x14ac:dyDescent="0.3">
      <c r="A1281" s="40">
        <v>5</v>
      </c>
      <c r="B1281" s="53" t="s">
        <v>822</v>
      </c>
      <c r="C1281" s="40">
        <v>1</v>
      </c>
      <c r="D1281" s="54">
        <f>176/2</f>
        <v>88</v>
      </c>
      <c r="E1281" s="40">
        <v>35</v>
      </c>
      <c r="F1281" s="40">
        <f>C1281*D1281*E1281</f>
        <v>3080</v>
      </c>
      <c r="G1281" s="55">
        <v>0.6</v>
      </c>
      <c r="H1281" s="42">
        <f>(1-G1281)*F1281</f>
        <v>1232</v>
      </c>
    </row>
    <row r="1282" spans="1:8" x14ac:dyDescent="0.3">
      <c r="A1282" s="40"/>
      <c r="B1282" s="40" t="s">
        <v>11</v>
      </c>
      <c r="C1282" s="57"/>
      <c r="D1282" s="105"/>
      <c r="E1282" s="39"/>
      <c r="F1282" s="39"/>
      <c r="G1282" s="39"/>
      <c r="H1282" s="58">
        <f>SUM(H1277:H1281)</f>
        <v>49322.2</v>
      </c>
    </row>
    <row r="1283" spans="1:8" x14ac:dyDescent="0.3">
      <c r="A1283" s="40">
        <v>6</v>
      </c>
      <c r="B1283" s="40" t="s">
        <v>8</v>
      </c>
      <c r="C1283" s="40">
        <v>1</v>
      </c>
      <c r="D1283" s="146">
        <v>7755</v>
      </c>
      <c r="E1283" s="40">
        <v>5</v>
      </c>
      <c r="F1283" s="169">
        <f>C1283*D1283*E1283</f>
        <v>38775</v>
      </c>
      <c r="G1283" s="55">
        <v>0</v>
      </c>
      <c r="H1283" s="42">
        <f>(1-G1283)*F1283</f>
        <v>38775</v>
      </c>
    </row>
    <row r="1284" spans="1:8" x14ac:dyDescent="0.3">
      <c r="A1284" s="40"/>
      <c r="B1284" s="39" t="s">
        <v>9</v>
      </c>
      <c r="C1284" s="39"/>
      <c r="D1284" s="105"/>
      <c r="E1284" s="39"/>
      <c r="F1284" s="170"/>
      <c r="G1284" s="39"/>
      <c r="H1284" s="58">
        <f>H1282+H1283</f>
        <v>88097.2</v>
      </c>
    </row>
    <row r="1285" spans="1:8" x14ac:dyDescent="0.3">
      <c r="A1285" s="51"/>
      <c r="B1285" s="57"/>
      <c r="C1285" s="39"/>
      <c r="D1285" s="59"/>
      <c r="E1285" s="39"/>
      <c r="F1285" s="39"/>
      <c r="G1285" s="39"/>
      <c r="H1285" s="58"/>
    </row>
    <row r="1286" spans="1:8" x14ac:dyDescent="0.3">
      <c r="A1286" s="44"/>
      <c r="B1286" s="86">
        <v>2533</v>
      </c>
      <c r="C1286" s="44" t="s">
        <v>215</v>
      </c>
      <c r="D1286" s="73"/>
      <c r="E1286" s="46" t="s">
        <v>216</v>
      </c>
      <c r="F1286" s="47"/>
      <c r="G1286" s="47"/>
      <c r="H1286" s="98"/>
    </row>
    <row r="1287" spans="1:8" x14ac:dyDescent="0.3">
      <c r="A1287" s="39"/>
      <c r="B1287" s="107" t="s">
        <v>0</v>
      </c>
      <c r="C1287" s="107" t="s">
        <v>1</v>
      </c>
      <c r="D1287" s="108" t="s">
        <v>2</v>
      </c>
      <c r="E1287" s="109" t="s">
        <v>3</v>
      </c>
      <c r="F1287" s="109" t="s">
        <v>4</v>
      </c>
      <c r="G1287" s="109" t="s">
        <v>5</v>
      </c>
      <c r="H1287" s="106" t="s">
        <v>6</v>
      </c>
    </row>
    <row r="1288" spans="1:8" ht="57.6" x14ac:dyDescent="0.3">
      <c r="A1288" s="40">
        <v>1</v>
      </c>
      <c r="B1288" s="110" t="s">
        <v>1790</v>
      </c>
      <c r="C1288" s="40">
        <v>1</v>
      </c>
      <c r="D1288" s="54">
        <v>450</v>
      </c>
      <c r="E1288" s="40">
        <v>300</v>
      </c>
      <c r="F1288" s="40">
        <f>C1288*D1288*E1288</f>
        <v>135000</v>
      </c>
      <c r="G1288" s="55">
        <v>0.4</v>
      </c>
      <c r="H1288" s="42">
        <f>F1288*(1-G1288)</f>
        <v>81000</v>
      </c>
    </row>
    <row r="1289" spans="1:8" s="3" customFormat="1" ht="72" x14ac:dyDescent="0.3">
      <c r="A1289" s="40">
        <v>2</v>
      </c>
      <c r="B1289" s="110" t="s">
        <v>218</v>
      </c>
      <c r="C1289" s="40">
        <v>1</v>
      </c>
      <c r="D1289" s="54">
        <v>222.39</v>
      </c>
      <c r="E1289" s="40">
        <v>200</v>
      </c>
      <c r="F1289" s="40">
        <f>C1289*D1289*E1289</f>
        <v>44478</v>
      </c>
      <c r="G1289" s="55">
        <v>0.4</v>
      </c>
      <c r="H1289" s="42">
        <f>F1289*(1-G1289)</f>
        <v>26686.799999999999</v>
      </c>
    </row>
    <row r="1290" spans="1:8" ht="57.6" x14ac:dyDescent="0.3">
      <c r="A1290" s="40">
        <v>3</v>
      </c>
      <c r="B1290" s="110" t="s">
        <v>219</v>
      </c>
      <c r="C1290" s="40">
        <v>1</v>
      </c>
      <c r="D1290" s="56">
        <v>112.2</v>
      </c>
      <c r="E1290" s="40">
        <v>100</v>
      </c>
      <c r="F1290" s="40">
        <f>C1290*D1290*E1290</f>
        <v>11220</v>
      </c>
      <c r="G1290" s="55">
        <v>0.4</v>
      </c>
      <c r="H1290" s="42">
        <f>F1290*(1-G1290)</f>
        <v>6732</v>
      </c>
    </row>
    <row r="1291" spans="1:8" ht="43.2" x14ac:dyDescent="0.3">
      <c r="A1291" s="40">
        <v>4</v>
      </c>
      <c r="B1291" s="53" t="s">
        <v>220</v>
      </c>
      <c r="C1291" s="40">
        <v>1</v>
      </c>
      <c r="D1291" s="41">
        <f>27.64*2</f>
        <v>55.28</v>
      </c>
      <c r="E1291" s="40">
        <v>50</v>
      </c>
      <c r="F1291" s="40">
        <f>C1291*D1291*E1291</f>
        <v>2764</v>
      </c>
      <c r="G1291" s="55">
        <v>0.4</v>
      </c>
      <c r="H1291" s="42">
        <f>(1-G1291)*F1291</f>
        <v>1658.3999999999999</v>
      </c>
    </row>
    <row r="1292" spans="1:8" ht="28.8" x14ac:dyDescent="0.3">
      <c r="A1292" s="40">
        <v>5</v>
      </c>
      <c r="B1292" s="110" t="s">
        <v>221</v>
      </c>
      <c r="C1292" s="40">
        <v>1</v>
      </c>
      <c r="D1292" s="54">
        <v>413.24</v>
      </c>
      <c r="E1292" s="40">
        <v>35</v>
      </c>
      <c r="F1292" s="40">
        <f>C1292*D1292*E1292</f>
        <v>14463.4</v>
      </c>
      <c r="G1292" s="55">
        <v>0.4</v>
      </c>
      <c r="H1292" s="42">
        <f>F1292*(1-G1292)</f>
        <v>8678.0399999999991</v>
      </c>
    </row>
    <row r="1293" spans="1:8" x14ac:dyDescent="0.3">
      <c r="A1293" s="40"/>
      <c r="B1293" s="57" t="s">
        <v>7</v>
      </c>
      <c r="C1293" s="40"/>
      <c r="D1293" s="54"/>
      <c r="E1293" s="40"/>
      <c r="F1293" s="40"/>
      <c r="G1293" s="55"/>
      <c r="H1293" s="58">
        <f>SUM(H1288:H1292)</f>
        <v>124755.23999999999</v>
      </c>
    </row>
    <row r="1294" spans="1:8" x14ac:dyDescent="0.3">
      <c r="A1294" s="40">
        <v>6</v>
      </c>
      <c r="B1294" s="57" t="s">
        <v>8</v>
      </c>
      <c r="C1294" s="40">
        <v>1</v>
      </c>
      <c r="D1294" s="54">
        <v>10674</v>
      </c>
      <c r="E1294" s="40">
        <v>5</v>
      </c>
      <c r="F1294" s="40">
        <f>(10000*5)+(674*3.75)</f>
        <v>52527.5</v>
      </c>
      <c r="G1294" s="55">
        <v>0</v>
      </c>
      <c r="H1294" s="58">
        <f>(1-G1294)*F1294</f>
        <v>52527.5</v>
      </c>
    </row>
    <row r="1295" spans="1:8" x14ac:dyDescent="0.3">
      <c r="A1295" s="51"/>
      <c r="B1295" s="57" t="s">
        <v>9</v>
      </c>
      <c r="C1295" s="39"/>
      <c r="D1295" s="59"/>
      <c r="E1295" s="39"/>
      <c r="F1295" s="39"/>
      <c r="G1295" s="39"/>
      <c r="H1295" s="58">
        <f>H1293+H1294</f>
        <v>177282.74</v>
      </c>
    </row>
    <row r="1296" spans="1:8" x14ac:dyDescent="0.3">
      <c r="A1296" s="51"/>
      <c r="B1296" s="57"/>
      <c r="C1296" s="39"/>
      <c r="D1296" s="59"/>
      <c r="E1296" s="39"/>
      <c r="F1296" s="39"/>
      <c r="G1296" s="39"/>
      <c r="H1296" s="58"/>
    </row>
    <row r="1297" spans="1:8" x14ac:dyDescent="0.3">
      <c r="A1297" s="44"/>
      <c r="B1297" s="86">
        <v>2534</v>
      </c>
      <c r="C1297" s="44" t="s">
        <v>209</v>
      </c>
      <c r="D1297" s="73"/>
      <c r="E1297" s="46" t="s">
        <v>208</v>
      </c>
      <c r="F1297" s="47"/>
      <c r="G1297" s="47"/>
      <c r="H1297" s="98"/>
    </row>
    <row r="1298" spans="1:8" x14ac:dyDescent="0.3">
      <c r="A1298" s="39"/>
      <c r="B1298" s="107" t="s">
        <v>0</v>
      </c>
      <c r="C1298" s="107" t="s">
        <v>1</v>
      </c>
      <c r="D1298" s="108" t="s">
        <v>2</v>
      </c>
      <c r="E1298" s="109" t="s">
        <v>3</v>
      </c>
      <c r="F1298" s="109" t="s">
        <v>4</v>
      </c>
      <c r="G1298" s="109" t="s">
        <v>5</v>
      </c>
      <c r="H1298" s="106" t="s">
        <v>6</v>
      </c>
    </row>
    <row r="1299" spans="1:8" ht="43.2" x14ac:dyDescent="0.3">
      <c r="A1299" s="40">
        <v>1</v>
      </c>
      <c r="B1299" s="53" t="s">
        <v>210</v>
      </c>
      <c r="C1299" s="40">
        <v>1</v>
      </c>
      <c r="D1299" s="41">
        <f>30*12</f>
        <v>360</v>
      </c>
      <c r="E1299" s="40">
        <v>50</v>
      </c>
      <c r="F1299" s="40">
        <f t="shared" ref="F1299:F1304" si="95">C1299*D1299*E1299</f>
        <v>18000</v>
      </c>
      <c r="G1299" s="55">
        <v>0.5</v>
      </c>
      <c r="H1299" s="42">
        <f>(1-G1299)*F1299</f>
        <v>9000</v>
      </c>
    </row>
    <row r="1300" spans="1:8" ht="57.6" x14ac:dyDescent="0.3">
      <c r="A1300" s="40">
        <v>2</v>
      </c>
      <c r="B1300" s="53" t="s">
        <v>211</v>
      </c>
      <c r="C1300" s="40">
        <v>1</v>
      </c>
      <c r="D1300" s="41">
        <f>30*12</f>
        <v>360</v>
      </c>
      <c r="E1300" s="40">
        <v>50</v>
      </c>
      <c r="F1300" s="40">
        <f t="shared" si="95"/>
        <v>18000</v>
      </c>
      <c r="G1300" s="55">
        <v>0.5</v>
      </c>
      <c r="H1300" s="42">
        <f>(1-G1300)*F1300</f>
        <v>9000</v>
      </c>
    </row>
    <row r="1301" spans="1:8" ht="43.2" x14ac:dyDescent="0.3">
      <c r="A1301" s="40">
        <v>3</v>
      </c>
      <c r="B1301" s="53" t="s">
        <v>212</v>
      </c>
      <c r="C1301" s="40">
        <v>1</v>
      </c>
      <c r="D1301" s="41">
        <v>600</v>
      </c>
      <c r="E1301" s="40">
        <v>80</v>
      </c>
      <c r="F1301" s="40">
        <f t="shared" si="95"/>
        <v>48000</v>
      </c>
      <c r="G1301" s="55">
        <v>0.5</v>
      </c>
      <c r="H1301" s="42">
        <f>(1-G1301)*F1301</f>
        <v>24000</v>
      </c>
    </row>
    <row r="1302" spans="1:8" ht="72" x14ac:dyDescent="0.3">
      <c r="A1302" s="40">
        <v>4</v>
      </c>
      <c r="B1302" s="110" t="s">
        <v>214</v>
      </c>
      <c r="C1302" s="40">
        <v>1</v>
      </c>
      <c r="D1302" s="56">
        <v>112.2</v>
      </c>
      <c r="E1302" s="40">
        <v>150</v>
      </c>
      <c r="F1302" s="40">
        <f t="shared" si="95"/>
        <v>16830</v>
      </c>
      <c r="G1302" s="55">
        <v>0.5</v>
      </c>
      <c r="H1302" s="42">
        <f>F1302*(1-G1302)</f>
        <v>8415</v>
      </c>
    </row>
    <row r="1303" spans="1:8" ht="72" x14ac:dyDescent="0.3">
      <c r="A1303" s="40">
        <v>5</v>
      </c>
      <c r="B1303" s="110" t="s">
        <v>1538</v>
      </c>
      <c r="C1303" s="40">
        <v>1</v>
      </c>
      <c r="D1303" s="56">
        <v>73.5</v>
      </c>
      <c r="E1303" s="40">
        <v>60</v>
      </c>
      <c r="F1303" s="40">
        <f t="shared" si="95"/>
        <v>4410</v>
      </c>
      <c r="G1303" s="55">
        <v>0.6</v>
      </c>
      <c r="H1303" s="42">
        <f>F1303*(1-G1303)</f>
        <v>1764</v>
      </c>
    </row>
    <row r="1304" spans="1:8" x14ac:dyDescent="0.3">
      <c r="A1304" s="40">
        <v>6</v>
      </c>
      <c r="B1304" s="110" t="s">
        <v>1539</v>
      </c>
      <c r="C1304" s="40">
        <v>1</v>
      </c>
      <c r="D1304" s="54">
        <v>345</v>
      </c>
      <c r="E1304" s="40">
        <v>45</v>
      </c>
      <c r="F1304" s="40">
        <f t="shared" si="95"/>
        <v>15525</v>
      </c>
      <c r="G1304" s="55">
        <v>0.4</v>
      </c>
      <c r="H1304" s="42">
        <f>F1304*(1-G1304)</f>
        <v>9315</v>
      </c>
    </row>
    <row r="1305" spans="1:8" x14ac:dyDescent="0.3">
      <c r="A1305" s="40"/>
      <c r="B1305" s="57" t="s">
        <v>7</v>
      </c>
      <c r="C1305" s="40"/>
      <c r="D1305" s="54"/>
      <c r="E1305" s="40"/>
      <c r="F1305" s="40"/>
      <c r="G1305" s="55"/>
      <c r="H1305" s="58">
        <f>SUM(H1299:H1304)</f>
        <v>61494</v>
      </c>
    </row>
    <row r="1306" spans="1:8" x14ac:dyDescent="0.3">
      <c r="A1306" s="40">
        <v>7</v>
      </c>
      <c r="B1306" s="57" t="s">
        <v>8</v>
      </c>
      <c r="C1306" s="40">
        <v>1</v>
      </c>
      <c r="D1306" s="54">
        <v>7437</v>
      </c>
      <c r="E1306" s="40">
        <v>5</v>
      </c>
      <c r="F1306" s="40">
        <f>C1306*D1306*E1306</f>
        <v>37185</v>
      </c>
      <c r="G1306" s="55">
        <v>0</v>
      </c>
      <c r="H1306" s="58">
        <f>(1-G1306)*F1306</f>
        <v>37185</v>
      </c>
    </row>
    <row r="1307" spans="1:8" x14ac:dyDescent="0.3">
      <c r="A1307" s="51"/>
      <c r="B1307" s="57" t="s">
        <v>9</v>
      </c>
      <c r="C1307" s="39"/>
      <c r="D1307" s="59"/>
      <c r="E1307" s="39"/>
      <c r="F1307" s="39"/>
      <c r="G1307" s="39"/>
      <c r="H1307" s="58">
        <f>H1305+H1306</f>
        <v>98679</v>
      </c>
    </row>
    <row r="1308" spans="1:8" x14ac:dyDescent="0.3">
      <c r="A1308" s="40"/>
      <c r="B1308" s="40"/>
      <c r="C1308" s="40"/>
      <c r="D1308" s="41"/>
      <c r="E1308" s="40"/>
      <c r="F1308" s="40"/>
      <c r="G1308" s="40"/>
      <c r="H1308" s="42"/>
    </row>
    <row r="1309" spans="1:8" x14ac:dyDescent="0.3">
      <c r="A1309" s="44"/>
      <c r="B1309" s="86">
        <v>2535</v>
      </c>
      <c r="C1309" s="44" t="s">
        <v>204</v>
      </c>
      <c r="D1309" s="73"/>
      <c r="E1309" s="46" t="s">
        <v>205</v>
      </c>
      <c r="F1309" s="47"/>
      <c r="G1309" s="47"/>
      <c r="H1309" s="98"/>
    </row>
    <row r="1310" spans="1:8" x14ac:dyDescent="0.3">
      <c r="A1310" s="39"/>
      <c r="B1310" s="107" t="s">
        <v>0</v>
      </c>
      <c r="C1310" s="107" t="s">
        <v>1</v>
      </c>
      <c r="D1310" s="108" t="s">
        <v>2</v>
      </c>
      <c r="E1310" s="109" t="s">
        <v>3</v>
      </c>
      <c r="F1310" s="109" t="s">
        <v>4</v>
      </c>
      <c r="G1310" s="109" t="s">
        <v>5</v>
      </c>
      <c r="H1310" s="106" t="s">
        <v>6</v>
      </c>
    </row>
    <row r="1311" spans="1:8" ht="72" x14ac:dyDescent="0.3">
      <c r="A1311" s="40">
        <v>1</v>
      </c>
      <c r="B1311" s="110" t="s">
        <v>206</v>
      </c>
      <c r="C1311" s="40">
        <v>1</v>
      </c>
      <c r="D1311" s="54">
        <f>(15.5*15)+(16.4*47)</f>
        <v>1003.3</v>
      </c>
      <c r="E1311" s="40">
        <v>400</v>
      </c>
      <c r="F1311" s="40">
        <f>C1311*D1311*E1311</f>
        <v>401320</v>
      </c>
      <c r="G1311" s="55">
        <v>0.5</v>
      </c>
      <c r="H1311" s="42">
        <f>F1311*(1-G1311)</f>
        <v>200660</v>
      </c>
    </row>
    <row r="1312" spans="1:8" x14ac:dyDescent="0.3">
      <c r="A1312" s="40">
        <v>2</v>
      </c>
      <c r="B1312" s="110" t="s">
        <v>1539</v>
      </c>
      <c r="C1312" s="40">
        <v>1</v>
      </c>
      <c r="D1312" s="54">
        <v>360</v>
      </c>
      <c r="E1312" s="40">
        <v>45</v>
      </c>
      <c r="F1312" s="40">
        <f>C1312*D1312*E1312</f>
        <v>16200</v>
      </c>
      <c r="G1312" s="55">
        <v>0.4</v>
      </c>
      <c r="H1312" s="42">
        <f>F1312*(1-G1312)</f>
        <v>9720</v>
      </c>
    </row>
    <row r="1313" spans="1:8" x14ac:dyDescent="0.3">
      <c r="A1313" s="40"/>
      <c r="B1313" s="57" t="s">
        <v>7</v>
      </c>
      <c r="C1313" s="40"/>
      <c r="D1313" s="54"/>
      <c r="E1313" s="40"/>
      <c r="F1313" s="40"/>
      <c r="G1313" s="55"/>
      <c r="H1313" s="58">
        <f>SUM(H1311:H1312)</f>
        <v>210380</v>
      </c>
    </row>
    <row r="1314" spans="1:8" x14ac:dyDescent="0.3">
      <c r="A1314" s="40">
        <v>3</v>
      </c>
      <c r="B1314" s="57" t="s">
        <v>8</v>
      </c>
      <c r="C1314" s="40">
        <v>1</v>
      </c>
      <c r="D1314" s="54">
        <v>8067</v>
      </c>
      <c r="E1314" s="40">
        <v>5</v>
      </c>
      <c r="F1314" s="40">
        <f>C1314*D1314*E1314</f>
        <v>40335</v>
      </c>
      <c r="G1314" s="55">
        <v>0</v>
      </c>
      <c r="H1314" s="58">
        <f>(1-G1314)*F1314</f>
        <v>40335</v>
      </c>
    </row>
    <row r="1315" spans="1:8" x14ac:dyDescent="0.3">
      <c r="A1315" s="51"/>
      <c r="B1315" s="57" t="s">
        <v>9</v>
      </c>
      <c r="C1315" s="39"/>
      <c r="D1315" s="59"/>
      <c r="E1315" s="39"/>
      <c r="F1315" s="39"/>
      <c r="G1315" s="39"/>
      <c r="H1315" s="58">
        <f>H1313+H1314</f>
        <v>250715</v>
      </c>
    </row>
    <row r="1316" spans="1:8" x14ac:dyDescent="0.3">
      <c r="A1316" s="51"/>
      <c r="B1316" s="57"/>
      <c r="C1316" s="39"/>
      <c r="D1316" s="59"/>
      <c r="E1316" s="39"/>
      <c r="F1316" s="39"/>
      <c r="G1316" s="39"/>
      <c r="H1316" s="58"/>
    </row>
    <row r="1317" spans="1:8" x14ac:dyDescent="0.3">
      <c r="A1317" s="44"/>
      <c r="B1317" s="86">
        <v>2536</v>
      </c>
      <c r="C1317" s="44" t="s">
        <v>222</v>
      </c>
      <c r="D1317" s="73"/>
      <c r="E1317" s="46" t="s">
        <v>202</v>
      </c>
      <c r="F1317" s="47"/>
      <c r="G1317" s="47"/>
      <c r="H1317" s="98"/>
    </row>
    <row r="1318" spans="1:8" x14ac:dyDescent="0.3">
      <c r="A1318" s="39"/>
      <c r="B1318" s="107" t="s">
        <v>0</v>
      </c>
      <c r="C1318" s="107" t="s">
        <v>1</v>
      </c>
      <c r="D1318" s="108" t="s">
        <v>2</v>
      </c>
      <c r="E1318" s="109" t="s">
        <v>3</v>
      </c>
      <c r="F1318" s="109" t="s">
        <v>4</v>
      </c>
      <c r="G1318" s="109" t="s">
        <v>5</v>
      </c>
      <c r="H1318" s="106" t="s">
        <v>6</v>
      </c>
    </row>
    <row r="1319" spans="1:8" x14ac:dyDescent="0.3">
      <c r="A1319" s="40">
        <v>1</v>
      </c>
      <c r="B1319" s="110" t="s">
        <v>15</v>
      </c>
      <c r="C1319" s="40"/>
      <c r="D1319" s="54"/>
      <c r="E1319" s="40"/>
      <c r="F1319" s="40"/>
      <c r="G1319" s="55"/>
      <c r="H1319" s="42"/>
    </row>
    <row r="1320" spans="1:8" x14ac:dyDescent="0.3">
      <c r="A1320" s="40">
        <v>2</v>
      </c>
      <c r="B1320" s="57" t="s">
        <v>8</v>
      </c>
      <c r="C1320" s="40">
        <v>1</v>
      </c>
      <c r="D1320" s="54">
        <v>3891</v>
      </c>
      <c r="E1320" s="40">
        <v>5</v>
      </c>
      <c r="F1320" s="40">
        <f>C1320*D1320*E1320</f>
        <v>19455</v>
      </c>
      <c r="G1320" s="55">
        <v>0</v>
      </c>
      <c r="H1320" s="58">
        <f>(1-G1320)*F1320</f>
        <v>19455</v>
      </c>
    </row>
    <row r="1321" spans="1:8" x14ac:dyDescent="0.3">
      <c r="A1321" s="51"/>
      <c r="B1321" s="57" t="s">
        <v>9</v>
      </c>
      <c r="C1321" s="39"/>
      <c r="D1321" s="59"/>
      <c r="E1321" s="39"/>
      <c r="F1321" s="39"/>
      <c r="G1321" s="39"/>
      <c r="H1321" s="58">
        <f>SUM(H1320)</f>
        <v>19455</v>
      </c>
    </row>
    <row r="1322" spans="1:8" x14ac:dyDescent="0.3">
      <c r="A1322" s="51"/>
      <c r="B1322" s="57"/>
      <c r="C1322" s="39"/>
      <c r="D1322" s="59"/>
      <c r="E1322" s="39"/>
      <c r="F1322" s="39"/>
      <c r="G1322" s="39"/>
      <c r="H1322" s="58"/>
    </row>
    <row r="1323" spans="1:8" x14ac:dyDescent="0.3">
      <c r="A1323" s="44"/>
      <c r="B1323" s="86" t="s">
        <v>201</v>
      </c>
      <c r="C1323" s="44" t="s">
        <v>203</v>
      </c>
      <c r="D1323" s="73"/>
      <c r="E1323" s="46" t="s">
        <v>202</v>
      </c>
      <c r="F1323" s="47"/>
      <c r="G1323" s="47"/>
      <c r="H1323" s="98"/>
    </row>
    <row r="1324" spans="1:8" x14ac:dyDescent="0.3">
      <c r="A1324" s="39"/>
      <c r="B1324" s="107" t="s">
        <v>0</v>
      </c>
      <c r="C1324" s="107" t="s">
        <v>1</v>
      </c>
      <c r="D1324" s="108" t="s">
        <v>2</v>
      </c>
      <c r="E1324" s="109" t="s">
        <v>3</v>
      </c>
      <c r="F1324" s="109" t="s">
        <v>4</v>
      </c>
      <c r="G1324" s="109" t="s">
        <v>5</v>
      </c>
      <c r="H1324" s="106" t="s">
        <v>6</v>
      </c>
    </row>
    <row r="1325" spans="1:8" ht="72" x14ac:dyDescent="0.3">
      <c r="A1325" s="40">
        <v>1</v>
      </c>
      <c r="B1325" s="110" t="s">
        <v>217</v>
      </c>
      <c r="C1325" s="40">
        <v>1</v>
      </c>
      <c r="D1325" s="54">
        <v>450</v>
      </c>
      <c r="E1325" s="40">
        <v>200</v>
      </c>
      <c r="F1325" s="40">
        <f>C1325*D1325*E1325</f>
        <v>90000</v>
      </c>
      <c r="G1325" s="55">
        <v>0.5</v>
      </c>
      <c r="H1325" s="42">
        <f>F1325*(1-G1325)</f>
        <v>45000</v>
      </c>
    </row>
    <row r="1326" spans="1:8" ht="72" x14ac:dyDescent="0.3">
      <c r="A1326" s="40">
        <v>2</v>
      </c>
      <c r="B1326" s="110" t="s">
        <v>213</v>
      </c>
      <c r="C1326" s="40">
        <v>1</v>
      </c>
      <c r="D1326" s="56">
        <f>3.13*15.2</f>
        <v>47.575999999999993</v>
      </c>
      <c r="E1326" s="40">
        <v>150</v>
      </c>
      <c r="F1326" s="40">
        <f>C1326*D1326*E1326</f>
        <v>7136.3999999999987</v>
      </c>
      <c r="G1326" s="55">
        <v>0.5</v>
      </c>
      <c r="H1326" s="42">
        <f>F1326*(1-G1326)</f>
        <v>3568.1999999999994</v>
      </c>
    </row>
    <row r="1327" spans="1:8" x14ac:dyDescent="0.3">
      <c r="A1327" s="40"/>
      <c r="B1327" s="57" t="s">
        <v>7</v>
      </c>
      <c r="C1327" s="40"/>
      <c r="D1327" s="54"/>
      <c r="E1327" s="40"/>
      <c r="F1327" s="40"/>
      <c r="G1327" s="55"/>
      <c r="H1327" s="58">
        <f>SUM(H1325:H1326)</f>
        <v>48568.2</v>
      </c>
    </row>
    <row r="1328" spans="1:8" x14ac:dyDescent="0.3">
      <c r="A1328" s="40">
        <v>3</v>
      </c>
      <c r="B1328" s="57" t="s">
        <v>8</v>
      </c>
      <c r="C1328" s="40">
        <v>1</v>
      </c>
      <c r="D1328" s="54">
        <v>5153</v>
      </c>
      <c r="E1328" s="40">
        <v>5</v>
      </c>
      <c r="F1328" s="40">
        <f>C1328*D1328*E1328</f>
        <v>25765</v>
      </c>
      <c r="G1328" s="55">
        <v>0</v>
      </c>
      <c r="H1328" s="58">
        <f>(1-G1328)*F1328</f>
        <v>25765</v>
      </c>
    </row>
    <row r="1329" spans="1:8" x14ac:dyDescent="0.3">
      <c r="A1329" s="51"/>
      <c r="B1329" s="57" t="s">
        <v>9</v>
      </c>
      <c r="C1329" s="39"/>
      <c r="D1329" s="59"/>
      <c r="E1329" s="39"/>
      <c r="F1329" s="39"/>
      <c r="G1329" s="39"/>
      <c r="H1329" s="58">
        <f>H1327+H1328</f>
        <v>74333.2</v>
      </c>
    </row>
    <row r="1330" spans="1:8" x14ac:dyDescent="0.3">
      <c r="A1330" s="51"/>
      <c r="B1330" s="57"/>
      <c r="C1330" s="39"/>
      <c r="D1330" s="59"/>
      <c r="E1330" s="39"/>
      <c r="F1330" s="39"/>
      <c r="G1330" s="39"/>
      <c r="H1330" s="58"/>
    </row>
    <row r="1331" spans="1:8" x14ac:dyDescent="0.3">
      <c r="A1331" s="60"/>
      <c r="B1331" s="62">
        <v>2546</v>
      </c>
      <c r="C1331" s="44" t="s">
        <v>823</v>
      </c>
      <c r="D1331" s="45"/>
      <c r="E1331" s="46" t="s">
        <v>824</v>
      </c>
      <c r="F1331" s="60"/>
      <c r="G1331" s="60"/>
      <c r="H1331" s="48"/>
    </row>
    <row r="1332" spans="1:8" x14ac:dyDescent="0.3">
      <c r="A1332" s="39"/>
      <c r="B1332" s="107" t="s">
        <v>10</v>
      </c>
      <c r="C1332" s="107" t="s">
        <v>1</v>
      </c>
      <c r="D1332" s="108" t="s">
        <v>2</v>
      </c>
      <c r="E1332" s="109" t="s">
        <v>3</v>
      </c>
      <c r="F1332" s="109" t="s">
        <v>4</v>
      </c>
      <c r="G1332" s="109" t="s">
        <v>5</v>
      </c>
      <c r="H1332" s="106" t="s">
        <v>6</v>
      </c>
    </row>
    <row r="1333" spans="1:8" ht="86.4" x14ac:dyDescent="0.3">
      <c r="A1333" s="40">
        <v>1</v>
      </c>
      <c r="B1333" s="53" t="s">
        <v>825</v>
      </c>
      <c r="C1333" s="40">
        <v>1</v>
      </c>
      <c r="D1333" s="54">
        <v>1697.96</v>
      </c>
      <c r="E1333" s="40">
        <v>400</v>
      </c>
      <c r="F1333" s="40">
        <f t="shared" ref="F1333:F1342" si="96">C1333*D1333*E1333</f>
        <v>679184</v>
      </c>
      <c r="G1333" s="55">
        <v>0.4</v>
      </c>
      <c r="H1333" s="42">
        <f t="shared" ref="H1333:H1343" si="97">F1333*(1-G1333)</f>
        <v>407510.39999999997</v>
      </c>
    </row>
    <row r="1334" spans="1:8" ht="43.2" x14ac:dyDescent="0.3">
      <c r="A1334" s="40">
        <v>2</v>
      </c>
      <c r="B1334" s="53" t="s">
        <v>826</v>
      </c>
      <c r="C1334" s="40">
        <v>1</v>
      </c>
      <c r="D1334" s="54">
        <v>23.57</v>
      </c>
      <c r="E1334" s="40">
        <v>100</v>
      </c>
      <c r="F1334" s="40">
        <f t="shared" si="96"/>
        <v>2357</v>
      </c>
      <c r="G1334" s="55">
        <v>0.4</v>
      </c>
      <c r="H1334" s="42">
        <f t="shared" si="97"/>
        <v>1414.2</v>
      </c>
    </row>
    <row r="1335" spans="1:8" ht="72" x14ac:dyDescent="0.3">
      <c r="A1335" s="40">
        <v>3</v>
      </c>
      <c r="B1335" s="53" t="s">
        <v>827</v>
      </c>
      <c r="C1335" s="40">
        <v>1</v>
      </c>
      <c r="D1335" s="54">
        <v>41.23</v>
      </c>
      <c r="E1335" s="40">
        <v>100</v>
      </c>
      <c r="F1335" s="40">
        <f t="shared" si="96"/>
        <v>4123</v>
      </c>
      <c r="G1335" s="55">
        <v>0.6</v>
      </c>
      <c r="H1335" s="42">
        <f t="shared" si="97"/>
        <v>1649.2</v>
      </c>
    </row>
    <row r="1336" spans="1:8" ht="43.2" x14ac:dyDescent="0.3">
      <c r="A1336" s="40">
        <v>4</v>
      </c>
      <c r="B1336" s="53" t="s">
        <v>828</v>
      </c>
      <c r="C1336" s="40">
        <v>1</v>
      </c>
      <c r="D1336" s="54">
        <v>52.32</v>
      </c>
      <c r="E1336" s="40">
        <v>50</v>
      </c>
      <c r="F1336" s="40">
        <f t="shared" si="96"/>
        <v>2616</v>
      </c>
      <c r="G1336" s="55">
        <v>0.5</v>
      </c>
      <c r="H1336" s="42">
        <f t="shared" si="97"/>
        <v>1308</v>
      </c>
    </row>
    <row r="1337" spans="1:8" ht="72" x14ac:dyDescent="0.3">
      <c r="A1337" s="40">
        <v>5</v>
      </c>
      <c r="B1337" s="53" t="s">
        <v>829</v>
      </c>
      <c r="C1337" s="40">
        <v>1</v>
      </c>
      <c r="D1337" s="54">
        <v>67.77</v>
      </c>
      <c r="E1337" s="40">
        <v>250</v>
      </c>
      <c r="F1337" s="40">
        <f t="shared" si="96"/>
        <v>16942.5</v>
      </c>
      <c r="G1337" s="55">
        <v>0.3</v>
      </c>
      <c r="H1337" s="42">
        <f t="shared" si="97"/>
        <v>11859.75</v>
      </c>
    </row>
    <row r="1338" spans="1:8" ht="43.2" x14ac:dyDescent="0.3">
      <c r="A1338" s="40">
        <v>6</v>
      </c>
      <c r="B1338" s="53" t="s">
        <v>1345</v>
      </c>
      <c r="C1338" s="40">
        <v>1</v>
      </c>
      <c r="D1338" s="54">
        <v>5.15</v>
      </c>
      <c r="E1338" s="40">
        <v>50</v>
      </c>
      <c r="F1338" s="40">
        <f t="shared" si="96"/>
        <v>257.5</v>
      </c>
      <c r="G1338" s="55">
        <v>0.4</v>
      </c>
      <c r="H1338" s="42">
        <f t="shared" si="97"/>
        <v>154.5</v>
      </c>
    </row>
    <row r="1339" spans="1:8" ht="57.6" x14ac:dyDescent="0.3">
      <c r="A1339" s="51">
        <v>7</v>
      </c>
      <c r="B1339" s="53" t="s">
        <v>1346</v>
      </c>
      <c r="C1339" s="40">
        <v>1</v>
      </c>
      <c r="D1339" s="54">
        <v>81.760000000000005</v>
      </c>
      <c r="E1339" s="40">
        <v>50</v>
      </c>
      <c r="F1339" s="40">
        <f t="shared" si="96"/>
        <v>4088.0000000000005</v>
      </c>
      <c r="G1339" s="55">
        <v>0.5</v>
      </c>
      <c r="H1339" s="42">
        <f t="shared" si="97"/>
        <v>2044.0000000000002</v>
      </c>
    </row>
    <row r="1340" spans="1:8" ht="72" x14ac:dyDescent="0.3">
      <c r="A1340" s="113">
        <v>8</v>
      </c>
      <c r="B1340" s="53" t="s">
        <v>830</v>
      </c>
      <c r="C1340" s="40">
        <v>1</v>
      </c>
      <c r="D1340" s="54">
        <v>4.84</v>
      </c>
      <c r="E1340" s="40">
        <v>100</v>
      </c>
      <c r="F1340" s="40">
        <f t="shared" si="96"/>
        <v>484</v>
      </c>
      <c r="G1340" s="55">
        <v>0.5</v>
      </c>
      <c r="H1340" s="42">
        <f t="shared" si="97"/>
        <v>242</v>
      </c>
    </row>
    <row r="1341" spans="1:8" ht="28.8" x14ac:dyDescent="0.3">
      <c r="A1341" s="151">
        <v>9</v>
      </c>
      <c r="B1341" s="53" t="s">
        <v>831</v>
      </c>
      <c r="C1341" s="40">
        <v>1</v>
      </c>
      <c r="D1341" s="54">
        <v>1</v>
      </c>
      <c r="E1341" s="40">
        <v>500</v>
      </c>
      <c r="F1341" s="40">
        <f t="shared" si="96"/>
        <v>500</v>
      </c>
      <c r="G1341" s="55">
        <v>0.5</v>
      </c>
      <c r="H1341" s="42">
        <f t="shared" si="97"/>
        <v>250</v>
      </c>
    </row>
    <row r="1342" spans="1:8" ht="28.8" x14ac:dyDescent="0.3">
      <c r="A1342" s="83">
        <v>10</v>
      </c>
      <c r="B1342" s="53" t="s">
        <v>832</v>
      </c>
      <c r="C1342" s="40">
        <v>1</v>
      </c>
      <c r="D1342" s="54">
        <v>1</v>
      </c>
      <c r="E1342" s="40">
        <v>600</v>
      </c>
      <c r="F1342" s="40">
        <f t="shared" si="96"/>
        <v>600</v>
      </c>
      <c r="G1342" s="55">
        <v>0.5</v>
      </c>
      <c r="H1342" s="42">
        <f t="shared" si="97"/>
        <v>300</v>
      </c>
    </row>
    <row r="1343" spans="1:8" s="3" customFormat="1" ht="43.2" x14ac:dyDescent="0.3">
      <c r="A1343" s="83">
        <v>11</v>
      </c>
      <c r="B1343" s="53" t="s">
        <v>833</v>
      </c>
      <c r="C1343" s="40">
        <v>1</v>
      </c>
      <c r="D1343" s="54">
        <v>582.66999999999996</v>
      </c>
      <c r="E1343" s="40">
        <v>22</v>
      </c>
      <c r="F1343" s="40">
        <f>C1343*D1343*E1343*0.5</f>
        <v>6409.37</v>
      </c>
      <c r="G1343" s="55">
        <v>0.5</v>
      </c>
      <c r="H1343" s="42">
        <f t="shared" si="97"/>
        <v>3204.6849999999999</v>
      </c>
    </row>
    <row r="1344" spans="1:8" x14ac:dyDescent="0.3">
      <c r="A1344" s="40"/>
      <c r="B1344" s="57" t="s">
        <v>7</v>
      </c>
      <c r="C1344" s="40"/>
      <c r="D1344" s="54"/>
      <c r="E1344" s="40"/>
      <c r="F1344" s="40"/>
      <c r="G1344" s="55"/>
      <c r="H1344" s="58">
        <f>SUM(H1333:H1343)</f>
        <v>429936.73499999999</v>
      </c>
    </row>
    <row r="1345" spans="1:9" x14ac:dyDescent="0.3">
      <c r="A1345" s="40">
        <v>12</v>
      </c>
      <c r="B1345" s="57" t="s">
        <v>8</v>
      </c>
      <c r="C1345" s="40">
        <v>1</v>
      </c>
      <c r="D1345" s="54">
        <v>21219</v>
      </c>
      <c r="E1345" s="40">
        <v>5</v>
      </c>
      <c r="F1345" s="40">
        <f>(10000*5)+(10000*3.75)+(2.5*1219)</f>
        <v>90547.5</v>
      </c>
      <c r="G1345" s="55">
        <v>0</v>
      </c>
      <c r="H1345" s="58">
        <f>(1-G1345)*F1345</f>
        <v>90547.5</v>
      </c>
    </row>
    <row r="1346" spans="1:9" x14ac:dyDescent="0.3">
      <c r="A1346" s="39"/>
      <c r="B1346" s="57" t="s">
        <v>9</v>
      </c>
      <c r="C1346" s="39"/>
      <c r="D1346" s="59"/>
      <c r="E1346" s="39"/>
      <c r="F1346" s="39"/>
      <c r="G1346" s="39"/>
      <c r="H1346" s="58">
        <f>H1344+H1345</f>
        <v>520484.23499999999</v>
      </c>
    </row>
    <row r="1347" spans="1:9" x14ac:dyDescent="0.3">
      <c r="A1347" s="51"/>
      <c r="B1347" s="57"/>
      <c r="C1347" s="39"/>
      <c r="D1347" s="59"/>
      <c r="E1347" s="39"/>
      <c r="F1347" s="39"/>
      <c r="G1347" s="39"/>
      <c r="H1347" s="58"/>
    </row>
    <row r="1348" spans="1:9" x14ac:dyDescent="0.3">
      <c r="A1348" s="44"/>
      <c r="B1348" s="86">
        <v>2547</v>
      </c>
      <c r="C1348" s="44" t="s">
        <v>244</v>
      </c>
      <c r="D1348" s="73"/>
      <c r="E1348" s="46" t="s">
        <v>245</v>
      </c>
      <c r="F1348" s="47"/>
      <c r="G1348" s="47"/>
      <c r="H1348" s="98"/>
    </row>
    <row r="1349" spans="1:9" x14ac:dyDescent="0.3">
      <c r="A1349" s="39"/>
      <c r="B1349" s="107" t="s">
        <v>0</v>
      </c>
      <c r="C1349" s="107" t="s">
        <v>1</v>
      </c>
      <c r="D1349" s="108" t="s">
        <v>2</v>
      </c>
      <c r="E1349" s="109" t="s">
        <v>3</v>
      </c>
      <c r="F1349" s="109" t="s">
        <v>4</v>
      </c>
      <c r="G1349" s="109" t="s">
        <v>5</v>
      </c>
      <c r="H1349" s="106" t="s">
        <v>6</v>
      </c>
    </row>
    <row r="1350" spans="1:9" ht="57.6" x14ac:dyDescent="0.3">
      <c r="A1350" s="40">
        <v>1</v>
      </c>
      <c r="B1350" s="110" t="s">
        <v>1540</v>
      </c>
      <c r="C1350" s="40">
        <v>1</v>
      </c>
      <c r="D1350" s="54">
        <v>102.69</v>
      </c>
      <c r="E1350" s="40">
        <v>300</v>
      </c>
      <c r="F1350" s="40">
        <f t="shared" ref="F1350:F1358" si="98">C1350*D1350*E1350</f>
        <v>30807</v>
      </c>
      <c r="G1350" s="55">
        <v>0.4</v>
      </c>
      <c r="H1350" s="42">
        <f t="shared" ref="H1350:H1358" si="99">F1350*(1-G1350)</f>
        <v>18484.2</v>
      </c>
      <c r="I1350" s="37"/>
    </row>
    <row r="1351" spans="1:9" ht="72" x14ac:dyDescent="0.3">
      <c r="A1351" s="40">
        <v>2</v>
      </c>
      <c r="B1351" s="110" t="s">
        <v>1541</v>
      </c>
      <c r="C1351" s="40">
        <v>1</v>
      </c>
      <c r="D1351" s="54">
        <f>(20*14.3)+(14*1.4)+(14*3.7)</f>
        <v>357.40000000000003</v>
      </c>
      <c r="E1351" s="40">
        <v>300</v>
      </c>
      <c r="F1351" s="40">
        <f t="shared" si="98"/>
        <v>107220.00000000001</v>
      </c>
      <c r="G1351" s="55">
        <v>0.4</v>
      </c>
      <c r="H1351" s="42">
        <f t="shared" si="99"/>
        <v>64332.000000000007</v>
      </c>
    </row>
    <row r="1352" spans="1:9" ht="57.6" x14ac:dyDescent="0.3">
      <c r="A1352" s="40">
        <v>3</v>
      </c>
      <c r="B1352" s="110" t="s">
        <v>251</v>
      </c>
      <c r="C1352" s="40">
        <v>1</v>
      </c>
      <c r="D1352" s="54">
        <v>15</v>
      </c>
      <c r="E1352" s="40">
        <v>50</v>
      </c>
      <c r="F1352" s="40">
        <f t="shared" si="98"/>
        <v>750</v>
      </c>
      <c r="G1352" s="55">
        <v>0.5</v>
      </c>
      <c r="H1352" s="42">
        <f t="shared" si="99"/>
        <v>375</v>
      </c>
    </row>
    <row r="1353" spans="1:9" ht="43.2" x14ac:dyDescent="0.3">
      <c r="A1353" s="40">
        <v>4</v>
      </c>
      <c r="B1353" s="53" t="s">
        <v>250</v>
      </c>
      <c r="C1353" s="40">
        <v>1</v>
      </c>
      <c r="D1353" s="54">
        <v>19.95</v>
      </c>
      <c r="E1353" s="40">
        <v>50</v>
      </c>
      <c r="F1353" s="40">
        <f t="shared" si="98"/>
        <v>997.5</v>
      </c>
      <c r="G1353" s="55">
        <v>0.4</v>
      </c>
      <c r="H1353" s="42">
        <f t="shared" si="99"/>
        <v>598.5</v>
      </c>
    </row>
    <row r="1354" spans="1:9" ht="43.2" x14ac:dyDescent="0.3">
      <c r="A1354" s="40">
        <v>5</v>
      </c>
      <c r="B1354" s="53" t="s">
        <v>246</v>
      </c>
      <c r="C1354" s="40">
        <v>1</v>
      </c>
      <c r="D1354" s="54">
        <v>96</v>
      </c>
      <c r="E1354" s="40">
        <v>150</v>
      </c>
      <c r="F1354" s="40">
        <f t="shared" si="98"/>
        <v>14400</v>
      </c>
      <c r="G1354" s="55">
        <v>0.4</v>
      </c>
      <c r="H1354" s="42">
        <f t="shared" si="99"/>
        <v>8640</v>
      </c>
    </row>
    <row r="1355" spans="1:9" x14ac:dyDescent="0.3">
      <c r="A1355" s="40">
        <v>6</v>
      </c>
      <c r="B1355" s="53" t="s">
        <v>247</v>
      </c>
      <c r="C1355" s="40">
        <v>1</v>
      </c>
      <c r="D1355" s="54">
        <v>50000</v>
      </c>
      <c r="E1355" s="40">
        <v>0.55000000000000004</v>
      </c>
      <c r="F1355" s="40">
        <f t="shared" si="98"/>
        <v>27500.000000000004</v>
      </c>
      <c r="G1355" s="55">
        <v>0.4</v>
      </c>
      <c r="H1355" s="42">
        <f t="shared" si="99"/>
        <v>16500</v>
      </c>
    </row>
    <row r="1356" spans="1:9" x14ac:dyDescent="0.3">
      <c r="A1356" s="40">
        <v>7</v>
      </c>
      <c r="B1356" s="53" t="s">
        <v>248</v>
      </c>
      <c r="C1356" s="40">
        <v>1</v>
      </c>
      <c r="D1356" s="54">
        <v>30000</v>
      </c>
      <c r="E1356" s="40">
        <v>0.55000000000000004</v>
      </c>
      <c r="F1356" s="40">
        <f t="shared" si="98"/>
        <v>16500</v>
      </c>
      <c r="G1356" s="55">
        <v>0.4</v>
      </c>
      <c r="H1356" s="42">
        <f t="shared" si="99"/>
        <v>9900</v>
      </c>
    </row>
    <row r="1357" spans="1:9" x14ac:dyDescent="0.3">
      <c r="A1357" s="40">
        <v>8</v>
      </c>
      <c r="B1357" s="53" t="s">
        <v>249</v>
      </c>
      <c r="C1357" s="40">
        <v>3</v>
      </c>
      <c r="D1357" s="54">
        <v>1</v>
      </c>
      <c r="E1357" s="40">
        <v>2500</v>
      </c>
      <c r="F1357" s="40">
        <f t="shared" si="98"/>
        <v>7500</v>
      </c>
      <c r="G1357" s="55">
        <v>0.4</v>
      </c>
      <c r="H1357" s="42">
        <f t="shared" si="99"/>
        <v>4500</v>
      </c>
    </row>
    <row r="1358" spans="1:9" x14ac:dyDescent="0.3">
      <c r="A1358" s="40">
        <v>9</v>
      </c>
      <c r="B1358" s="53" t="s">
        <v>1543</v>
      </c>
      <c r="C1358" s="40">
        <v>1</v>
      </c>
      <c r="D1358" s="54">
        <v>1</v>
      </c>
      <c r="E1358" s="40">
        <v>1250</v>
      </c>
      <c r="F1358" s="40">
        <f t="shared" si="98"/>
        <v>1250</v>
      </c>
      <c r="G1358" s="55">
        <v>0.4</v>
      </c>
      <c r="H1358" s="42">
        <f t="shared" si="99"/>
        <v>750</v>
      </c>
    </row>
    <row r="1359" spans="1:9" x14ac:dyDescent="0.3">
      <c r="A1359" s="40"/>
      <c r="B1359" s="57" t="s">
        <v>7</v>
      </c>
      <c r="C1359" s="40"/>
      <c r="D1359" s="54"/>
      <c r="E1359" s="40"/>
      <c r="F1359" s="40"/>
      <c r="G1359" s="55"/>
      <c r="H1359" s="58">
        <f>SUM(H1350:H1358)</f>
        <v>124079.70000000001</v>
      </c>
    </row>
    <row r="1360" spans="1:9" x14ac:dyDescent="0.3">
      <c r="A1360" s="40">
        <v>10</v>
      </c>
      <c r="B1360" s="57" t="s">
        <v>8</v>
      </c>
      <c r="C1360" s="40">
        <v>1</v>
      </c>
      <c r="D1360" s="54">
        <v>6167</v>
      </c>
      <c r="E1360" s="40">
        <v>5</v>
      </c>
      <c r="F1360" s="40">
        <f>C1360*D1360*E1360</f>
        <v>30835</v>
      </c>
      <c r="G1360" s="55">
        <v>0</v>
      </c>
      <c r="H1360" s="58">
        <f>(1-G1360)*F1360</f>
        <v>30835</v>
      </c>
    </row>
    <row r="1361" spans="1:8" x14ac:dyDescent="0.3">
      <c r="A1361" s="51"/>
      <c r="B1361" s="57" t="s">
        <v>9</v>
      </c>
      <c r="C1361" s="39"/>
      <c r="D1361" s="59"/>
      <c r="E1361" s="39"/>
      <c r="F1361" s="39"/>
      <c r="G1361" s="39"/>
      <c r="H1361" s="58">
        <f>H1359+H1360</f>
        <v>154914.70000000001</v>
      </c>
    </row>
    <row r="1362" spans="1:8" x14ac:dyDescent="0.3">
      <c r="A1362" s="40"/>
      <c r="B1362" s="40"/>
      <c r="C1362" s="40"/>
      <c r="D1362" s="41"/>
      <c r="E1362" s="40"/>
      <c r="F1362" s="40"/>
      <c r="G1362" s="40"/>
      <c r="H1362" s="42"/>
    </row>
    <row r="1363" spans="1:8" x14ac:dyDescent="0.3">
      <c r="A1363" s="44"/>
      <c r="B1363" s="86">
        <v>2548</v>
      </c>
      <c r="C1363" s="44" t="s">
        <v>252</v>
      </c>
      <c r="D1363" s="73"/>
      <c r="E1363" s="46" t="s">
        <v>253</v>
      </c>
      <c r="F1363" s="47"/>
      <c r="G1363" s="47"/>
      <c r="H1363" s="98"/>
    </row>
    <row r="1364" spans="1:8" x14ac:dyDescent="0.3">
      <c r="A1364" s="39"/>
      <c r="B1364" s="107" t="s">
        <v>0</v>
      </c>
      <c r="C1364" s="107" t="s">
        <v>1</v>
      </c>
      <c r="D1364" s="108" t="s">
        <v>2</v>
      </c>
      <c r="E1364" s="109" t="s">
        <v>3</v>
      </c>
      <c r="F1364" s="109" t="s">
        <v>4</v>
      </c>
      <c r="G1364" s="109" t="s">
        <v>5</v>
      </c>
      <c r="H1364" s="106" t="s">
        <v>6</v>
      </c>
    </row>
    <row r="1365" spans="1:8" ht="72" x14ac:dyDescent="0.3">
      <c r="A1365" s="40">
        <v>1</v>
      </c>
      <c r="B1365" s="110" t="s">
        <v>1469</v>
      </c>
      <c r="C1365" s="40">
        <v>1</v>
      </c>
      <c r="D1365" s="54">
        <v>48.9</v>
      </c>
      <c r="E1365" s="40">
        <v>60</v>
      </c>
      <c r="F1365" s="40">
        <f>C1365*D1365*E1365</f>
        <v>2934</v>
      </c>
      <c r="G1365" s="55">
        <v>0.4</v>
      </c>
      <c r="H1365" s="42">
        <f>F1365*(1-G1365)</f>
        <v>1760.3999999999999</v>
      </c>
    </row>
    <row r="1366" spans="1:8" ht="72" x14ac:dyDescent="0.3">
      <c r="A1366" s="40">
        <v>2</v>
      </c>
      <c r="B1366" s="110" t="s">
        <v>1470</v>
      </c>
      <c r="C1366" s="40">
        <v>1</v>
      </c>
      <c r="D1366" s="54">
        <v>18</v>
      </c>
      <c r="E1366" s="40">
        <v>60</v>
      </c>
      <c r="F1366" s="40">
        <f>C1366*D1366*E1366</f>
        <v>1080</v>
      </c>
      <c r="G1366" s="55">
        <v>0.4</v>
      </c>
      <c r="H1366" s="42">
        <f>F1366*(1-G1366)</f>
        <v>648</v>
      </c>
    </row>
    <row r="1367" spans="1:8" ht="43.2" x14ac:dyDescent="0.3">
      <c r="A1367" s="40">
        <v>3</v>
      </c>
      <c r="B1367" s="53" t="s">
        <v>254</v>
      </c>
      <c r="C1367" s="40">
        <v>1</v>
      </c>
      <c r="D1367" s="54">
        <v>32.76</v>
      </c>
      <c r="E1367" s="40">
        <v>50</v>
      </c>
      <c r="F1367" s="40">
        <f>C1367*D1367*E1367</f>
        <v>1638</v>
      </c>
      <c r="G1367" s="55">
        <v>0.4</v>
      </c>
      <c r="H1367" s="42">
        <f>F1367*(1-G1367)</f>
        <v>982.8</v>
      </c>
    </row>
    <row r="1368" spans="1:8" ht="43.2" x14ac:dyDescent="0.3">
      <c r="A1368" s="40">
        <v>4</v>
      </c>
      <c r="B1368" s="53" t="s">
        <v>254</v>
      </c>
      <c r="C1368" s="40">
        <v>1</v>
      </c>
      <c r="D1368" s="54">
        <v>33.5</v>
      </c>
      <c r="E1368" s="40">
        <v>50</v>
      </c>
      <c r="F1368" s="40">
        <f>C1368*D1368*E1368</f>
        <v>1675</v>
      </c>
      <c r="G1368" s="55">
        <v>0.4</v>
      </c>
      <c r="H1368" s="42">
        <f>F1368*(1-G1368)</f>
        <v>1005</v>
      </c>
    </row>
    <row r="1369" spans="1:8" x14ac:dyDescent="0.3">
      <c r="A1369" s="40"/>
      <c r="B1369" s="57" t="s">
        <v>7</v>
      </c>
      <c r="C1369" s="40"/>
      <c r="D1369" s="54"/>
      <c r="E1369" s="40"/>
      <c r="F1369" s="40"/>
      <c r="G1369" s="55"/>
      <c r="H1369" s="58">
        <f>SUM(H1365:H1368)</f>
        <v>4396.2</v>
      </c>
    </row>
    <row r="1370" spans="1:8" x14ac:dyDescent="0.3">
      <c r="A1370" s="40">
        <v>5</v>
      </c>
      <c r="B1370" s="57" t="s">
        <v>8</v>
      </c>
      <c r="C1370" s="40">
        <v>1</v>
      </c>
      <c r="D1370" s="54">
        <v>6001</v>
      </c>
      <c r="E1370" s="40">
        <v>5</v>
      </c>
      <c r="F1370" s="40">
        <f>C1370*D1370*E1370</f>
        <v>30005</v>
      </c>
      <c r="G1370" s="55">
        <v>0</v>
      </c>
      <c r="H1370" s="58">
        <f>(1-G1370)*F1370</f>
        <v>30005</v>
      </c>
    </row>
    <row r="1371" spans="1:8" x14ac:dyDescent="0.3">
      <c r="A1371" s="51"/>
      <c r="B1371" s="57" t="s">
        <v>9</v>
      </c>
      <c r="C1371" s="39"/>
      <c r="D1371" s="59"/>
      <c r="E1371" s="39"/>
      <c r="F1371" s="39"/>
      <c r="G1371" s="39"/>
      <c r="H1371" s="58">
        <f>H1369+H1370</f>
        <v>34401.199999999997</v>
      </c>
    </row>
    <row r="1372" spans="1:8" x14ac:dyDescent="0.3">
      <c r="A1372" s="40"/>
      <c r="B1372" s="40"/>
      <c r="C1372" s="40"/>
      <c r="D1372" s="41"/>
      <c r="E1372" s="40"/>
      <c r="F1372" s="40"/>
      <c r="G1372" s="40"/>
      <c r="H1372" s="42"/>
    </row>
    <row r="1373" spans="1:8" x14ac:dyDescent="0.3">
      <c r="A1373" s="44"/>
      <c r="B1373" s="86">
        <v>2549</v>
      </c>
      <c r="C1373" s="44" t="s">
        <v>255</v>
      </c>
      <c r="D1373" s="73"/>
      <c r="E1373" s="46" t="s">
        <v>256</v>
      </c>
      <c r="F1373" s="47"/>
      <c r="G1373" s="47"/>
      <c r="H1373" s="98"/>
    </row>
    <row r="1374" spans="1:8" x14ac:dyDescent="0.3">
      <c r="A1374" s="39"/>
      <c r="B1374" s="107" t="s">
        <v>0</v>
      </c>
      <c r="C1374" s="107" t="s">
        <v>1</v>
      </c>
      <c r="D1374" s="108" t="s">
        <v>2</v>
      </c>
      <c r="E1374" s="109" t="s">
        <v>3</v>
      </c>
      <c r="F1374" s="109" t="s">
        <v>4</v>
      </c>
      <c r="G1374" s="109" t="s">
        <v>5</v>
      </c>
      <c r="H1374" s="106" t="s">
        <v>6</v>
      </c>
    </row>
    <row r="1375" spans="1:8" ht="57.6" x14ac:dyDescent="0.3">
      <c r="A1375" s="40">
        <v>1</v>
      </c>
      <c r="B1375" s="110" t="s">
        <v>1542</v>
      </c>
      <c r="C1375" s="40">
        <v>1</v>
      </c>
      <c r="D1375" s="54">
        <f>(6*2.5)+(1.5*1.5)+(5*14.8)</f>
        <v>91.25</v>
      </c>
      <c r="E1375" s="40">
        <v>300</v>
      </c>
      <c r="F1375" s="40">
        <f>C1375*D1375*E1375</f>
        <v>27375</v>
      </c>
      <c r="G1375" s="55">
        <v>0.4</v>
      </c>
      <c r="H1375" s="42">
        <f>F1375*(1-G1375)</f>
        <v>16425</v>
      </c>
    </row>
    <row r="1376" spans="1:8" ht="57.6" x14ac:dyDescent="0.3">
      <c r="A1376" s="40">
        <v>2</v>
      </c>
      <c r="B1376" s="110" t="s">
        <v>260</v>
      </c>
      <c r="C1376" s="40">
        <v>1</v>
      </c>
      <c r="D1376" s="54">
        <v>228</v>
      </c>
      <c r="E1376" s="40">
        <v>300</v>
      </c>
      <c r="F1376" s="40">
        <f>C1376*D1376*E1376</f>
        <v>68400</v>
      </c>
      <c r="G1376" s="55">
        <v>0.4</v>
      </c>
      <c r="H1376" s="42">
        <f>F1376*(1-G1376)</f>
        <v>41040</v>
      </c>
    </row>
    <row r="1377" spans="1:8" ht="57.6" x14ac:dyDescent="0.3">
      <c r="A1377" s="40">
        <v>3</v>
      </c>
      <c r="B1377" s="53" t="s">
        <v>257</v>
      </c>
      <c r="C1377" s="40">
        <v>1</v>
      </c>
      <c r="D1377" s="54">
        <v>195</v>
      </c>
      <c r="E1377" s="40">
        <v>150</v>
      </c>
      <c r="F1377" s="40">
        <f>C1377*D1377*E1377</f>
        <v>29250</v>
      </c>
      <c r="G1377" s="55">
        <v>0.4</v>
      </c>
      <c r="H1377" s="42">
        <f>F1377*(1-G1377)</f>
        <v>17550</v>
      </c>
    </row>
    <row r="1378" spans="1:8" x14ac:dyDescent="0.3">
      <c r="A1378" s="40"/>
      <c r="B1378" s="57" t="s">
        <v>7</v>
      </c>
      <c r="C1378" s="40"/>
      <c r="D1378" s="54"/>
      <c r="E1378" s="40"/>
      <c r="F1378" s="40"/>
      <c r="G1378" s="55"/>
      <c r="H1378" s="58">
        <f>SUM(H1375:H1377)</f>
        <v>75015</v>
      </c>
    </row>
    <row r="1379" spans="1:8" x14ac:dyDescent="0.3">
      <c r="A1379" s="40">
        <v>4</v>
      </c>
      <c r="B1379" s="57" t="s">
        <v>8</v>
      </c>
      <c r="C1379" s="40">
        <v>1</v>
      </c>
      <c r="D1379" s="54">
        <v>6941</v>
      </c>
      <c r="E1379" s="40">
        <v>5</v>
      </c>
      <c r="F1379" s="40">
        <f>C1379*D1379*E1379</f>
        <v>34705</v>
      </c>
      <c r="G1379" s="55">
        <v>0</v>
      </c>
      <c r="H1379" s="58">
        <f>(1-G1379)*F1379</f>
        <v>34705</v>
      </c>
    </row>
    <row r="1380" spans="1:8" x14ac:dyDescent="0.3">
      <c r="A1380" s="51"/>
      <c r="B1380" s="57" t="s">
        <v>9</v>
      </c>
      <c r="C1380" s="39"/>
      <c r="D1380" s="59"/>
      <c r="E1380" s="39"/>
      <c r="F1380" s="39"/>
      <c r="G1380" s="39"/>
      <c r="H1380" s="58">
        <f>H1378+H1379</f>
        <v>109720</v>
      </c>
    </row>
    <row r="1381" spans="1:8" x14ac:dyDescent="0.3">
      <c r="A1381" s="40"/>
      <c r="B1381" s="40"/>
      <c r="C1381" s="40"/>
      <c r="D1381" s="41"/>
      <c r="E1381" s="40"/>
      <c r="F1381" s="40"/>
      <c r="G1381" s="40"/>
      <c r="H1381" s="42"/>
    </row>
    <row r="1382" spans="1:8" x14ac:dyDescent="0.3">
      <c r="A1382" s="44"/>
      <c r="B1382" s="86">
        <v>2550</v>
      </c>
      <c r="C1382" s="44" t="s">
        <v>258</v>
      </c>
      <c r="D1382" s="73"/>
      <c r="E1382" s="46" t="s">
        <v>259</v>
      </c>
      <c r="F1382" s="47"/>
      <c r="G1382" s="47"/>
      <c r="H1382" s="98"/>
    </row>
    <row r="1383" spans="1:8" x14ac:dyDescent="0.3">
      <c r="A1383" s="39"/>
      <c r="B1383" s="107" t="s">
        <v>0</v>
      </c>
      <c r="C1383" s="107" t="s">
        <v>1</v>
      </c>
      <c r="D1383" s="108" t="s">
        <v>2</v>
      </c>
      <c r="E1383" s="109" t="s">
        <v>3</v>
      </c>
      <c r="F1383" s="109" t="s">
        <v>4</v>
      </c>
      <c r="G1383" s="109" t="s">
        <v>5</v>
      </c>
      <c r="H1383" s="106" t="s">
        <v>6</v>
      </c>
    </row>
    <row r="1384" spans="1:8" ht="57.6" x14ac:dyDescent="0.3">
      <c r="A1384" s="40">
        <v>1</v>
      </c>
      <c r="B1384" s="110" t="s">
        <v>266</v>
      </c>
      <c r="C1384" s="40">
        <v>1</v>
      </c>
      <c r="D1384" s="54">
        <f>(4.5*4.5)+55+(7.5*4)</f>
        <v>105.25</v>
      </c>
      <c r="E1384" s="40">
        <v>300</v>
      </c>
      <c r="F1384" s="40">
        <f t="shared" ref="F1384:F1391" si="100">C1384*D1384*E1384</f>
        <v>31575</v>
      </c>
      <c r="G1384" s="55">
        <v>0.4</v>
      </c>
      <c r="H1384" s="42">
        <f t="shared" ref="H1384:H1389" si="101">F1384*(1-G1384)</f>
        <v>18945</v>
      </c>
    </row>
    <row r="1385" spans="1:8" ht="43.2" x14ac:dyDescent="0.3">
      <c r="A1385" s="40">
        <v>2</v>
      </c>
      <c r="B1385" s="110" t="s">
        <v>267</v>
      </c>
      <c r="C1385" s="40">
        <v>1</v>
      </c>
      <c r="D1385" s="54">
        <f>(13.3*13)+(4*4)+3</f>
        <v>191.9</v>
      </c>
      <c r="E1385" s="40">
        <v>150</v>
      </c>
      <c r="F1385" s="40">
        <f t="shared" si="100"/>
        <v>28785</v>
      </c>
      <c r="G1385" s="55">
        <v>0.4</v>
      </c>
      <c r="H1385" s="42">
        <f t="shared" si="101"/>
        <v>17271</v>
      </c>
    </row>
    <row r="1386" spans="1:8" ht="28.8" x14ac:dyDescent="0.3">
      <c r="A1386" s="40">
        <v>3</v>
      </c>
      <c r="B1386" s="53" t="s">
        <v>261</v>
      </c>
      <c r="C1386" s="40">
        <v>1</v>
      </c>
      <c r="D1386" s="54">
        <v>1</v>
      </c>
      <c r="E1386" s="40">
        <v>350</v>
      </c>
      <c r="F1386" s="40">
        <f t="shared" si="100"/>
        <v>350</v>
      </c>
      <c r="G1386" s="55">
        <v>0.4</v>
      </c>
      <c r="H1386" s="42">
        <f t="shared" si="101"/>
        <v>210</v>
      </c>
    </row>
    <row r="1387" spans="1:8" x14ac:dyDescent="0.3">
      <c r="A1387" s="40">
        <v>4</v>
      </c>
      <c r="B1387" s="53" t="s">
        <v>262</v>
      </c>
      <c r="C1387" s="40">
        <v>1</v>
      </c>
      <c r="D1387" s="54">
        <v>10000</v>
      </c>
      <c r="E1387" s="40">
        <v>0.55000000000000004</v>
      </c>
      <c r="F1387" s="40">
        <f t="shared" si="100"/>
        <v>5500</v>
      </c>
      <c r="G1387" s="55">
        <v>0.4</v>
      </c>
      <c r="H1387" s="42">
        <f t="shared" si="101"/>
        <v>3300</v>
      </c>
    </row>
    <row r="1388" spans="1:8" x14ac:dyDescent="0.3">
      <c r="A1388" s="40">
        <v>5</v>
      </c>
      <c r="B1388" s="53" t="s">
        <v>263</v>
      </c>
      <c r="C1388" s="40">
        <v>1</v>
      </c>
      <c r="D1388" s="54">
        <v>20000</v>
      </c>
      <c r="E1388" s="40">
        <v>0.55000000000000004</v>
      </c>
      <c r="F1388" s="40">
        <f t="shared" si="100"/>
        <v>11000</v>
      </c>
      <c r="G1388" s="55">
        <v>0.4</v>
      </c>
      <c r="H1388" s="42">
        <f t="shared" si="101"/>
        <v>6600</v>
      </c>
    </row>
    <row r="1389" spans="1:8" x14ac:dyDescent="0.3">
      <c r="A1389" s="40">
        <v>6</v>
      </c>
      <c r="B1389" s="110" t="s">
        <v>1539</v>
      </c>
      <c r="C1389" s="40">
        <v>1</v>
      </c>
      <c r="D1389" s="54">
        <v>310</v>
      </c>
      <c r="E1389" s="40">
        <v>45</v>
      </c>
      <c r="F1389" s="40">
        <f t="shared" si="100"/>
        <v>13950</v>
      </c>
      <c r="G1389" s="55">
        <v>0.7</v>
      </c>
      <c r="H1389" s="42">
        <f t="shared" si="101"/>
        <v>4185.0000000000009</v>
      </c>
    </row>
    <row r="1390" spans="1:8" x14ac:dyDescent="0.3">
      <c r="A1390" s="40"/>
      <c r="B1390" s="57" t="s">
        <v>7</v>
      </c>
      <c r="C1390" s="40"/>
      <c r="D1390" s="54"/>
      <c r="E1390" s="40"/>
      <c r="F1390" s="40"/>
      <c r="G1390" s="55"/>
      <c r="H1390" s="58">
        <f>SUM(H1384:H1389)</f>
        <v>50511</v>
      </c>
    </row>
    <row r="1391" spans="1:8" x14ac:dyDescent="0.3">
      <c r="A1391" s="40">
        <v>7</v>
      </c>
      <c r="B1391" s="57" t="s">
        <v>8</v>
      </c>
      <c r="C1391" s="40">
        <v>1</v>
      </c>
      <c r="D1391" s="54">
        <v>6000</v>
      </c>
      <c r="E1391" s="40">
        <v>5</v>
      </c>
      <c r="F1391" s="40">
        <f t="shared" si="100"/>
        <v>30000</v>
      </c>
      <c r="G1391" s="55">
        <v>0</v>
      </c>
      <c r="H1391" s="58">
        <f>(1-G1391)*F1391</f>
        <v>30000</v>
      </c>
    </row>
    <row r="1392" spans="1:8" x14ac:dyDescent="0.3">
      <c r="A1392" s="51"/>
      <c r="B1392" s="57" t="s">
        <v>9</v>
      </c>
      <c r="C1392" s="39"/>
      <c r="D1392" s="59"/>
      <c r="E1392" s="39"/>
      <c r="F1392" s="39"/>
      <c r="G1392" s="39"/>
      <c r="H1392" s="58">
        <f>H1390+H1391</f>
        <v>80511</v>
      </c>
    </row>
    <row r="1393" spans="1:8" x14ac:dyDescent="0.3">
      <c r="A1393" s="40"/>
      <c r="B1393" s="40"/>
      <c r="C1393" s="40"/>
      <c r="D1393" s="41"/>
      <c r="E1393" s="40"/>
      <c r="F1393" s="40"/>
      <c r="G1393" s="40"/>
      <c r="H1393" s="42"/>
    </row>
    <row r="1394" spans="1:8" x14ac:dyDescent="0.3">
      <c r="A1394" s="44"/>
      <c r="B1394" s="86">
        <v>2551</v>
      </c>
      <c r="C1394" s="44" t="s">
        <v>264</v>
      </c>
      <c r="D1394" s="73"/>
      <c r="E1394" s="46" t="s">
        <v>265</v>
      </c>
      <c r="F1394" s="47"/>
      <c r="G1394" s="47"/>
      <c r="H1394" s="98"/>
    </row>
    <row r="1395" spans="1:8" x14ac:dyDescent="0.3">
      <c r="A1395" s="39"/>
      <c r="B1395" s="107" t="s">
        <v>0</v>
      </c>
      <c r="C1395" s="107" t="s">
        <v>1</v>
      </c>
      <c r="D1395" s="108" t="s">
        <v>2</v>
      </c>
      <c r="E1395" s="109" t="s">
        <v>3</v>
      </c>
      <c r="F1395" s="109" t="s">
        <v>4</v>
      </c>
      <c r="G1395" s="109" t="s">
        <v>5</v>
      </c>
      <c r="H1395" s="106" t="s">
        <v>6</v>
      </c>
    </row>
    <row r="1396" spans="1:8" ht="57.6" x14ac:dyDescent="0.3">
      <c r="A1396" s="40">
        <v>1</v>
      </c>
      <c r="B1396" s="110" t="s">
        <v>1646</v>
      </c>
      <c r="C1396" s="40">
        <v>1</v>
      </c>
      <c r="D1396" s="54">
        <v>117.3</v>
      </c>
      <c r="E1396" s="40">
        <v>300</v>
      </c>
      <c r="F1396" s="40">
        <f t="shared" ref="F1396:F1401" si="102">C1396*D1396*E1396</f>
        <v>35190</v>
      </c>
      <c r="G1396" s="55">
        <v>0.4</v>
      </c>
      <c r="H1396" s="42">
        <f t="shared" ref="H1396:H1401" si="103">F1396*(1-G1396)</f>
        <v>21114</v>
      </c>
    </row>
    <row r="1397" spans="1:8" ht="72" x14ac:dyDescent="0.3">
      <c r="A1397" s="40">
        <v>2</v>
      </c>
      <c r="B1397" s="110" t="s">
        <v>1470</v>
      </c>
      <c r="C1397" s="40">
        <v>1</v>
      </c>
      <c r="D1397" s="54">
        <v>20.399999999999999</v>
      </c>
      <c r="E1397" s="40">
        <v>60</v>
      </c>
      <c r="F1397" s="40">
        <f t="shared" si="102"/>
        <v>1224</v>
      </c>
      <c r="G1397" s="55">
        <v>0.4</v>
      </c>
      <c r="H1397" s="42">
        <f t="shared" si="103"/>
        <v>734.4</v>
      </c>
    </row>
    <row r="1398" spans="1:8" ht="72" x14ac:dyDescent="0.3">
      <c r="A1398" s="40">
        <v>3</v>
      </c>
      <c r="B1398" s="110" t="s">
        <v>240</v>
      </c>
      <c r="C1398" s="40">
        <v>1</v>
      </c>
      <c r="D1398" s="54">
        <f>(10.5*6.5)+(2.8*4)</f>
        <v>79.45</v>
      </c>
      <c r="E1398" s="40">
        <v>150</v>
      </c>
      <c r="F1398" s="40">
        <f t="shared" si="102"/>
        <v>11917.5</v>
      </c>
      <c r="G1398" s="55">
        <v>0.5</v>
      </c>
      <c r="H1398" s="42">
        <f t="shared" si="103"/>
        <v>5958.75</v>
      </c>
    </row>
    <row r="1399" spans="1:8" ht="72" x14ac:dyDescent="0.3">
      <c r="A1399" s="40">
        <v>4</v>
      </c>
      <c r="B1399" s="110" t="s">
        <v>268</v>
      </c>
      <c r="C1399" s="40">
        <v>1</v>
      </c>
      <c r="D1399" s="54">
        <v>24</v>
      </c>
      <c r="E1399" s="40">
        <v>100</v>
      </c>
      <c r="F1399" s="40">
        <f t="shared" si="102"/>
        <v>2400</v>
      </c>
      <c r="G1399" s="55">
        <v>0.5</v>
      </c>
      <c r="H1399" s="42">
        <f t="shared" si="103"/>
        <v>1200</v>
      </c>
    </row>
    <row r="1400" spans="1:8" ht="43.2" x14ac:dyDescent="0.3">
      <c r="A1400" s="40">
        <v>5</v>
      </c>
      <c r="B1400" s="53" t="s">
        <v>269</v>
      </c>
      <c r="C1400" s="40">
        <v>1</v>
      </c>
      <c r="D1400" s="54">
        <f>10.8*9.5</f>
        <v>102.60000000000001</v>
      </c>
      <c r="E1400" s="40">
        <v>50</v>
      </c>
      <c r="F1400" s="40">
        <f t="shared" si="102"/>
        <v>5130</v>
      </c>
      <c r="G1400" s="55">
        <v>0.4</v>
      </c>
      <c r="H1400" s="42">
        <f t="shared" si="103"/>
        <v>3078</v>
      </c>
    </row>
    <row r="1401" spans="1:8" x14ac:dyDescent="0.3">
      <c r="A1401" s="40">
        <v>6</v>
      </c>
      <c r="B1401" s="110" t="s">
        <v>1539</v>
      </c>
      <c r="C1401" s="40">
        <v>1</v>
      </c>
      <c r="D1401" s="54">
        <v>310</v>
      </c>
      <c r="E1401" s="40">
        <v>45</v>
      </c>
      <c r="F1401" s="40">
        <f t="shared" si="102"/>
        <v>13950</v>
      </c>
      <c r="G1401" s="55">
        <v>0.7</v>
      </c>
      <c r="H1401" s="42">
        <f t="shared" si="103"/>
        <v>4185.0000000000009</v>
      </c>
    </row>
    <row r="1402" spans="1:8" x14ac:dyDescent="0.3">
      <c r="A1402" s="40"/>
      <c r="B1402" s="57" t="s">
        <v>7</v>
      </c>
      <c r="C1402" s="40"/>
      <c r="D1402" s="54"/>
      <c r="E1402" s="40"/>
      <c r="F1402" s="40"/>
      <c r="G1402" s="55"/>
      <c r="H1402" s="58">
        <f>SUM(H1396:H1401)</f>
        <v>36270.15</v>
      </c>
    </row>
    <row r="1403" spans="1:8" x14ac:dyDescent="0.3">
      <c r="A1403" s="40">
        <v>7</v>
      </c>
      <c r="B1403" s="57" t="s">
        <v>8</v>
      </c>
      <c r="C1403" s="40">
        <v>1</v>
      </c>
      <c r="D1403" s="54">
        <v>6000</v>
      </c>
      <c r="E1403" s="40">
        <v>5</v>
      </c>
      <c r="F1403" s="40">
        <f>C1403*D1403*E1403</f>
        <v>30000</v>
      </c>
      <c r="G1403" s="55">
        <v>0</v>
      </c>
      <c r="H1403" s="58">
        <f>(1-G1403)*F1403</f>
        <v>30000</v>
      </c>
    </row>
    <row r="1404" spans="1:8" x14ac:dyDescent="0.3">
      <c r="A1404" s="51"/>
      <c r="B1404" s="57" t="s">
        <v>9</v>
      </c>
      <c r="C1404" s="39"/>
      <c r="D1404" s="59"/>
      <c r="E1404" s="39"/>
      <c r="F1404" s="39"/>
      <c r="G1404" s="39"/>
      <c r="H1404" s="58">
        <f>H1402+H1403</f>
        <v>66270.149999999994</v>
      </c>
    </row>
    <row r="1405" spans="1:8" x14ac:dyDescent="0.3">
      <c r="A1405" s="40"/>
      <c r="B1405" s="40"/>
      <c r="C1405" s="40"/>
      <c r="D1405" s="41"/>
      <c r="E1405" s="40"/>
      <c r="F1405" s="40"/>
      <c r="G1405" s="40"/>
      <c r="H1405" s="42"/>
    </row>
    <row r="1406" spans="1:8" x14ac:dyDescent="0.3">
      <c r="A1406" s="44"/>
      <c r="B1406" s="86">
        <v>2552</v>
      </c>
      <c r="C1406" s="44" t="s">
        <v>270</v>
      </c>
      <c r="D1406" s="73"/>
      <c r="E1406" s="46" t="s">
        <v>271</v>
      </c>
      <c r="F1406" s="47"/>
      <c r="G1406" s="47"/>
      <c r="H1406" s="98"/>
    </row>
    <row r="1407" spans="1:8" x14ac:dyDescent="0.3">
      <c r="A1407" s="39"/>
      <c r="B1407" s="107" t="s">
        <v>0</v>
      </c>
      <c r="C1407" s="107" t="s">
        <v>1</v>
      </c>
      <c r="D1407" s="108" t="s">
        <v>2</v>
      </c>
      <c r="E1407" s="109" t="s">
        <v>3</v>
      </c>
      <c r="F1407" s="109" t="s">
        <v>4</v>
      </c>
      <c r="G1407" s="109" t="s">
        <v>5</v>
      </c>
      <c r="H1407" s="106" t="s">
        <v>6</v>
      </c>
    </row>
    <row r="1408" spans="1:8" ht="57.6" x14ac:dyDescent="0.3">
      <c r="A1408" s="40">
        <v>1</v>
      </c>
      <c r="B1408" s="110" t="s">
        <v>272</v>
      </c>
      <c r="C1408" s="40">
        <v>1</v>
      </c>
      <c r="D1408" s="54">
        <v>104.27</v>
      </c>
      <c r="E1408" s="40">
        <v>300</v>
      </c>
      <c r="F1408" s="40">
        <f>C1408*D1408*E1408</f>
        <v>31281</v>
      </c>
      <c r="G1408" s="55">
        <v>0.3</v>
      </c>
      <c r="H1408" s="42">
        <f>F1408*(1-G1408)</f>
        <v>21896.699999999997</v>
      </c>
    </row>
    <row r="1409" spans="1:8" ht="72" x14ac:dyDescent="0.3">
      <c r="A1409" s="40">
        <v>3</v>
      </c>
      <c r="B1409" s="110" t="s">
        <v>273</v>
      </c>
      <c r="C1409" s="40">
        <v>1</v>
      </c>
      <c r="D1409" s="54">
        <v>33.25</v>
      </c>
      <c r="E1409" s="40">
        <v>100</v>
      </c>
      <c r="F1409" s="40">
        <f>C1409*D1409*E1409</f>
        <v>3325</v>
      </c>
      <c r="G1409" s="55">
        <v>0.5</v>
      </c>
      <c r="H1409" s="42">
        <f>F1409*(1-G1409)</f>
        <v>1662.5</v>
      </c>
    </row>
    <row r="1410" spans="1:8" x14ac:dyDescent="0.3">
      <c r="A1410" s="40">
        <v>4</v>
      </c>
      <c r="B1410" s="110" t="s">
        <v>1539</v>
      </c>
      <c r="C1410" s="40">
        <v>1</v>
      </c>
      <c r="D1410" s="54">
        <v>296</v>
      </c>
      <c r="E1410" s="40">
        <v>45</v>
      </c>
      <c r="F1410" s="40">
        <f>C1410*D1410*E1410</f>
        <v>13320</v>
      </c>
      <c r="G1410" s="55">
        <v>0.7</v>
      </c>
      <c r="H1410" s="42">
        <f>F1410*(1-G1410)</f>
        <v>3996.0000000000005</v>
      </c>
    </row>
    <row r="1411" spans="1:8" x14ac:dyDescent="0.3">
      <c r="A1411" s="40"/>
      <c r="B1411" s="57" t="s">
        <v>7</v>
      </c>
      <c r="C1411" s="40"/>
      <c r="D1411" s="54"/>
      <c r="E1411" s="40"/>
      <c r="F1411" s="40"/>
      <c r="G1411" s="55"/>
      <c r="H1411" s="58">
        <f>SUM(H1408:H1410)</f>
        <v>27555.199999999997</v>
      </c>
    </row>
    <row r="1412" spans="1:8" x14ac:dyDescent="0.3">
      <c r="A1412" s="40">
        <v>5</v>
      </c>
      <c r="B1412" s="57" t="s">
        <v>8</v>
      </c>
      <c r="C1412" s="40">
        <v>1</v>
      </c>
      <c r="D1412" s="54">
        <v>5465</v>
      </c>
      <c r="E1412" s="40">
        <v>5</v>
      </c>
      <c r="F1412" s="40">
        <f>C1412*D1412*E1412</f>
        <v>27325</v>
      </c>
      <c r="G1412" s="55">
        <v>0</v>
      </c>
      <c r="H1412" s="58">
        <f>(1-G1412)*F1412</f>
        <v>27325</v>
      </c>
    </row>
    <row r="1413" spans="1:8" x14ac:dyDescent="0.3">
      <c r="A1413" s="51"/>
      <c r="B1413" s="57" t="s">
        <v>9</v>
      </c>
      <c r="C1413" s="39"/>
      <c r="D1413" s="59"/>
      <c r="E1413" s="39"/>
      <c r="F1413" s="39"/>
      <c r="G1413" s="39"/>
      <c r="H1413" s="58">
        <f>H1411+H1412</f>
        <v>54880.2</v>
      </c>
    </row>
    <row r="1414" spans="1:8" x14ac:dyDescent="0.3">
      <c r="A1414" s="51"/>
      <c r="B1414" s="57"/>
      <c r="C1414" s="39"/>
      <c r="D1414" s="59"/>
      <c r="E1414" s="39"/>
      <c r="F1414" s="39"/>
      <c r="G1414" s="39"/>
      <c r="H1414" s="58"/>
    </row>
    <row r="1415" spans="1:8" x14ac:dyDescent="0.3">
      <c r="A1415" s="47"/>
      <c r="B1415" s="95">
        <v>2553</v>
      </c>
      <c r="C1415" s="47" t="s">
        <v>539</v>
      </c>
      <c r="D1415" s="96"/>
      <c r="E1415" s="47" t="s">
        <v>540</v>
      </c>
      <c r="F1415" s="97"/>
      <c r="G1415" s="47"/>
      <c r="H1415" s="98"/>
    </row>
    <row r="1416" spans="1:8" x14ac:dyDescent="0.3">
      <c r="A1416" s="39"/>
      <c r="B1416" s="107" t="s">
        <v>0</v>
      </c>
      <c r="C1416" s="107" t="s">
        <v>1</v>
      </c>
      <c r="D1416" s="108" t="s">
        <v>2</v>
      </c>
      <c r="E1416" s="109" t="s">
        <v>3</v>
      </c>
      <c r="F1416" s="109" t="s">
        <v>4</v>
      </c>
      <c r="G1416" s="109" t="s">
        <v>5</v>
      </c>
      <c r="H1416" s="106" t="s">
        <v>6</v>
      </c>
    </row>
    <row r="1417" spans="1:8" ht="72" x14ac:dyDescent="0.3">
      <c r="A1417" s="40">
        <v>1</v>
      </c>
      <c r="B1417" s="102" t="s">
        <v>541</v>
      </c>
      <c r="C1417" s="40">
        <v>1</v>
      </c>
      <c r="D1417" s="41">
        <v>74</v>
      </c>
      <c r="E1417" s="40">
        <v>300</v>
      </c>
      <c r="F1417" s="68">
        <f>(D1417*E1417)</f>
        <v>22200</v>
      </c>
      <c r="G1417" s="55">
        <v>0.5</v>
      </c>
      <c r="H1417" s="42">
        <f t="shared" ref="H1417:H1422" si="104">F1417*(1-G1417)</f>
        <v>11100</v>
      </c>
    </row>
    <row r="1418" spans="1:8" ht="43.2" x14ac:dyDescent="0.3">
      <c r="A1418" s="40">
        <v>2</v>
      </c>
      <c r="B1418" s="102" t="s">
        <v>542</v>
      </c>
      <c r="C1418" s="40">
        <v>1</v>
      </c>
      <c r="D1418" s="41">
        <v>15</v>
      </c>
      <c r="E1418" s="40">
        <v>100</v>
      </c>
      <c r="F1418" s="68">
        <f>(D1418*E1418)</f>
        <v>1500</v>
      </c>
      <c r="G1418" s="55">
        <v>0.5</v>
      </c>
      <c r="H1418" s="42">
        <f t="shared" si="104"/>
        <v>750</v>
      </c>
    </row>
    <row r="1419" spans="1:8" x14ac:dyDescent="0.3">
      <c r="A1419" s="40">
        <v>3</v>
      </c>
      <c r="B1419" s="102" t="s">
        <v>543</v>
      </c>
      <c r="C1419" s="40">
        <v>2</v>
      </c>
      <c r="D1419" s="41">
        <v>20000</v>
      </c>
      <c r="E1419" s="40">
        <v>0.55000000000000004</v>
      </c>
      <c r="F1419" s="68">
        <f>(D1419*E1419)</f>
        <v>11000</v>
      </c>
      <c r="G1419" s="55">
        <v>0.5</v>
      </c>
      <c r="H1419" s="42">
        <f t="shared" si="104"/>
        <v>5500</v>
      </c>
    </row>
    <row r="1420" spans="1:8" x14ac:dyDescent="0.3">
      <c r="A1420" s="40">
        <v>4</v>
      </c>
      <c r="B1420" s="102" t="s">
        <v>544</v>
      </c>
      <c r="C1420" s="40">
        <v>1</v>
      </c>
      <c r="D1420" s="41">
        <v>10000</v>
      </c>
      <c r="E1420" s="40">
        <v>0.65</v>
      </c>
      <c r="F1420" s="68">
        <f>(D1420*E1420)</f>
        <v>6500</v>
      </c>
      <c r="G1420" s="55">
        <v>0.5</v>
      </c>
      <c r="H1420" s="42">
        <f t="shared" si="104"/>
        <v>3250</v>
      </c>
    </row>
    <row r="1421" spans="1:8" x14ac:dyDescent="0.3">
      <c r="A1421" s="40">
        <v>5</v>
      </c>
      <c r="B1421" s="102" t="s">
        <v>545</v>
      </c>
      <c r="C1421" s="40">
        <v>2</v>
      </c>
      <c r="D1421" s="41">
        <v>1</v>
      </c>
      <c r="E1421" s="40">
        <v>2500</v>
      </c>
      <c r="F1421" s="68">
        <f>C1421*D1421*E1421</f>
        <v>5000</v>
      </c>
      <c r="G1421" s="55">
        <v>0.5</v>
      </c>
      <c r="H1421" s="42">
        <f t="shared" si="104"/>
        <v>2500</v>
      </c>
    </row>
    <row r="1422" spans="1:8" ht="72" x14ac:dyDescent="0.3">
      <c r="A1422" s="40">
        <v>6</v>
      </c>
      <c r="B1422" s="102" t="s">
        <v>1672</v>
      </c>
      <c r="C1422" s="40">
        <v>1</v>
      </c>
      <c r="D1422" s="41">
        <v>428</v>
      </c>
      <c r="E1422" s="40">
        <v>400</v>
      </c>
      <c r="F1422" s="68">
        <f>(D1422*E1422)</f>
        <v>171200</v>
      </c>
      <c r="G1422" s="55">
        <v>0.5</v>
      </c>
      <c r="H1422" s="42">
        <f t="shared" si="104"/>
        <v>85600</v>
      </c>
    </row>
    <row r="1423" spans="1:8" x14ac:dyDescent="0.3">
      <c r="A1423" s="40"/>
      <c r="B1423" s="103" t="s">
        <v>318</v>
      </c>
      <c r="C1423" s="40"/>
      <c r="D1423" s="41"/>
      <c r="E1423" s="40"/>
      <c r="F1423" s="68"/>
      <c r="G1423" s="55"/>
      <c r="H1423" s="58">
        <f>SUM(H1417:H1422)</f>
        <v>108700</v>
      </c>
    </row>
    <row r="1424" spans="1:8" x14ac:dyDescent="0.3">
      <c r="A1424" s="40">
        <v>7</v>
      </c>
      <c r="B1424" s="103" t="s">
        <v>8</v>
      </c>
      <c r="C1424" s="40">
        <v>1</v>
      </c>
      <c r="D1424" s="41">
        <v>2974</v>
      </c>
      <c r="E1424" s="40">
        <v>5</v>
      </c>
      <c r="F1424" s="68">
        <f>C1424*(D1424*E1424)</f>
        <v>14870</v>
      </c>
      <c r="G1424" s="55">
        <v>0</v>
      </c>
      <c r="H1424" s="42">
        <f>F1424*(1-G1424)</f>
        <v>14870</v>
      </c>
    </row>
    <row r="1425" spans="1:8" x14ac:dyDescent="0.3">
      <c r="A1425" s="40"/>
      <c r="B1425" s="103" t="s">
        <v>9</v>
      </c>
      <c r="C1425" s="40"/>
      <c r="D1425" s="41"/>
      <c r="E1425" s="40"/>
      <c r="F1425" s="68"/>
      <c r="G1425" s="55"/>
      <c r="H1425" s="58">
        <f>SUM(H1423:H1424)</f>
        <v>123570</v>
      </c>
    </row>
    <row r="1426" spans="1:8" x14ac:dyDescent="0.3">
      <c r="A1426" s="47"/>
      <c r="B1426" s="95">
        <v>2554</v>
      </c>
      <c r="C1426" s="47" t="s">
        <v>546</v>
      </c>
      <c r="D1426" s="96"/>
      <c r="E1426" s="47" t="s">
        <v>547</v>
      </c>
      <c r="F1426" s="97"/>
      <c r="G1426" s="47"/>
      <c r="H1426" s="98"/>
    </row>
    <row r="1427" spans="1:8" x14ac:dyDescent="0.3">
      <c r="A1427" s="39"/>
      <c r="B1427" s="107" t="s">
        <v>0</v>
      </c>
      <c r="C1427" s="107" t="s">
        <v>1</v>
      </c>
      <c r="D1427" s="108" t="s">
        <v>2</v>
      </c>
      <c r="E1427" s="109" t="s">
        <v>3</v>
      </c>
      <c r="F1427" s="109" t="s">
        <v>4</v>
      </c>
      <c r="G1427" s="109" t="s">
        <v>5</v>
      </c>
      <c r="H1427" s="106" t="s">
        <v>6</v>
      </c>
    </row>
    <row r="1428" spans="1:8" ht="86.4" x14ac:dyDescent="0.3">
      <c r="A1428" s="51">
        <v>1</v>
      </c>
      <c r="B1428" s="102" t="s">
        <v>548</v>
      </c>
      <c r="C1428" s="40">
        <v>1</v>
      </c>
      <c r="D1428" s="41">
        <v>200</v>
      </c>
      <c r="E1428" s="40">
        <v>500</v>
      </c>
      <c r="F1428" s="68">
        <f>D1428*E1428</f>
        <v>100000</v>
      </c>
      <c r="G1428" s="55">
        <v>0.5</v>
      </c>
      <c r="H1428" s="42">
        <f>F1428*(1-G1428)</f>
        <v>50000</v>
      </c>
    </row>
    <row r="1429" spans="1:8" ht="86.4" x14ac:dyDescent="0.3">
      <c r="A1429" s="83">
        <v>2</v>
      </c>
      <c r="B1429" s="66" t="s">
        <v>1403</v>
      </c>
      <c r="C1429" s="40">
        <v>1</v>
      </c>
      <c r="D1429" s="41">
        <v>800</v>
      </c>
      <c r="E1429" s="40">
        <v>300</v>
      </c>
      <c r="F1429" s="68">
        <f>D1429*E1429</f>
        <v>240000</v>
      </c>
      <c r="G1429" s="55">
        <v>0.5</v>
      </c>
      <c r="H1429" s="42">
        <f>F1429*(1-G1429)</f>
        <v>120000</v>
      </c>
    </row>
    <row r="1430" spans="1:8" ht="43.2" x14ac:dyDescent="0.3">
      <c r="A1430" s="83">
        <v>3</v>
      </c>
      <c r="B1430" s="102" t="s">
        <v>549</v>
      </c>
      <c r="C1430" s="40">
        <v>1</v>
      </c>
      <c r="D1430" s="41">
        <v>25</v>
      </c>
      <c r="E1430" s="40">
        <v>50</v>
      </c>
      <c r="F1430" s="68">
        <f>D1430*E1430</f>
        <v>1250</v>
      </c>
      <c r="G1430" s="55">
        <v>0.5</v>
      </c>
      <c r="H1430" s="42">
        <f>F1430*(1-G1430)</f>
        <v>625</v>
      </c>
    </row>
    <row r="1431" spans="1:8" ht="43.2" x14ac:dyDescent="0.3">
      <c r="A1431" s="83">
        <v>4</v>
      </c>
      <c r="B1431" s="102" t="s">
        <v>550</v>
      </c>
      <c r="C1431" s="40">
        <v>1</v>
      </c>
      <c r="D1431" s="41">
        <v>6</v>
      </c>
      <c r="E1431" s="40">
        <v>200</v>
      </c>
      <c r="F1431" s="68">
        <f>D1431*E1431</f>
        <v>1200</v>
      </c>
      <c r="G1431" s="55">
        <v>0.5</v>
      </c>
      <c r="H1431" s="42">
        <f>F1431*(1-G1431)</f>
        <v>600</v>
      </c>
    </row>
    <row r="1432" spans="1:8" ht="28.8" x14ac:dyDescent="0.3">
      <c r="A1432" s="83">
        <v>5</v>
      </c>
      <c r="B1432" s="102" t="s">
        <v>419</v>
      </c>
      <c r="C1432" s="40">
        <v>1</v>
      </c>
      <c r="D1432" s="41">
        <f>79*4</f>
        <v>316</v>
      </c>
      <c r="E1432" s="40">
        <v>22</v>
      </c>
      <c r="F1432" s="68">
        <f>D1432*E1432</f>
        <v>6952</v>
      </c>
      <c r="G1432" s="55">
        <v>0.5</v>
      </c>
      <c r="H1432" s="42">
        <f>F1432*(1-G1432)</f>
        <v>3476</v>
      </c>
    </row>
    <row r="1433" spans="1:8" x14ac:dyDescent="0.3">
      <c r="A1433" s="83"/>
      <c r="B1433" s="103" t="s">
        <v>318</v>
      </c>
      <c r="C1433" s="40"/>
      <c r="D1433" s="41"/>
      <c r="E1433" s="40"/>
      <c r="F1433" s="68"/>
      <c r="G1433" s="55"/>
      <c r="H1433" s="58">
        <f>SUM(H1428:H1432)</f>
        <v>174701</v>
      </c>
    </row>
    <row r="1434" spans="1:8" x14ac:dyDescent="0.3">
      <c r="A1434" s="40">
        <v>6</v>
      </c>
      <c r="B1434" s="103" t="s">
        <v>325</v>
      </c>
      <c r="C1434" s="40">
        <v>1</v>
      </c>
      <c r="D1434" s="41">
        <v>6274</v>
      </c>
      <c r="E1434" s="40">
        <v>5</v>
      </c>
      <c r="F1434" s="68">
        <f>C1434*D1434*E1434</f>
        <v>31370</v>
      </c>
      <c r="G1434" s="55">
        <v>0</v>
      </c>
      <c r="H1434" s="58">
        <f>F1434</f>
        <v>31370</v>
      </c>
    </row>
    <row r="1435" spans="1:8" x14ac:dyDescent="0.3">
      <c r="A1435" s="40" t="s">
        <v>134</v>
      </c>
      <c r="B1435" s="103" t="s">
        <v>9</v>
      </c>
      <c r="C1435" s="40"/>
      <c r="D1435" s="41"/>
      <c r="E1435" s="40"/>
      <c r="F1435" s="68"/>
      <c r="G1435" s="55"/>
      <c r="H1435" s="58">
        <f>H1433+H1434</f>
        <v>206071</v>
      </c>
    </row>
    <row r="1436" spans="1:8" x14ac:dyDescent="0.3">
      <c r="A1436" s="60"/>
      <c r="B1436" s="176">
        <v>2555</v>
      </c>
      <c r="C1436" s="47" t="s">
        <v>551</v>
      </c>
      <c r="D1436" s="156"/>
      <c r="E1436" s="47" t="s">
        <v>552</v>
      </c>
      <c r="F1436" s="97"/>
      <c r="G1436" s="60"/>
      <c r="H1436" s="48"/>
    </row>
    <row r="1437" spans="1:8" x14ac:dyDescent="0.3">
      <c r="A1437" s="165"/>
      <c r="B1437" s="177" t="s">
        <v>10</v>
      </c>
      <c r="C1437" s="166" t="s">
        <v>1</v>
      </c>
      <c r="D1437" s="167" t="s">
        <v>2</v>
      </c>
      <c r="E1437" s="165" t="s">
        <v>3</v>
      </c>
      <c r="F1437" s="178" t="s">
        <v>4</v>
      </c>
      <c r="G1437" s="165" t="s">
        <v>5</v>
      </c>
      <c r="H1437" s="168" t="s">
        <v>6</v>
      </c>
    </row>
    <row r="1438" spans="1:8" ht="72" x14ac:dyDescent="0.3">
      <c r="A1438" s="40">
        <v>1</v>
      </c>
      <c r="B1438" s="64" t="s">
        <v>1404</v>
      </c>
      <c r="C1438" s="40">
        <v>1</v>
      </c>
      <c r="D1438" s="41">
        <v>232</v>
      </c>
      <c r="E1438" s="40">
        <v>350</v>
      </c>
      <c r="F1438" s="68">
        <f>C1438*D1438*E1438</f>
        <v>81200</v>
      </c>
      <c r="G1438" s="55">
        <v>0.5</v>
      </c>
      <c r="H1438" s="42">
        <f>(1-G1438)*F1438</f>
        <v>40600</v>
      </c>
    </row>
    <row r="1439" spans="1:8" ht="43.2" x14ac:dyDescent="0.3">
      <c r="A1439" s="40">
        <v>2</v>
      </c>
      <c r="B1439" s="64" t="s">
        <v>553</v>
      </c>
      <c r="C1439" s="40">
        <v>1</v>
      </c>
      <c r="D1439" s="41">
        <v>445</v>
      </c>
      <c r="E1439" s="40">
        <v>200</v>
      </c>
      <c r="F1439" s="68">
        <f>C1439*D1439*E1439</f>
        <v>89000</v>
      </c>
      <c r="G1439" s="55">
        <v>0.5</v>
      </c>
      <c r="H1439" s="42">
        <f>(1-G1439)*F1439</f>
        <v>44500</v>
      </c>
    </row>
    <row r="1440" spans="1:8" ht="57.6" x14ac:dyDescent="0.3">
      <c r="A1440" s="40">
        <v>3</v>
      </c>
      <c r="B1440" s="64" t="s">
        <v>554</v>
      </c>
      <c r="C1440" s="40">
        <v>1</v>
      </c>
      <c r="D1440" s="41">
        <v>41</v>
      </c>
      <c r="E1440" s="40">
        <v>150</v>
      </c>
      <c r="F1440" s="68">
        <f>C1440*D1440*E1440</f>
        <v>6150</v>
      </c>
      <c r="G1440" s="55">
        <v>0.5</v>
      </c>
      <c r="H1440" s="42">
        <f>(1-G1440)*F1440</f>
        <v>3075</v>
      </c>
    </row>
    <row r="1441" spans="1:8" x14ac:dyDescent="0.3">
      <c r="A1441" s="40">
        <v>4</v>
      </c>
      <c r="B1441" s="64" t="s">
        <v>1833</v>
      </c>
      <c r="C1441" s="40">
        <v>1</v>
      </c>
      <c r="D1441" s="41">
        <v>162.6</v>
      </c>
      <c r="E1441" s="40">
        <v>45</v>
      </c>
      <c r="F1441" s="68">
        <f>C1441*D1441*E1441</f>
        <v>7317</v>
      </c>
      <c r="G1441" s="55">
        <v>0.5</v>
      </c>
      <c r="H1441" s="42">
        <f>(1-G1441)*F1441</f>
        <v>3658.5</v>
      </c>
    </row>
    <row r="1442" spans="1:8" x14ac:dyDescent="0.3">
      <c r="A1442" s="40">
        <v>5</v>
      </c>
      <c r="B1442" s="64" t="s">
        <v>1834</v>
      </c>
      <c r="C1442" s="40">
        <v>1</v>
      </c>
      <c r="D1442" s="41">
        <v>162.6</v>
      </c>
      <c r="E1442" s="40">
        <v>22</v>
      </c>
      <c r="F1442" s="68">
        <f>C1442*D1442*E1442</f>
        <v>3577.2</v>
      </c>
      <c r="G1442" s="55">
        <v>0.5</v>
      </c>
      <c r="H1442" s="42">
        <f>(1-G1442)*F1442</f>
        <v>1788.6</v>
      </c>
    </row>
    <row r="1443" spans="1:8" x14ac:dyDescent="0.3">
      <c r="A1443" s="40"/>
      <c r="B1443" s="103" t="s">
        <v>11</v>
      </c>
      <c r="C1443" s="57"/>
      <c r="D1443" s="105"/>
      <c r="E1443" s="39"/>
      <c r="F1443" s="71"/>
      <c r="G1443" s="39"/>
      <c r="H1443" s="58">
        <f>SUM(H1438:H1442)</f>
        <v>93622.1</v>
      </c>
    </row>
    <row r="1444" spans="1:8" x14ac:dyDescent="0.3">
      <c r="A1444" s="40">
        <v>6</v>
      </c>
      <c r="B1444" s="103" t="s">
        <v>8</v>
      </c>
      <c r="C1444" s="40">
        <v>1</v>
      </c>
      <c r="D1444" s="146">
        <v>6623</v>
      </c>
      <c r="E1444" s="40">
        <v>5</v>
      </c>
      <c r="F1444" s="68">
        <f>C1444*D1444*E1444</f>
        <v>33115</v>
      </c>
      <c r="G1444" s="55">
        <v>0</v>
      </c>
      <c r="H1444" s="58">
        <f>(1-G1444)*F1444</f>
        <v>33115</v>
      </c>
    </row>
    <row r="1445" spans="1:8" x14ac:dyDescent="0.3">
      <c r="A1445" s="39"/>
      <c r="B1445" s="103" t="s">
        <v>9</v>
      </c>
      <c r="C1445" s="39"/>
      <c r="D1445" s="105"/>
      <c r="E1445" s="39"/>
      <c r="F1445" s="71"/>
      <c r="G1445" s="39"/>
      <c r="H1445" s="58">
        <f>H1443+H1444</f>
        <v>126737.1</v>
      </c>
    </row>
    <row r="1446" spans="1:8" x14ac:dyDescent="0.3">
      <c r="A1446" s="60"/>
      <c r="B1446" s="176">
        <v>2556</v>
      </c>
      <c r="C1446" s="47" t="s">
        <v>555</v>
      </c>
      <c r="D1446" s="156"/>
      <c r="E1446" s="47" t="s">
        <v>556</v>
      </c>
      <c r="F1446" s="97"/>
      <c r="G1446" s="60"/>
      <c r="H1446" s="48"/>
    </row>
    <row r="1447" spans="1:8" x14ac:dyDescent="0.3">
      <c r="A1447" s="165"/>
      <c r="B1447" s="177" t="s">
        <v>10</v>
      </c>
      <c r="C1447" s="166" t="s">
        <v>1</v>
      </c>
      <c r="D1447" s="167" t="s">
        <v>2</v>
      </c>
      <c r="E1447" s="165" t="s">
        <v>3</v>
      </c>
      <c r="F1447" s="178" t="s">
        <v>4</v>
      </c>
      <c r="G1447" s="165" t="s">
        <v>5</v>
      </c>
      <c r="H1447" s="168" t="s">
        <v>6</v>
      </c>
    </row>
    <row r="1448" spans="1:8" s="3" customFormat="1" ht="115.2" x14ac:dyDescent="0.3">
      <c r="A1448" s="40">
        <v>1</v>
      </c>
      <c r="B1448" s="64" t="s">
        <v>557</v>
      </c>
      <c r="C1448" s="40">
        <v>1</v>
      </c>
      <c r="D1448" s="41">
        <v>1066</v>
      </c>
      <c r="E1448" s="40">
        <v>400</v>
      </c>
      <c r="F1448" s="68">
        <f>C1448*D1448*E1448</f>
        <v>426400</v>
      </c>
      <c r="G1448" s="55">
        <v>0.6</v>
      </c>
      <c r="H1448" s="42">
        <f>(1-G1448)*F1448</f>
        <v>170560</v>
      </c>
    </row>
    <row r="1449" spans="1:8" ht="72" x14ac:dyDescent="0.3">
      <c r="A1449" s="40">
        <v>2</v>
      </c>
      <c r="B1449" s="64" t="s">
        <v>1673</v>
      </c>
      <c r="C1449" s="40">
        <v>1</v>
      </c>
      <c r="D1449" s="41">
        <v>540</v>
      </c>
      <c r="E1449" s="40">
        <v>300</v>
      </c>
      <c r="F1449" s="68">
        <f>C1449*D1449*E1449</f>
        <v>162000</v>
      </c>
      <c r="G1449" s="55">
        <v>0.5</v>
      </c>
      <c r="H1449" s="42">
        <f>(1-G1449)*F1449</f>
        <v>81000</v>
      </c>
    </row>
    <row r="1450" spans="1:8" ht="28.8" x14ac:dyDescent="0.3">
      <c r="A1450" s="40">
        <v>3</v>
      </c>
      <c r="B1450" s="64" t="s">
        <v>558</v>
      </c>
      <c r="C1450" s="40">
        <v>1</v>
      </c>
      <c r="D1450" s="41">
        <f>81.8*4</f>
        <v>327.2</v>
      </c>
      <c r="E1450" s="40">
        <v>22</v>
      </c>
      <c r="F1450" s="68">
        <f>C1450*D1450*E1450</f>
        <v>7198.4</v>
      </c>
      <c r="G1450" s="55">
        <v>0.5</v>
      </c>
      <c r="H1450" s="42">
        <f>(1-G1450)*F1450</f>
        <v>3599.2</v>
      </c>
    </row>
    <row r="1451" spans="1:8" x14ac:dyDescent="0.3">
      <c r="A1451" s="40"/>
      <c r="B1451" s="103" t="s">
        <v>11</v>
      </c>
      <c r="C1451" s="57"/>
      <c r="D1451" s="105"/>
      <c r="E1451" s="39"/>
      <c r="F1451" s="71"/>
      <c r="G1451" s="39"/>
      <c r="H1451" s="58">
        <f>SUM(H1448:H1450)</f>
        <v>255159.2</v>
      </c>
    </row>
    <row r="1452" spans="1:8" x14ac:dyDescent="0.3">
      <c r="A1452" s="40">
        <v>4</v>
      </c>
      <c r="B1452" s="103" t="s">
        <v>8</v>
      </c>
      <c r="C1452" s="40">
        <v>1</v>
      </c>
      <c r="D1452" s="146">
        <v>6695</v>
      </c>
      <c r="E1452" s="40">
        <v>5</v>
      </c>
      <c r="F1452" s="68">
        <f>C1452*D1452*E1452</f>
        <v>33475</v>
      </c>
      <c r="G1452" s="55">
        <v>0</v>
      </c>
      <c r="H1452" s="58">
        <f>(1-G1452)*F1452</f>
        <v>33475</v>
      </c>
    </row>
    <row r="1453" spans="1:8" x14ac:dyDescent="0.3">
      <c r="A1453" s="39"/>
      <c r="B1453" s="103" t="s">
        <v>9</v>
      </c>
      <c r="C1453" s="39"/>
      <c r="D1453" s="105"/>
      <c r="E1453" s="39"/>
      <c r="F1453" s="71"/>
      <c r="G1453" s="39"/>
      <c r="H1453" s="58">
        <f>H1451+H1452</f>
        <v>288634.2</v>
      </c>
    </row>
    <row r="1454" spans="1:8" x14ac:dyDescent="0.3">
      <c r="A1454" s="39"/>
      <c r="B1454" s="103"/>
      <c r="C1454" s="39"/>
      <c r="D1454" s="105"/>
      <c r="E1454" s="39"/>
      <c r="F1454" s="71"/>
      <c r="G1454" s="39"/>
      <c r="H1454" s="58"/>
    </row>
    <row r="1455" spans="1:8" x14ac:dyDescent="0.3">
      <c r="A1455" s="60"/>
      <c r="B1455" s="95">
        <v>2557</v>
      </c>
      <c r="C1455" s="47" t="s">
        <v>834</v>
      </c>
      <c r="D1455" s="156"/>
      <c r="E1455" s="47" t="s">
        <v>835</v>
      </c>
      <c r="F1455" s="47"/>
      <c r="G1455" s="60"/>
      <c r="H1455" s="48"/>
    </row>
    <row r="1456" spans="1:8" x14ac:dyDescent="0.3">
      <c r="A1456" s="165"/>
      <c r="B1456" s="165" t="s">
        <v>10</v>
      </c>
      <c r="C1456" s="166" t="s">
        <v>1</v>
      </c>
      <c r="D1456" s="167" t="s">
        <v>2</v>
      </c>
      <c r="E1456" s="165" t="s">
        <v>3</v>
      </c>
      <c r="F1456" s="165" t="s">
        <v>4</v>
      </c>
      <c r="G1456" s="165" t="s">
        <v>5</v>
      </c>
      <c r="H1456" s="168" t="s">
        <v>6</v>
      </c>
    </row>
    <row r="1457" spans="1:8" ht="86.4" x14ac:dyDescent="0.3">
      <c r="A1457" s="83">
        <v>1</v>
      </c>
      <c r="B1457" s="53" t="s">
        <v>836</v>
      </c>
      <c r="C1457" s="40">
        <v>1</v>
      </c>
      <c r="D1457" s="41">
        <v>461.98</v>
      </c>
      <c r="E1457" s="40">
        <v>450</v>
      </c>
      <c r="F1457" s="40">
        <f>C1457*D1457*E1457</f>
        <v>207891</v>
      </c>
      <c r="G1457" s="55">
        <v>0.6</v>
      </c>
      <c r="H1457" s="42">
        <f>(1-G1457)*F1457</f>
        <v>83156.400000000009</v>
      </c>
    </row>
    <row r="1458" spans="1:8" s="3" customFormat="1" x14ac:dyDescent="0.3">
      <c r="A1458" s="83">
        <v>2</v>
      </c>
      <c r="B1458" s="53" t="s">
        <v>837</v>
      </c>
      <c r="C1458" s="40">
        <v>1</v>
      </c>
      <c r="D1458" s="54">
        <v>169.54</v>
      </c>
      <c r="E1458" s="40">
        <v>22</v>
      </c>
      <c r="F1458" s="40">
        <f>C1458*D1458*E1458</f>
        <v>3729.8799999999997</v>
      </c>
      <c r="G1458" s="55">
        <v>0.5</v>
      </c>
      <c r="H1458" s="42">
        <f>(1-G1458)*F1458</f>
        <v>1864.9399999999998</v>
      </c>
    </row>
    <row r="1459" spans="1:8" x14ac:dyDescent="0.3">
      <c r="A1459" s="40"/>
      <c r="B1459" s="40" t="s">
        <v>11</v>
      </c>
      <c r="C1459" s="57"/>
      <c r="D1459" s="105"/>
      <c r="E1459" s="39"/>
      <c r="F1459" s="39"/>
      <c r="G1459" s="39"/>
      <c r="H1459" s="58">
        <f>SUM(H1457:H1458)</f>
        <v>85021.340000000011</v>
      </c>
    </row>
    <row r="1460" spans="1:8" x14ac:dyDescent="0.3">
      <c r="A1460" s="40">
        <v>3</v>
      </c>
      <c r="B1460" s="40" t="s">
        <v>8</v>
      </c>
      <c r="C1460" s="40">
        <v>1</v>
      </c>
      <c r="D1460" s="146">
        <v>7186</v>
      </c>
      <c r="E1460" s="40">
        <v>5</v>
      </c>
      <c r="F1460" s="169">
        <f>C1460*D1460*E1460</f>
        <v>35930</v>
      </c>
      <c r="G1460" s="55">
        <v>0</v>
      </c>
      <c r="H1460" s="58">
        <f>(1-G1460)*F1460</f>
        <v>35930</v>
      </c>
    </row>
    <row r="1461" spans="1:8" x14ac:dyDescent="0.3">
      <c r="A1461" s="39"/>
      <c r="B1461" s="39" t="s">
        <v>9</v>
      </c>
      <c r="C1461" s="39"/>
      <c r="D1461" s="105"/>
      <c r="E1461" s="39"/>
      <c r="F1461" s="170"/>
      <c r="G1461" s="39"/>
      <c r="H1461" s="58">
        <f>H1459+H1460</f>
        <v>120951.34000000001</v>
      </c>
    </row>
    <row r="1462" spans="1:8" x14ac:dyDescent="0.3">
      <c r="A1462" s="60"/>
      <c r="B1462" s="95">
        <v>2558</v>
      </c>
      <c r="C1462" s="47" t="s">
        <v>838</v>
      </c>
      <c r="D1462" s="156"/>
      <c r="E1462" s="47" t="s">
        <v>839</v>
      </c>
      <c r="F1462" s="47"/>
      <c r="G1462" s="60"/>
      <c r="H1462" s="48"/>
    </row>
    <row r="1463" spans="1:8" x14ac:dyDescent="0.3">
      <c r="A1463" s="165"/>
      <c r="B1463" s="165" t="s">
        <v>10</v>
      </c>
      <c r="C1463" s="166" t="s">
        <v>1</v>
      </c>
      <c r="D1463" s="167" t="s">
        <v>2</v>
      </c>
      <c r="E1463" s="165" t="s">
        <v>3</v>
      </c>
      <c r="F1463" s="165" t="s">
        <v>4</v>
      </c>
      <c r="G1463" s="165" t="s">
        <v>5</v>
      </c>
      <c r="H1463" s="168" t="s">
        <v>6</v>
      </c>
    </row>
    <row r="1464" spans="1:8" ht="72" x14ac:dyDescent="0.3">
      <c r="A1464" s="83">
        <v>1</v>
      </c>
      <c r="B1464" s="53" t="s">
        <v>840</v>
      </c>
      <c r="C1464" s="40">
        <v>1</v>
      </c>
      <c r="D1464" s="41">
        <v>117.55</v>
      </c>
      <c r="E1464" s="40">
        <v>150</v>
      </c>
      <c r="F1464" s="40">
        <f>C1464*D1464*E1464</f>
        <v>17632.5</v>
      </c>
      <c r="G1464" s="55">
        <v>0.6</v>
      </c>
      <c r="H1464" s="42">
        <f>(1-G1464)*F1464</f>
        <v>7053</v>
      </c>
    </row>
    <row r="1465" spans="1:8" ht="72" x14ac:dyDescent="0.3">
      <c r="A1465" s="40">
        <v>2</v>
      </c>
      <c r="B1465" s="53" t="s">
        <v>841</v>
      </c>
      <c r="C1465" s="40">
        <v>1</v>
      </c>
      <c r="D1465" s="41">
        <v>60.78</v>
      </c>
      <c r="E1465" s="40">
        <v>150</v>
      </c>
      <c r="F1465" s="40">
        <f>C1465*D1465*E1465</f>
        <v>9117</v>
      </c>
      <c r="G1465" s="55">
        <v>0.6</v>
      </c>
      <c r="H1465" s="42">
        <f>(1-G1465)*F1465</f>
        <v>3646.8</v>
      </c>
    </row>
    <row r="1466" spans="1:8" x14ac:dyDescent="0.3">
      <c r="A1466" s="40"/>
      <c r="B1466" s="40" t="s">
        <v>11</v>
      </c>
      <c r="C1466" s="57"/>
      <c r="D1466" s="105"/>
      <c r="E1466" s="39"/>
      <c r="F1466" s="39"/>
      <c r="G1466" s="39"/>
      <c r="H1466" s="58">
        <f>H1464+H1465</f>
        <v>10699.8</v>
      </c>
    </row>
    <row r="1467" spans="1:8" s="3" customFormat="1" x14ac:dyDescent="0.3">
      <c r="A1467" s="40">
        <v>3</v>
      </c>
      <c r="B1467" s="40" t="s">
        <v>8</v>
      </c>
      <c r="C1467" s="40">
        <v>1</v>
      </c>
      <c r="D1467" s="146">
        <v>9755</v>
      </c>
      <c r="E1467" s="40">
        <v>5</v>
      </c>
      <c r="F1467" s="169">
        <f>C1467*D1467*E1467</f>
        <v>48775</v>
      </c>
      <c r="G1467" s="55">
        <v>0</v>
      </c>
      <c r="H1467" s="58">
        <f>(1-G1467)*F1467</f>
        <v>48775</v>
      </c>
    </row>
    <row r="1468" spans="1:8" x14ac:dyDescent="0.3">
      <c r="A1468" s="39"/>
      <c r="B1468" s="39" t="s">
        <v>9</v>
      </c>
      <c r="C1468" s="39"/>
      <c r="D1468" s="105"/>
      <c r="E1468" s="39"/>
      <c r="F1468" s="170"/>
      <c r="G1468" s="39"/>
      <c r="H1468" s="58">
        <f>H1466+H1467</f>
        <v>59474.8</v>
      </c>
    </row>
    <row r="1469" spans="1:8" x14ac:dyDescent="0.3">
      <c r="A1469" s="60"/>
      <c r="B1469" s="79" t="s">
        <v>842</v>
      </c>
      <c r="C1469" s="47" t="s">
        <v>843</v>
      </c>
      <c r="D1469" s="156"/>
      <c r="E1469" s="47" t="s">
        <v>844</v>
      </c>
      <c r="F1469" s="47"/>
      <c r="G1469" s="60"/>
      <c r="H1469" s="48"/>
    </row>
    <row r="1470" spans="1:8" x14ac:dyDescent="0.3">
      <c r="A1470" s="179"/>
      <c r="B1470" s="165" t="s">
        <v>10</v>
      </c>
      <c r="C1470" s="166" t="s">
        <v>1</v>
      </c>
      <c r="D1470" s="167" t="s">
        <v>2</v>
      </c>
      <c r="E1470" s="165" t="s">
        <v>3</v>
      </c>
      <c r="F1470" s="165" t="s">
        <v>4</v>
      </c>
      <c r="G1470" s="165" t="s">
        <v>5</v>
      </c>
      <c r="H1470" s="168" t="s">
        <v>6</v>
      </c>
    </row>
    <row r="1471" spans="1:8" x14ac:dyDescent="0.3">
      <c r="A1471" s="40">
        <v>1</v>
      </c>
      <c r="B1471" s="53" t="s">
        <v>15</v>
      </c>
      <c r="C1471" s="40"/>
      <c r="D1471" s="41"/>
      <c r="E1471" s="40"/>
      <c r="F1471" s="40"/>
      <c r="G1471" s="55"/>
      <c r="H1471" s="42"/>
    </row>
    <row r="1472" spans="1:8" x14ac:dyDescent="0.3">
      <c r="A1472" s="40"/>
      <c r="B1472" s="40" t="s">
        <v>11</v>
      </c>
      <c r="C1472" s="57"/>
      <c r="D1472" s="105"/>
      <c r="E1472" s="39"/>
      <c r="F1472" s="39"/>
      <c r="G1472" s="39"/>
      <c r="H1472" s="58">
        <f>SUM(H1471:H1471)</f>
        <v>0</v>
      </c>
    </row>
    <row r="1473" spans="1:8" x14ac:dyDescent="0.3">
      <c r="A1473" s="39">
        <v>2</v>
      </c>
      <c r="B1473" s="40" t="s">
        <v>8</v>
      </c>
      <c r="C1473" s="40">
        <v>1</v>
      </c>
      <c r="D1473" s="146">
        <v>1750</v>
      </c>
      <c r="E1473" s="40">
        <v>5</v>
      </c>
      <c r="F1473" s="169">
        <f>C1473*D1473*E1473</f>
        <v>8750</v>
      </c>
      <c r="G1473" s="55">
        <v>0</v>
      </c>
      <c r="H1473" s="58">
        <f>(1-G1473)*F1473</f>
        <v>8750</v>
      </c>
    </row>
    <row r="1474" spans="1:8" s="3" customFormat="1" x14ac:dyDescent="0.3">
      <c r="A1474" s="40"/>
      <c r="B1474" s="39" t="s">
        <v>9</v>
      </c>
      <c r="C1474" s="39"/>
      <c r="D1474" s="105"/>
      <c r="E1474" s="39"/>
      <c r="F1474" s="170"/>
      <c r="G1474" s="39"/>
      <c r="H1474" s="58">
        <f>H1472+H1473</f>
        <v>8750</v>
      </c>
    </row>
    <row r="1475" spans="1:8" x14ac:dyDescent="0.3">
      <c r="A1475" s="60"/>
      <c r="B1475" s="79" t="s">
        <v>845</v>
      </c>
      <c r="C1475" s="47" t="s">
        <v>843</v>
      </c>
      <c r="D1475" s="156"/>
      <c r="E1475" s="47" t="s">
        <v>846</v>
      </c>
      <c r="F1475" s="47"/>
      <c r="G1475" s="60"/>
      <c r="H1475" s="48"/>
    </row>
    <row r="1476" spans="1:8" x14ac:dyDescent="0.3">
      <c r="A1476" s="179">
        <v>1</v>
      </c>
      <c r="B1476" s="165" t="s">
        <v>10</v>
      </c>
      <c r="C1476" s="166" t="s">
        <v>1</v>
      </c>
      <c r="D1476" s="167" t="s">
        <v>2</v>
      </c>
      <c r="E1476" s="165" t="s">
        <v>3</v>
      </c>
      <c r="F1476" s="165" t="s">
        <v>4</v>
      </c>
      <c r="G1476" s="165" t="s">
        <v>5</v>
      </c>
      <c r="H1476" s="168" t="s">
        <v>6</v>
      </c>
    </row>
    <row r="1477" spans="1:8" ht="43.2" x14ac:dyDescent="0.3">
      <c r="A1477" s="83">
        <v>2</v>
      </c>
      <c r="B1477" s="53" t="s">
        <v>1656</v>
      </c>
      <c r="C1477" s="40">
        <v>1</v>
      </c>
      <c r="D1477" s="41">
        <v>59.34</v>
      </c>
      <c r="E1477" s="40">
        <v>250</v>
      </c>
      <c r="F1477" s="40">
        <f>C1477*D1477*E1477</f>
        <v>14835</v>
      </c>
      <c r="G1477" s="55">
        <v>0.61</v>
      </c>
      <c r="H1477" s="42">
        <f>(1-G1477)*F1477</f>
        <v>5785.6500000000005</v>
      </c>
    </row>
    <row r="1478" spans="1:8" x14ac:dyDescent="0.3">
      <c r="A1478" s="83">
        <v>3</v>
      </c>
      <c r="B1478" s="40" t="s">
        <v>11</v>
      </c>
      <c r="C1478" s="57"/>
      <c r="D1478" s="105"/>
      <c r="E1478" s="39"/>
      <c r="F1478" s="39"/>
      <c r="G1478" s="39"/>
      <c r="H1478" s="58">
        <f>SUM(H1477:H1477)</f>
        <v>5785.6500000000005</v>
      </c>
    </row>
    <row r="1479" spans="1:8" x14ac:dyDescent="0.3">
      <c r="A1479" s="40"/>
      <c r="B1479" s="40" t="s">
        <v>8</v>
      </c>
      <c r="C1479" s="40">
        <v>1</v>
      </c>
      <c r="D1479" s="146">
        <v>7434</v>
      </c>
      <c r="E1479" s="40">
        <v>5</v>
      </c>
      <c r="F1479" s="169">
        <f>C1479*D1479*E1479</f>
        <v>37170</v>
      </c>
      <c r="G1479" s="55">
        <v>0</v>
      </c>
      <c r="H1479" s="58">
        <f>(1-G1479)*F1479</f>
        <v>37170</v>
      </c>
    </row>
    <row r="1480" spans="1:8" x14ac:dyDescent="0.3">
      <c r="A1480" s="40">
        <v>4</v>
      </c>
      <c r="B1480" s="39" t="s">
        <v>9</v>
      </c>
      <c r="C1480" s="39"/>
      <c r="D1480" s="105"/>
      <c r="E1480" s="39"/>
      <c r="F1480" s="170"/>
      <c r="G1480" s="39"/>
      <c r="H1480" s="58">
        <f>H1478+H1479</f>
        <v>42955.65</v>
      </c>
    </row>
    <row r="1481" spans="1:8" s="3" customFormat="1" x14ac:dyDescent="0.3">
      <c r="A1481" s="60"/>
      <c r="B1481" s="95">
        <v>2560</v>
      </c>
      <c r="C1481" s="47" t="s">
        <v>847</v>
      </c>
      <c r="D1481" s="156"/>
      <c r="E1481" s="47" t="s">
        <v>848</v>
      </c>
      <c r="F1481" s="47"/>
      <c r="G1481" s="60"/>
      <c r="H1481" s="48"/>
    </row>
    <row r="1482" spans="1:8" x14ac:dyDescent="0.3">
      <c r="A1482" s="39"/>
      <c r="B1482" s="165" t="s">
        <v>10</v>
      </c>
      <c r="C1482" s="166" t="s">
        <v>1</v>
      </c>
      <c r="D1482" s="167" t="s">
        <v>2</v>
      </c>
      <c r="E1482" s="165" t="s">
        <v>3</v>
      </c>
      <c r="F1482" s="165" t="s">
        <v>4</v>
      </c>
      <c r="G1482" s="165" t="s">
        <v>5</v>
      </c>
      <c r="H1482" s="168" t="s">
        <v>6</v>
      </c>
    </row>
    <row r="1483" spans="1:8" ht="86.4" x14ac:dyDescent="0.3">
      <c r="A1483" s="151">
        <v>1</v>
      </c>
      <c r="B1483" s="53" t="s">
        <v>1519</v>
      </c>
      <c r="C1483" s="40">
        <v>1</v>
      </c>
      <c r="D1483" s="41">
        <v>455.2</v>
      </c>
      <c r="E1483" s="40">
        <v>550</v>
      </c>
      <c r="F1483" s="40">
        <f>C1483*D1483*E1483</f>
        <v>250360</v>
      </c>
      <c r="G1483" s="55">
        <v>0.6</v>
      </c>
      <c r="H1483" s="42">
        <f>(1-G1483)*F1483</f>
        <v>100144</v>
      </c>
    </row>
    <row r="1484" spans="1:8" ht="100.8" x14ac:dyDescent="0.3">
      <c r="A1484" s="83">
        <v>2</v>
      </c>
      <c r="B1484" s="53" t="s">
        <v>1657</v>
      </c>
      <c r="C1484" s="40">
        <v>1</v>
      </c>
      <c r="D1484" s="41">
        <v>206.99</v>
      </c>
      <c r="E1484" s="40">
        <v>550</v>
      </c>
      <c r="F1484" s="40">
        <f>C1484*D1484*E1484</f>
        <v>113844.5</v>
      </c>
      <c r="G1484" s="55">
        <v>0.6</v>
      </c>
      <c r="H1484" s="42">
        <f>(1-G1484)*F1484</f>
        <v>45537.8</v>
      </c>
    </row>
    <row r="1485" spans="1:8" x14ac:dyDescent="0.3">
      <c r="A1485" s="83">
        <v>3</v>
      </c>
      <c r="B1485" s="53" t="s">
        <v>837</v>
      </c>
      <c r="C1485" s="40">
        <v>1</v>
      </c>
      <c r="D1485" s="54">
        <v>182.49</v>
      </c>
      <c r="E1485" s="40">
        <v>22</v>
      </c>
      <c r="F1485" s="40">
        <f>C1485*D1485*E1485</f>
        <v>4014.78</v>
      </c>
      <c r="G1485" s="55">
        <v>0.5</v>
      </c>
      <c r="H1485" s="42">
        <f>F1485*(1-G1485)</f>
        <v>2007.39</v>
      </c>
    </row>
    <row r="1486" spans="1:8" x14ac:dyDescent="0.3">
      <c r="A1486" s="83"/>
      <c r="B1486" s="40" t="s">
        <v>11</v>
      </c>
      <c r="C1486" s="57"/>
      <c r="D1486" s="105"/>
      <c r="E1486" s="39"/>
      <c r="F1486" s="39"/>
      <c r="G1486" s="39"/>
      <c r="H1486" s="58">
        <f>H1483+H1484+H1485</f>
        <v>147689.19</v>
      </c>
    </row>
    <row r="1487" spans="1:8" s="3" customFormat="1" x14ac:dyDescent="0.3">
      <c r="A1487" s="83">
        <v>4</v>
      </c>
      <c r="B1487" s="40" t="s">
        <v>8</v>
      </c>
      <c r="C1487" s="40">
        <v>1</v>
      </c>
      <c r="D1487" s="146">
        <v>8326</v>
      </c>
      <c r="E1487" s="40">
        <v>5</v>
      </c>
      <c r="F1487" s="169">
        <f>C1487*D1487*E1487</f>
        <v>41630</v>
      </c>
      <c r="G1487" s="55">
        <v>0</v>
      </c>
      <c r="H1487" s="58">
        <f>(1-G1487)*F1487</f>
        <v>41630</v>
      </c>
    </row>
    <row r="1488" spans="1:8" x14ac:dyDescent="0.3">
      <c r="A1488" s="83"/>
      <c r="B1488" s="39" t="s">
        <v>9</v>
      </c>
      <c r="C1488" s="39"/>
      <c r="D1488" s="105"/>
      <c r="E1488" s="39"/>
      <c r="F1488" s="170"/>
      <c r="G1488" s="39"/>
      <c r="H1488" s="58">
        <f>H1486+H1487</f>
        <v>189319.19</v>
      </c>
    </row>
    <row r="1489" spans="1:8" x14ac:dyDescent="0.3">
      <c r="A1489" s="43"/>
      <c r="B1489" s="180">
        <v>2561</v>
      </c>
      <c r="C1489" s="44" t="s">
        <v>1114</v>
      </c>
      <c r="D1489" s="73"/>
      <c r="E1489" s="44" t="s">
        <v>1115</v>
      </c>
      <c r="F1489" s="60"/>
      <c r="G1489" s="60"/>
      <c r="H1489" s="48"/>
    </row>
    <row r="1490" spans="1:8" x14ac:dyDescent="0.3">
      <c r="A1490" s="39"/>
      <c r="B1490" s="107" t="s">
        <v>10</v>
      </c>
      <c r="C1490" s="107" t="s">
        <v>1</v>
      </c>
      <c r="D1490" s="108" t="s">
        <v>2</v>
      </c>
      <c r="E1490" s="109" t="s">
        <v>3</v>
      </c>
      <c r="F1490" s="109" t="s">
        <v>4</v>
      </c>
      <c r="G1490" s="109" t="s">
        <v>5</v>
      </c>
      <c r="H1490" s="106" t="s">
        <v>6</v>
      </c>
    </row>
    <row r="1491" spans="1:8" ht="158.4" x14ac:dyDescent="0.3">
      <c r="A1491" s="53">
        <v>1</v>
      </c>
      <c r="B1491" s="53" t="s">
        <v>1791</v>
      </c>
      <c r="C1491" s="40">
        <v>1</v>
      </c>
      <c r="D1491" s="91">
        <v>4640.46</v>
      </c>
      <c r="E1491" s="40">
        <v>400</v>
      </c>
      <c r="F1491" s="40">
        <f>C1491*D1491*E1491</f>
        <v>1856184</v>
      </c>
      <c r="G1491" s="55">
        <v>0.5</v>
      </c>
      <c r="H1491" s="42">
        <f>F1492*(1-G1491)</f>
        <v>928092</v>
      </c>
    </row>
    <row r="1492" spans="1:8" ht="100.8" x14ac:dyDescent="0.3">
      <c r="A1492" s="53">
        <v>2</v>
      </c>
      <c r="B1492" s="53" t="s">
        <v>1804</v>
      </c>
      <c r="C1492" s="40">
        <v>1</v>
      </c>
      <c r="D1492" s="91">
        <v>860.1</v>
      </c>
      <c r="E1492" s="40">
        <v>350</v>
      </c>
      <c r="F1492" s="40">
        <f>C1491*D1491*E1491</f>
        <v>1856184</v>
      </c>
      <c r="G1492" s="55">
        <v>0.5</v>
      </c>
      <c r="H1492" s="42">
        <f>F1493*(1-G1492)</f>
        <v>69148.5</v>
      </c>
    </row>
    <row r="1493" spans="1:8" s="3" customFormat="1" ht="115.2" x14ac:dyDescent="0.3">
      <c r="A1493" s="53">
        <v>3</v>
      </c>
      <c r="B1493" s="53" t="s">
        <v>1805</v>
      </c>
      <c r="C1493" s="40">
        <v>1</v>
      </c>
      <c r="D1493" s="91">
        <v>460.99</v>
      </c>
      <c r="E1493" s="40">
        <v>300</v>
      </c>
      <c r="F1493" s="40">
        <f>C1493*D1493*E1493</f>
        <v>138297</v>
      </c>
      <c r="G1493" s="55">
        <v>0.5</v>
      </c>
      <c r="H1493" s="42">
        <f>F1494*(1-G1493)</f>
        <v>25398.75</v>
      </c>
    </row>
    <row r="1494" spans="1:8" ht="72" x14ac:dyDescent="0.3">
      <c r="A1494" s="53">
        <v>4</v>
      </c>
      <c r="B1494" s="53" t="s">
        <v>1806</v>
      </c>
      <c r="C1494" s="40">
        <v>1</v>
      </c>
      <c r="D1494" s="91">
        <v>203.19</v>
      </c>
      <c r="E1494" s="40">
        <v>250</v>
      </c>
      <c r="F1494" s="40">
        <f>C1494*D1494*E1494</f>
        <v>50797.5</v>
      </c>
      <c r="G1494" s="55">
        <v>0.5</v>
      </c>
      <c r="H1494" s="42">
        <f>F1494*(1-G1494)</f>
        <v>25398.75</v>
      </c>
    </row>
    <row r="1495" spans="1:8" ht="86.4" x14ac:dyDescent="0.3">
      <c r="A1495" s="53">
        <v>5</v>
      </c>
      <c r="B1495" s="53" t="s">
        <v>1808</v>
      </c>
      <c r="C1495" s="40">
        <v>1</v>
      </c>
      <c r="D1495" s="91">
        <v>151.5</v>
      </c>
      <c r="E1495" s="40">
        <v>250</v>
      </c>
      <c r="F1495" s="40">
        <f>C1495*D1495*E1495</f>
        <v>37875</v>
      </c>
      <c r="G1495" s="55">
        <v>0.5</v>
      </c>
      <c r="H1495" s="42">
        <f>F1495*(1-G1495)</f>
        <v>18937.5</v>
      </c>
    </row>
    <row r="1496" spans="1:8" ht="57.6" x14ac:dyDescent="0.3">
      <c r="A1496" s="53">
        <v>6</v>
      </c>
      <c r="B1496" s="53" t="s">
        <v>1334</v>
      </c>
      <c r="C1496" s="40">
        <v>1</v>
      </c>
      <c r="D1496" s="91">
        <v>105</v>
      </c>
      <c r="E1496" s="40">
        <v>50</v>
      </c>
      <c r="F1496" s="40">
        <f>C1496*D1496*E1496</f>
        <v>5250</v>
      </c>
      <c r="G1496" s="55">
        <v>0.4</v>
      </c>
      <c r="H1496" s="42">
        <f>F1496*(1-G1496)</f>
        <v>3150</v>
      </c>
    </row>
    <row r="1497" spans="1:8" ht="28.8" x14ac:dyDescent="0.3">
      <c r="A1497" s="53">
        <v>7</v>
      </c>
      <c r="B1497" s="53" t="s">
        <v>1471</v>
      </c>
      <c r="C1497" s="40">
        <v>1</v>
      </c>
      <c r="D1497" s="91">
        <v>604</v>
      </c>
      <c r="E1497" s="40">
        <v>45</v>
      </c>
      <c r="F1497" s="40">
        <f>C1497*D1497*E1497</f>
        <v>27180</v>
      </c>
      <c r="G1497" s="55">
        <v>0.5</v>
      </c>
      <c r="H1497" s="42">
        <f>F1497*(1-G1497)</f>
        <v>13590</v>
      </c>
    </row>
    <row r="1498" spans="1:8" x14ac:dyDescent="0.3">
      <c r="A1498" s="53"/>
      <c r="B1498" s="57" t="s">
        <v>7</v>
      </c>
      <c r="C1498" s="40"/>
      <c r="D1498" s="54"/>
      <c r="E1498" s="40"/>
      <c r="F1498" s="40"/>
      <c r="G1498" s="55"/>
      <c r="H1498" s="58">
        <f>SUM(H1491:H1497)</f>
        <v>1083715.5</v>
      </c>
    </row>
    <row r="1499" spans="1:8" x14ac:dyDescent="0.3">
      <c r="A1499" s="53">
        <v>8</v>
      </c>
      <c r="B1499" s="57" t="s">
        <v>8</v>
      </c>
      <c r="C1499" s="40">
        <v>1</v>
      </c>
      <c r="D1499" s="54">
        <v>22826</v>
      </c>
      <c r="E1499" s="40">
        <v>5</v>
      </c>
      <c r="F1499" s="40">
        <f>10000*5+10000*0.75*E1499+826*0.5*E1499</f>
        <v>89565</v>
      </c>
      <c r="G1499" s="55">
        <v>0</v>
      </c>
      <c r="H1499" s="58">
        <f>(1-G1499)*F1499</f>
        <v>89565</v>
      </c>
    </row>
    <row r="1500" spans="1:8" x14ac:dyDescent="0.3">
      <c r="A1500" s="53"/>
      <c r="B1500" s="57" t="s">
        <v>9</v>
      </c>
      <c r="C1500" s="39"/>
      <c r="D1500" s="59"/>
      <c r="E1500" s="39"/>
      <c r="F1500" s="39"/>
      <c r="G1500" s="39"/>
      <c r="H1500" s="58">
        <f>H1498+H1499</f>
        <v>1173280.5</v>
      </c>
    </row>
    <row r="1501" spans="1:8" s="3" customFormat="1" x14ac:dyDescent="0.3">
      <c r="A1501" s="53"/>
      <c r="B1501" s="57"/>
      <c r="C1501" s="39"/>
      <c r="D1501" s="59"/>
      <c r="E1501" s="39"/>
      <c r="F1501" s="39"/>
      <c r="G1501" s="39"/>
      <c r="H1501" s="58"/>
    </row>
    <row r="1502" spans="1:8" x14ac:dyDescent="0.3">
      <c r="A1502" s="43"/>
      <c r="B1502" s="181">
        <v>2562</v>
      </c>
      <c r="C1502" s="44" t="s">
        <v>1116</v>
      </c>
      <c r="D1502" s="73"/>
      <c r="E1502" s="44" t="s">
        <v>1117</v>
      </c>
      <c r="F1502" s="60"/>
      <c r="G1502" s="60"/>
      <c r="H1502" s="48"/>
    </row>
    <row r="1503" spans="1:8" x14ac:dyDescent="0.3">
      <c r="A1503" s="39"/>
      <c r="B1503" s="107" t="s">
        <v>10</v>
      </c>
      <c r="C1503" s="107" t="s">
        <v>1</v>
      </c>
      <c r="D1503" s="108" t="s">
        <v>2</v>
      </c>
      <c r="E1503" s="109" t="s">
        <v>3</v>
      </c>
      <c r="F1503" s="109" t="s">
        <v>4</v>
      </c>
      <c r="G1503" s="109" t="s">
        <v>5</v>
      </c>
      <c r="H1503" s="106" t="s">
        <v>6</v>
      </c>
    </row>
    <row r="1504" spans="1:8" ht="144" x14ac:dyDescent="0.3">
      <c r="A1504" s="53">
        <v>1</v>
      </c>
      <c r="B1504" s="53" t="s">
        <v>1429</v>
      </c>
      <c r="C1504" s="40">
        <v>1</v>
      </c>
      <c r="D1504" s="91">
        <v>1184.8</v>
      </c>
      <c r="E1504" s="40">
        <v>550</v>
      </c>
      <c r="F1504" s="40">
        <f t="shared" ref="F1504:F1509" si="105">C1504*D1504*E1504</f>
        <v>651640</v>
      </c>
      <c r="G1504" s="55">
        <v>0.4</v>
      </c>
      <c r="H1504" s="42">
        <f t="shared" ref="H1504:H1509" si="106">F1504*(1-G1504)</f>
        <v>390984</v>
      </c>
    </row>
    <row r="1505" spans="1:8" ht="100.8" x14ac:dyDescent="0.3">
      <c r="A1505" s="53">
        <v>2</v>
      </c>
      <c r="B1505" s="53" t="s">
        <v>1809</v>
      </c>
      <c r="C1505" s="40">
        <v>1</v>
      </c>
      <c r="D1505" s="91">
        <v>288</v>
      </c>
      <c r="E1505" s="40">
        <v>500</v>
      </c>
      <c r="F1505" s="40">
        <f t="shared" si="105"/>
        <v>144000</v>
      </c>
      <c r="G1505" s="55">
        <v>0.4</v>
      </c>
      <c r="H1505" s="42">
        <f t="shared" si="106"/>
        <v>86400</v>
      </c>
    </row>
    <row r="1506" spans="1:8" ht="86.4" x14ac:dyDescent="0.3">
      <c r="A1506" s="53">
        <v>3</v>
      </c>
      <c r="B1506" s="53" t="s">
        <v>1810</v>
      </c>
      <c r="C1506" s="40">
        <v>1</v>
      </c>
      <c r="D1506" s="91">
        <v>240.64</v>
      </c>
      <c r="E1506" s="40">
        <v>500</v>
      </c>
      <c r="F1506" s="40">
        <f t="shared" si="105"/>
        <v>120320</v>
      </c>
      <c r="G1506" s="55">
        <v>0.5</v>
      </c>
      <c r="H1506" s="42">
        <f t="shared" si="106"/>
        <v>60160</v>
      </c>
    </row>
    <row r="1507" spans="1:8" ht="100.8" x14ac:dyDescent="0.3">
      <c r="A1507" s="53">
        <v>4</v>
      </c>
      <c r="B1507" s="53" t="s">
        <v>1811</v>
      </c>
      <c r="C1507" s="40">
        <v>1</v>
      </c>
      <c r="D1507" s="91">
        <v>125</v>
      </c>
      <c r="E1507" s="40">
        <v>250</v>
      </c>
      <c r="F1507" s="40">
        <f t="shared" si="105"/>
        <v>31250</v>
      </c>
      <c r="G1507" s="55">
        <v>0.5</v>
      </c>
      <c r="H1507" s="42">
        <f t="shared" si="106"/>
        <v>15625</v>
      </c>
    </row>
    <row r="1508" spans="1:8" ht="72" x14ac:dyDescent="0.3">
      <c r="A1508" s="53">
        <v>5</v>
      </c>
      <c r="B1508" s="53" t="s">
        <v>1118</v>
      </c>
      <c r="C1508" s="40">
        <v>2</v>
      </c>
      <c r="D1508" s="91">
        <v>4.83</v>
      </c>
      <c r="E1508" s="40">
        <v>100</v>
      </c>
      <c r="F1508" s="40">
        <f t="shared" si="105"/>
        <v>966</v>
      </c>
      <c r="G1508" s="55">
        <v>0.5</v>
      </c>
      <c r="H1508" s="42">
        <f t="shared" si="106"/>
        <v>483</v>
      </c>
    </row>
    <row r="1509" spans="1:8" ht="43.2" x14ac:dyDescent="0.3">
      <c r="A1509" s="53">
        <v>5</v>
      </c>
      <c r="B1509" s="53" t="s">
        <v>1119</v>
      </c>
      <c r="C1509" s="40">
        <v>1</v>
      </c>
      <c r="D1509" s="91">
        <v>669</v>
      </c>
      <c r="E1509" s="40">
        <v>35</v>
      </c>
      <c r="F1509" s="40">
        <f t="shared" si="105"/>
        <v>23415</v>
      </c>
      <c r="G1509" s="55">
        <v>0.4</v>
      </c>
      <c r="H1509" s="42">
        <f t="shared" si="106"/>
        <v>14049</v>
      </c>
    </row>
    <row r="1510" spans="1:8" x14ac:dyDescent="0.3">
      <c r="A1510" s="53"/>
      <c r="B1510" s="57" t="s">
        <v>7</v>
      </c>
      <c r="C1510" s="40"/>
      <c r="D1510" s="54"/>
      <c r="E1510" s="40"/>
      <c r="F1510" s="40"/>
      <c r="G1510" s="55"/>
      <c r="H1510" s="58">
        <f>SUM(H1503:H1509)</f>
        <v>567701</v>
      </c>
    </row>
    <row r="1511" spans="1:8" x14ac:dyDescent="0.3">
      <c r="A1511" s="53">
        <v>6</v>
      </c>
      <c r="B1511" s="57" t="s">
        <v>8</v>
      </c>
      <c r="C1511" s="40">
        <v>1</v>
      </c>
      <c r="D1511" s="54">
        <v>27944</v>
      </c>
      <c r="E1511" s="40">
        <v>5</v>
      </c>
      <c r="F1511" s="40">
        <f>10000*5+10000*3.75+17944*2.5</f>
        <v>132360</v>
      </c>
      <c r="G1511" s="55">
        <v>0</v>
      </c>
      <c r="H1511" s="58">
        <f>(1-G1511)*F1511</f>
        <v>132360</v>
      </c>
    </row>
    <row r="1512" spans="1:8" x14ac:dyDescent="0.3">
      <c r="A1512" s="53"/>
      <c r="B1512" s="57" t="s">
        <v>9</v>
      </c>
      <c r="C1512" s="39"/>
      <c r="D1512" s="59"/>
      <c r="E1512" s="39"/>
      <c r="F1512" s="39"/>
      <c r="G1512" s="39"/>
      <c r="H1512" s="58">
        <f>H1510+H1511</f>
        <v>700061</v>
      </c>
    </row>
    <row r="1513" spans="1:8" x14ac:dyDescent="0.3">
      <c r="A1513" s="43"/>
      <c r="B1513" s="181">
        <v>2563</v>
      </c>
      <c r="C1513" s="44" t="s">
        <v>1120</v>
      </c>
      <c r="D1513" s="73"/>
      <c r="E1513" s="44" t="s">
        <v>1121</v>
      </c>
      <c r="F1513" s="60"/>
      <c r="G1513" s="60"/>
      <c r="H1513" s="48"/>
    </row>
    <row r="1514" spans="1:8" s="3" customFormat="1" x14ac:dyDescent="0.3">
      <c r="A1514" s="39"/>
      <c r="B1514" s="107" t="s">
        <v>10</v>
      </c>
      <c r="C1514" s="107" t="s">
        <v>1</v>
      </c>
      <c r="D1514" s="108" t="s">
        <v>2</v>
      </c>
      <c r="E1514" s="109" t="s">
        <v>3</v>
      </c>
      <c r="F1514" s="109" t="s">
        <v>4</v>
      </c>
      <c r="G1514" s="109" t="s">
        <v>5</v>
      </c>
      <c r="H1514" s="106" t="s">
        <v>6</v>
      </c>
    </row>
    <row r="1515" spans="1:8" ht="100.8" x14ac:dyDescent="0.3">
      <c r="A1515" s="53">
        <v>1</v>
      </c>
      <c r="B1515" s="53" t="s">
        <v>1122</v>
      </c>
      <c r="C1515" s="40">
        <v>1</v>
      </c>
      <c r="D1515" s="91">
        <v>215.9</v>
      </c>
      <c r="E1515" s="40">
        <v>400</v>
      </c>
      <c r="F1515" s="40">
        <f>C1515*D1515*E1515</f>
        <v>86360</v>
      </c>
      <c r="G1515" s="55">
        <v>0.4</v>
      </c>
      <c r="H1515" s="42">
        <f>F1515*(1-G1515)</f>
        <v>51816</v>
      </c>
    </row>
    <row r="1516" spans="1:8" ht="129.6" x14ac:dyDescent="0.3">
      <c r="A1516" s="53">
        <v>2</v>
      </c>
      <c r="B1516" s="53" t="s">
        <v>1520</v>
      </c>
      <c r="C1516" s="40">
        <v>1</v>
      </c>
      <c r="D1516" s="91">
        <v>818.4</v>
      </c>
      <c r="E1516" s="40">
        <v>300</v>
      </c>
      <c r="F1516" s="40">
        <f>C1516*D1516*E1516</f>
        <v>245520</v>
      </c>
      <c r="G1516" s="55">
        <v>0.5</v>
      </c>
      <c r="H1516" s="42">
        <f>F1516*(1-G1516)</f>
        <v>122760</v>
      </c>
    </row>
    <row r="1517" spans="1:8" ht="100.8" x14ac:dyDescent="0.3">
      <c r="A1517" s="53">
        <v>3</v>
      </c>
      <c r="B1517" s="53" t="s">
        <v>1811</v>
      </c>
      <c r="C1517" s="40">
        <v>1</v>
      </c>
      <c r="D1517" s="91">
        <v>91.76</v>
      </c>
      <c r="E1517" s="40">
        <v>250</v>
      </c>
      <c r="F1517" s="40">
        <f>C1517*D1517*E1517</f>
        <v>22940</v>
      </c>
      <c r="G1517" s="55">
        <v>0.5</v>
      </c>
      <c r="H1517" s="42">
        <f>F1517*(1-G1517)</f>
        <v>11470</v>
      </c>
    </row>
    <row r="1518" spans="1:8" ht="28.8" x14ac:dyDescent="0.3">
      <c r="A1518" s="53">
        <v>4</v>
      </c>
      <c r="B1518" s="53" t="s">
        <v>1123</v>
      </c>
      <c r="C1518" s="40">
        <v>1</v>
      </c>
      <c r="D1518" s="91">
        <f>D1519*3</f>
        <v>476.22</v>
      </c>
      <c r="E1518" s="40">
        <v>22</v>
      </c>
      <c r="F1518" s="40">
        <f>C1518*D1518*E1518</f>
        <v>10476.84</v>
      </c>
      <c r="G1518" s="55">
        <v>0.5</v>
      </c>
      <c r="H1518" s="42">
        <f>F1518*(1-G1518)</f>
        <v>5238.42</v>
      </c>
    </row>
    <row r="1519" spans="1:8" ht="28.8" x14ac:dyDescent="0.3">
      <c r="A1519" s="53"/>
      <c r="B1519" s="53" t="s">
        <v>1124</v>
      </c>
      <c r="C1519" s="40">
        <v>1</v>
      </c>
      <c r="D1519" s="91">
        <v>158.74</v>
      </c>
      <c r="E1519" s="40">
        <v>40</v>
      </c>
      <c r="F1519" s="40">
        <f>C1519*D1519*E1519</f>
        <v>6349.6</v>
      </c>
      <c r="G1519" s="55">
        <v>0.5</v>
      </c>
      <c r="H1519" s="42">
        <f>F1519*(1-G1519)</f>
        <v>3174.8</v>
      </c>
    </row>
    <row r="1520" spans="1:8" x14ac:dyDescent="0.3">
      <c r="A1520" s="53"/>
      <c r="B1520" s="57" t="s">
        <v>7</v>
      </c>
      <c r="C1520" s="40"/>
      <c r="D1520" s="54"/>
      <c r="E1520" s="40"/>
      <c r="F1520" s="40"/>
      <c r="G1520" s="55"/>
      <c r="H1520" s="58">
        <f>SUM(H1515:H1519)</f>
        <v>194459.22</v>
      </c>
    </row>
    <row r="1521" spans="1:8" x14ac:dyDescent="0.3">
      <c r="A1521" s="53">
        <v>5</v>
      </c>
      <c r="B1521" s="57" t="s">
        <v>8</v>
      </c>
      <c r="C1521" s="40">
        <v>1</v>
      </c>
      <c r="D1521" s="54">
        <v>25197</v>
      </c>
      <c r="E1521" s="40">
        <v>5</v>
      </c>
      <c r="F1521" s="40">
        <f>(10000*E1521)+(10000*0.75*E1521)+(5197*0.5*E1521)</f>
        <v>100492.5</v>
      </c>
      <c r="G1521" s="55">
        <v>0</v>
      </c>
      <c r="H1521" s="58">
        <f>(1-G1521)*F1521</f>
        <v>100492.5</v>
      </c>
    </row>
    <row r="1522" spans="1:8" x14ac:dyDescent="0.3">
      <c r="A1522" s="53"/>
      <c r="B1522" s="57" t="s">
        <v>9</v>
      </c>
      <c r="C1522" s="39"/>
      <c r="D1522" s="59"/>
      <c r="E1522" s="39"/>
      <c r="F1522" s="39"/>
      <c r="G1522" s="39"/>
      <c r="H1522" s="58">
        <f>H1520+H1521</f>
        <v>294951.71999999997</v>
      </c>
    </row>
    <row r="1523" spans="1:8" x14ac:dyDescent="0.3">
      <c r="A1523" s="51"/>
      <c r="B1523" s="57"/>
      <c r="C1523" s="39"/>
      <c r="D1523" s="59"/>
      <c r="E1523" s="39"/>
      <c r="F1523" s="39"/>
      <c r="G1523" s="39"/>
      <c r="H1523" s="58"/>
    </row>
    <row r="1524" spans="1:8" x14ac:dyDescent="0.3">
      <c r="A1524" s="44"/>
      <c r="B1524" s="86">
        <v>2905</v>
      </c>
      <c r="C1524" s="44" t="s">
        <v>289</v>
      </c>
      <c r="D1524" s="73"/>
      <c r="E1524" s="46" t="s">
        <v>274</v>
      </c>
      <c r="F1524" s="47"/>
      <c r="G1524" s="47"/>
      <c r="H1524" s="98"/>
    </row>
    <row r="1525" spans="1:8" s="3" customFormat="1" x14ac:dyDescent="0.3">
      <c r="A1525" s="39"/>
      <c r="B1525" s="107" t="s">
        <v>0</v>
      </c>
      <c r="C1525" s="107" t="s">
        <v>1</v>
      </c>
      <c r="D1525" s="108" t="s">
        <v>2</v>
      </c>
      <c r="E1525" s="109" t="s">
        <v>3</v>
      </c>
      <c r="F1525" s="109" t="s">
        <v>4</v>
      </c>
      <c r="G1525" s="109" t="s">
        <v>5</v>
      </c>
      <c r="H1525" s="106" t="s">
        <v>6</v>
      </c>
    </row>
    <row r="1526" spans="1:8" ht="57.6" x14ac:dyDescent="0.3">
      <c r="A1526" s="40">
        <v>1</v>
      </c>
      <c r="B1526" s="110" t="s">
        <v>290</v>
      </c>
      <c r="C1526" s="40">
        <v>1</v>
      </c>
      <c r="D1526" s="54">
        <f>(16*18)/2+2*(4*18)</f>
        <v>288</v>
      </c>
      <c r="E1526" s="40">
        <v>200</v>
      </c>
      <c r="F1526" s="40">
        <f>C1526*D1526*E1526</f>
        <v>57600</v>
      </c>
      <c r="G1526" s="55">
        <v>0.3</v>
      </c>
      <c r="H1526" s="42">
        <f t="shared" ref="H1526:H1531" si="107">F1526*(1-G1526)</f>
        <v>40320</v>
      </c>
    </row>
    <row r="1527" spans="1:8" ht="57.6" x14ac:dyDescent="0.3">
      <c r="A1527" s="40">
        <v>2</v>
      </c>
      <c r="B1527" s="110" t="s">
        <v>291</v>
      </c>
      <c r="C1527" s="40">
        <v>1</v>
      </c>
      <c r="D1527" s="54">
        <v>207.5</v>
      </c>
      <c r="E1527" s="40">
        <v>200</v>
      </c>
      <c r="F1527" s="40">
        <f>C1527*D1527*E1527</f>
        <v>41500</v>
      </c>
      <c r="G1527" s="55">
        <v>0.5</v>
      </c>
      <c r="H1527" s="42">
        <f t="shared" si="107"/>
        <v>20750</v>
      </c>
    </row>
    <row r="1528" spans="1:8" ht="72" x14ac:dyDescent="0.3">
      <c r="A1528" s="40">
        <v>3</v>
      </c>
      <c r="B1528" s="110" t="s">
        <v>292</v>
      </c>
      <c r="C1528" s="40">
        <v>1</v>
      </c>
      <c r="D1528" s="54">
        <v>81</v>
      </c>
      <c r="E1528" s="40">
        <v>150</v>
      </c>
      <c r="F1528" s="40">
        <f>C1528*D1528*E1528</f>
        <v>12150</v>
      </c>
      <c r="G1528" s="55">
        <v>0.5</v>
      </c>
      <c r="H1528" s="42">
        <f t="shared" si="107"/>
        <v>6075</v>
      </c>
    </row>
    <row r="1529" spans="1:8" ht="43.2" x14ac:dyDescent="0.3">
      <c r="A1529" s="40">
        <v>4</v>
      </c>
      <c r="B1529" s="110" t="s">
        <v>294</v>
      </c>
      <c r="C1529" s="40">
        <v>1</v>
      </c>
      <c r="D1529" s="54">
        <v>86</v>
      </c>
      <c r="E1529" s="40">
        <v>50</v>
      </c>
      <c r="F1529" s="40">
        <f>C1529*D1529*E1529</f>
        <v>4300</v>
      </c>
      <c r="G1529" s="55">
        <v>0.4</v>
      </c>
      <c r="H1529" s="42">
        <f t="shared" si="107"/>
        <v>2580</v>
      </c>
    </row>
    <row r="1530" spans="1:8" ht="43.2" x14ac:dyDescent="0.3">
      <c r="A1530" s="40">
        <v>5</v>
      </c>
      <c r="B1530" s="110" t="s">
        <v>293</v>
      </c>
      <c r="C1530" s="40">
        <v>1</v>
      </c>
      <c r="D1530" s="133">
        <v>57.6</v>
      </c>
      <c r="E1530" s="40">
        <v>50</v>
      </c>
      <c r="F1530" s="40">
        <f>C1530*D1530*E1530</f>
        <v>2880</v>
      </c>
      <c r="G1530" s="55">
        <v>0.4</v>
      </c>
      <c r="H1530" s="42">
        <f t="shared" si="107"/>
        <v>1728</v>
      </c>
    </row>
    <row r="1531" spans="1:8" ht="72" x14ac:dyDescent="0.3">
      <c r="A1531" s="40">
        <v>6</v>
      </c>
      <c r="B1531" s="64" t="s">
        <v>694</v>
      </c>
      <c r="C1531" s="40">
        <v>1</v>
      </c>
      <c r="D1531" s="150">
        <v>160</v>
      </c>
      <c r="E1531" s="40">
        <v>250</v>
      </c>
      <c r="F1531" s="68">
        <f>D1531*E1531</f>
        <v>40000</v>
      </c>
      <c r="G1531" s="55">
        <v>0.5</v>
      </c>
      <c r="H1531" s="42">
        <f t="shared" si="107"/>
        <v>20000</v>
      </c>
    </row>
    <row r="1532" spans="1:8" ht="72" x14ac:dyDescent="0.3">
      <c r="A1532" s="40">
        <v>7</v>
      </c>
      <c r="B1532" s="64" t="s">
        <v>695</v>
      </c>
      <c r="C1532" s="40">
        <v>1</v>
      </c>
      <c r="D1532" s="41">
        <v>68</v>
      </c>
      <c r="E1532" s="40">
        <v>250</v>
      </c>
      <c r="F1532" s="68">
        <f>D1532*E1532</f>
        <v>17000</v>
      </c>
      <c r="G1532" s="55">
        <v>0.5</v>
      </c>
      <c r="H1532" s="42">
        <f t="shared" ref="H1532:H1542" si="108">F1532*(1-G1532)</f>
        <v>8500</v>
      </c>
    </row>
    <row r="1533" spans="1:8" ht="72" x14ac:dyDescent="0.3">
      <c r="A1533" s="40">
        <v>8</v>
      </c>
      <c r="B1533" s="64" t="s">
        <v>696</v>
      </c>
      <c r="C1533" s="40">
        <v>1</v>
      </c>
      <c r="D1533" s="41">
        <v>135</v>
      </c>
      <c r="E1533" s="40">
        <v>250</v>
      </c>
      <c r="F1533" s="68">
        <f t="shared" ref="F1533:F1542" si="109">D1533*E1533</f>
        <v>33750</v>
      </c>
      <c r="G1533" s="55">
        <v>0.5</v>
      </c>
      <c r="H1533" s="42">
        <f t="shared" si="108"/>
        <v>16875</v>
      </c>
    </row>
    <row r="1534" spans="1:8" ht="72" x14ac:dyDescent="0.3">
      <c r="A1534" s="40">
        <v>9</v>
      </c>
      <c r="B1534" s="64" t="s">
        <v>697</v>
      </c>
      <c r="C1534" s="40">
        <v>1</v>
      </c>
      <c r="D1534" s="41">
        <v>126</v>
      </c>
      <c r="E1534" s="40">
        <v>250</v>
      </c>
      <c r="F1534" s="68">
        <f t="shared" si="109"/>
        <v>31500</v>
      </c>
      <c r="G1534" s="55">
        <v>0.5</v>
      </c>
      <c r="H1534" s="42">
        <f t="shared" si="108"/>
        <v>15750</v>
      </c>
    </row>
    <row r="1535" spans="1:8" ht="72" x14ac:dyDescent="0.3">
      <c r="A1535" s="40">
        <v>10</v>
      </c>
      <c r="B1535" s="64" t="s">
        <v>698</v>
      </c>
      <c r="C1535" s="40">
        <v>1</v>
      </c>
      <c r="D1535" s="41">
        <v>30</v>
      </c>
      <c r="E1535" s="40">
        <v>200</v>
      </c>
      <c r="F1535" s="68">
        <f t="shared" si="109"/>
        <v>6000</v>
      </c>
      <c r="G1535" s="55">
        <v>0.5</v>
      </c>
      <c r="H1535" s="42">
        <f t="shared" si="108"/>
        <v>3000</v>
      </c>
    </row>
    <row r="1536" spans="1:8" ht="72" x14ac:dyDescent="0.3">
      <c r="A1536" s="40">
        <v>11</v>
      </c>
      <c r="B1536" s="64" t="s">
        <v>699</v>
      </c>
      <c r="C1536" s="40">
        <v>1</v>
      </c>
      <c r="D1536" s="41">
        <v>238</v>
      </c>
      <c r="E1536" s="40">
        <v>350</v>
      </c>
      <c r="F1536" s="68">
        <f t="shared" si="109"/>
        <v>83300</v>
      </c>
      <c r="G1536" s="55">
        <v>0.5</v>
      </c>
      <c r="H1536" s="42">
        <f t="shared" si="108"/>
        <v>41650</v>
      </c>
    </row>
    <row r="1537" spans="1:8" ht="72" x14ac:dyDescent="0.3">
      <c r="A1537" s="40">
        <v>12</v>
      </c>
      <c r="B1537" s="64" t="s">
        <v>700</v>
      </c>
      <c r="C1537" s="40">
        <v>1</v>
      </c>
      <c r="D1537" s="41">
        <v>33.6</v>
      </c>
      <c r="E1537" s="40">
        <v>300</v>
      </c>
      <c r="F1537" s="68">
        <f t="shared" si="109"/>
        <v>10080</v>
      </c>
      <c r="G1537" s="55">
        <v>0.5</v>
      </c>
      <c r="H1537" s="42">
        <f t="shared" si="108"/>
        <v>5040</v>
      </c>
    </row>
    <row r="1538" spans="1:8" ht="72" x14ac:dyDescent="0.3">
      <c r="A1538" s="40">
        <v>13</v>
      </c>
      <c r="B1538" s="64" t="s">
        <v>701</v>
      </c>
      <c r="C1538" s="40">
        <v>1</v>
      </c>
      <c r="D1538" s="41">
        <v>57</v>
      </c>
      <c r="E1538" s="40">
        <v>150</v>
      </c>
      <c r="F1538" s="68">
        <f t="shared" si="109"/>
        <v>8550</v>
      </c>
      <c r="G1538" s="55">
        <v>0.5</v>
      </c>
      <c r="H1538" s="42">
        <f t="shared" si="108"/>
        <v>4275</v>
      </c>
    </row>
    <row r="1539" spans="1:8" ht="43.2" x14ac:dyDescent="0.3">
      <c r="A1539" s="40">
        <v>14</v>
      </c>
      <c r="B1539" s="64" t="s">
        <v>702</v>
      </c>
      <c r="C1539" s="40">
        <v>1</v>
      </c>
      <c r="D1539" s="41">
        <v>75</v>
      </c>
      <c r="E1539" s="40">
        <v>50</v>
      </c>
      <c r="F1539" s="68">
        <f t="shared" si="109"/>
        <v>3750</v>
      </c>
      <c r="G1539" s="55">
        <v>0.5</v>
      </c>
      <c r="H1539" s="42">
        <f t="shared" si="108"/>
        <v>1875</v>
      </c>
    </row>
    <row r="1540" spans="1:8" ht="43.2" x14ac:dyDescent="0.3">
      <c r="A1540" s="40">
        <v>15</v>
      </c>
      <c r="B1540" s="64" t="s">
        <v>703</v>
      </c>
      <c r="C1540" s="40">
        <v>1</v>
      </c>
      <c r="D1540" s="41">
        <v>30</v>
      </c>
      <c r="E1540" s="40">
        <v>50</v>
      </c>
      <c r="F1540" s="68">
        <f t="shared" si="109"/>
        <v>1500</v>
      </c>
      <c r="G1540" s="55">
        <v>0.5</v>
      </c>
      <c r="H1540" s="42">
        <f t="shared" si="108"/>
        <v>750</v>
      </c>
    </row>
    <row r="1541" spans="1:8" ht="43.2" x14ac:dyDescent="0.3">
      <c r="A1541" s="40">
        <v>16</v>
      </c>
      <c r="B1541" s="64" t="s">
        <v>704</v>
      </c>
      <c r="C1541" s="40">
        <v>1</v>
      </c>
      <c r="D1541" s="41">
        <v>45</v>
      </c>
      <c r="E1541" s="40">
        <v>50</v>
      </c>
      <c r="F1541" s="68">
        <f t="shared" si="109"/>
        <v>2250</v>
      </c>
      <c r="G1541" s="55">
        <v>0.5</v>
      </c>
      <c r="H1541" s="42">
        <f t="shared" si="108"/>
        <v>1125</v>
      </c>
    </row>
    <row r="1542" spans="1:8" ht="57.6" x14ac:dyDescent="0.3">
      <c r="A1542" s="40">
        <v>17</v>
      </c>
      <c r="B1542" s="64" t="s">
        <v>705</v>
      </c>
      <c r="C1542" s="40">
        <v>1</v>
      </c>
      <c r="D1542" s="150">
        <v>3.5</v>
      </c>
      <c r="E1542" s="40">
        <v>100</v>
      </c>
      <c r="F1542" s="68">
        <f t="shared" si="109"/>
        <v>350</v>
      </c>
      <c r="G1542" s="55">
        <v>0.5</v>
      </c>
      <c r="H1542" s="42">
        <f t="shared" si="108"/>
        <v>175</v>
      </c>
    </row>
    <row r="1543" spans="1:8" ht="100.8" x14ac:dyDescent="0.3">
      <c r="A1543" s="40">
        <v>18</v>
      </c>
      <c r="B1543" s="53" t="s">
        <v>849</v>
      </c>
      <c r="C1543" s="40">
        <v>1</v>
      </c>
      <c r="D1543" s="150">
        <v>344.82</v>
      </c>
      <c r="E1543" s="40">
        <v>400</v>
      </c>
      <c r="F1543" s="40">
        <f t="shared" ref="F1543:F1549" si="110">C1543*D1543*E1543</f>
        <v>137928</v>
      </c>
      <c r="G1543" s="55">
        <v>0.6</v>
      </c>
      <c r="H1543" s="42">
        <f t="shared" ref="H1543:H1549" si="111">(1-G1543)*F1543</f>
        <v>55171.200000000004</v>
      </c>
    </row>
    <row r="1544" spans="1:8" ht="86.4" x14ac:dyDescent="0.3">
      <c r="A1544" s="40">
        <v>19</v>
      </c>
      <c r="B1544" s="53" t="s">
        <v>850</v>
      </c>
      <c r="C1544" s="40">
        <v>1</v>
      </c>
      <c r="D1544" s="41">
        <v>232.15</v>
      </c>
      <c r="E1544" s="40">
        <v>250</v>
      </c>
      <c r="F1544" s="40">
        <f t="shared" si="110"/>
        <v>58037.5</v>
      </c>
      <c r="G1544" s="55">
        <v>0.6</v>
      </c>
      <c r="H1544" s="42">
        <f t="shared" si="111"/>
        <v>23215</v>
      </c>
    </row>
    <row r="1545" spans="1:8" ht="86.4" x14ac:dyDescent="0.3">
      <c r="A1545" s="39">
        <v>20</v>
      </c>
      <c r="B1545" s="53" t="s">
        <v>851</v>
      </c>
      <c r="C1545" s="40">
        <v>1</v>
      </c>
      <c r="D1545" s="41">
        <v>190.37</v>
      </c>
      <c r="E1545" s="40">
        <v>400</v>
      </c>
      <c r="F1545" s="40">
        <f t="shared" si="110"/>
        <v>76148</v>
      </c>
      <c r="G1545" s="55">
        <v>0.6</v>
      </c>
      <c r="H1545" s="42">
        <f t="shared" si="111"/>
        <v>30459.200000000001</v>
      </c>
    </row>
    <row r="1546" spans="1:8" ht="86.4" x14ac:dyDescent="0.3">
      <c r="A1546" s="39">
        <v>21</v>
      </c>
      <c r="B1546" s="53" t="s">
        <v>852</v>
      </c>
      <c r="C1546" s="40">
        <v>1</v>
      </c>
      <c r="D1546" s="41">
        <v>126.58</v>
      </c>
      <c r="E1546" s="40">
        <v>400</v>
      </c>
      <c r="F1546" s="40">
        <f t="shared" si="110"/>
        <v>50632</v>
      </c>
      <c r="G1546" s="55">
        <v>0.6</v>
      </c>
      <c r="H1546" s="42">
        <f t="shared" si="111"/>
        <v>20252.800000000003</v>
      </c>
    </row>
    <row r="1547" spans="1:8" ht="57.6" x14ac:dyDescent="0.3">
      <c r="A1547" s="151">
        <v>22</v>
      </c>
      <c r="B1547" s="53" t="s">
        <v>853</v>
      </c>
      <c r="C1547" s="40">
        <v>1</v>
      </c>
      <c r="D1547" s="41">
        <v>59.17</v>
      </c>
      <c r="E1547" s="40">
        <v>150</v>
      </c>
      <c r="F1547" s="40">
        <f t="shared" si="110"/>
        <v>8875.5</v>
      </c>
      <c r="G1547" s="55">
        <v>0.6</v>
      </c>
      <c r="H1547" s="42">
        <f t="shared" si="111"/>
        <v>3550.2000000000003</v>
      </c>
    </row>
    <row r="1548" spans="1:8" ht="57.6" x14ac:dyDescent="0.3">
      <c r="A1548" s="83">
        <v>23</v>
      </c>
      <c r="B1548" s="53" t="s">
        <v>854</v>
      </c>
      <c r="C1548" s="40">
        <v>1</v>
      </c>
      <c r="D1548" s="41">
        <v>59.17</v>
      </c>
      <c r="E1548" s="40">
        <v>150</v>
      </c>
      <c r="F1548" s="40">
        <f t="shared" si="110"/>
        <v>8875.5</v>
      </c>
      <c r="G1548" s="55">
        <v>0.6</v>
      </c>
      <c r="H1548" s="42">
        <f t="shared" si="111"/>
        <v>3550.2000000000003</v>
      </c>
    </row>
    <row r="1549" spans="1:8" ht="57.6" x14ac:dyDescent="0.3">
      <c r="A1549" s="83">
        <v>24</v>
      </c>
      <c r="B1549" s="53" t="s">
        <v>855</v>
      </c>
      <c r="C1549" s="40">
        <v>1</v>
      </c>
      <c r="D1549" s="41">
        <v>39.450000000000003</v>
      </c>
      <c r="E1549" s="40">
        <v>150</v>
      </c>
      <c r="F1549" s="40">
        <f t="shared" si="110"/>
        <v>5917.5</v>
      </c>
      <c r="G1549" s="55">
        <v>0.6</v>
      </c>
      <c r="H1549" s="42">
        <f t="shared" si="111"/>
        <v>2367</v>
      </c>
    </row>
    <row r="1550" spans="1:8" x14ac:dyDescent="0.3">
      <c r="A1550" s="179" t="s">
        <v>1249</v>
      </c>
      <c r="B1550" s="53"/>
      <c r="C1550" s="40"/>
      <c r="D1550" s="41"/>
      <c r="E1550" s="40"/>
      <c r="F1550" s="40"/>
      <c r="G1550" s="55"/>
      <c r="H1550" s="42"/>
    </row>
    <row r="1551" spans="1:8" ht="100.8" x14ac:dyDescent="0.3">
      <c r="A1551" s="53">
        <v>25</v>
      </c>
      <c r="B1551" s="53" t="s">
        <v>1235</v>
      </c>
      <c r="C1551" s="40">
        <v>31</v>
      </c>
      <c r="D1551" s="54">
        <v>31.13</v>
      </c>
      <c r="E1551" s="40">
        <v>200</v>
      </c>
      <c r="F1551" s="40">
        <f>C1551*D1551*E1551</f>
        <v>193006</v>
      </c>
      <c r="G1551" s="55">
        <v>0.5</v>
      </c>
      <c r="H1551" s="42">
        <f>F1551*(1-G1551)</f>
        <v>96503</v>
      </c>
    </row>
    <row r="1552" spans="1:8" ht="100.8" x14ac:dyDescent="0.3">
      <c r="A1552" s="53">
        <v>26</v>
      </c>
      <c r="B1552" s="53" t="s">
        <v>1236</v>
      </c>
      <c r="C1552" s="40">
        <v>13</v>
      </c>
      <c r="D1552" s="54">
        <v>93.6</v>
      </c>
      <c r="E1552" s="40">
        <v>200</v>
      </c>
      <c r="F1552" s="40">
        <f>C1552*D1552*E1552</f>
        <v>243360</v>
      </c>
      <c r="G1552" s="55">
        <v>0.5</v>
      </c>
      <c r="H1552" s="42">
        <f>F1552*(1-G1552)</f>
        <v>121680</v>
      </c>
    </row>
    <row r="1553" spans="1:8" ht="86.4" x14ac:dyDescent="0.3">
      <c r="A1553" s="53">
        <v>27</v>
      </c>
      <c r="B1553" s="53" t="s">
        <v>1237</v>
      </c>
      <c r="C1553" s="40">
        <v>2</v>
      </c>
      <c r="D1553" s="54">
        <v>158</v>
      </c>
      <c r="E1553" s="40">
        <v>200</v>
      </c>
      <c r="F1553" s="40">
        <f>C1553*D1553*E1553</f>
        <v>63200</v>
      </c>
      <c r="G1553" s="55">
        <v>0.5</v>
      </c>
      <c r="H1553" s="42">
        <f>F1553*(1-G1553)</f>
        <v>31600</v>
      </c>
    </row>
    <row r="1554" spans="1:8" ht="100.8" x14ac:dyDescent="0.3">
      <c r="A1554" s="53">
        <v>28</v>
      </c>
      <c r="B1554" s="53" t="s">
        <v>1238</v>
      </c>
      <c r="C1554" s="40">
        <v>9</v>
      </c>
      <c r="D1554" s="54">
        <v>76.510000000000005</v>
      </c>
      <c r="E1554" s="40">
        <v>200</v>
      </c>
      <c r="F1554" s="40">
        <f>C1554*D1554*E1554</f>
        <v>137718</v>
      </c>
      <c r="G1554" s="55">
        <v>0.5</v>
      </c>
      <c r="H1554" s="42">
        <f>F1554*(1-G1554)</f>
        <v>68859</v>
      </c>
    </row>
    <row r="1555" spans="1:8" x14ac:dyDescent="0.3">
      <c r="A1555" s="179" t="s">
        <v>1297</v>
      </c>
      <c r="B1555" s="53"/>
      <c r="C1555" s="40"/>
      <c r="D1555" s="41"/>
      <c r="E1555" s="40"/>
      <c r="F1555" s="40"/>
      <c r="G1555" s="55"/>
      <c r="H1555" s="42"/>
    </row>
    <row r="1556" spans="1:8" ht="86.4" x14ac:dyDescent="0.3">
      <c r="A1556" s="53">
        <v>29</v>
      </c>
      <c r="B1556" s="53" t="s">
        <v>1290</v>
      </c>
      <c r="C1556" s="40">
        <v>1</v>
      </c>
      <c r="D1556" s="54">
        <v>206</v>
      </c>
      <c r="E1556" s="40">
        <v>350</v>
      </c>
      <c r="F1556" s="40">
        <f>C1556*D1556*E1556</f>
        <v>72100</v>
      </c>
      <c r="G1556" s="55">
        <v>0.4</v>
      </c>
      <c r="H1556" s="42">
        <f>F1556*(1-G1556)</f>
        <v>43260</v>
      </c>
    </row>
    <row r="1557" spans="1:8" x14ac:dyDescent="0.3">
      <c r="A1557" s="179" t="s">
        <v>1291</v>
      </c>
      <c r="B1557" s="53"/>
      <c r="C1557" s="40"/>
      <c r="D1557" s="41"/>
      <c r="E1557" s="40"/>
      <c r="F1557" s="40"/>
      <c r="G1557" s="55"/>
      <c r="H1557" s="42"/>
    </row>
    <row r="1558" spans="1:8" ht="86.4" x14ac:dyDescent="0.3">
      <c r="A1558" s="53">
        <v>30</v>
      </c>
      <c r="B1558" s="53" t="s">
        <v>1292</v>
      </c>
      <c r="C1558" s="40">
        <v>1</v>
      </c>
      <c r="D1558" s="54">
        <v>107.25</v>
      </c>
      <c r="E1558" s="40">
        <v>250</v>
      </c>
      <c r="F1558" s="40">
        <f t="shared" ref="F1558:F1567" si="112">C1558*D1558*E1558</f>
        <v>26812.5</v>
      </c>
      <c r="G1558" s="55">
        <v>0.4</v>
      </c>
      <c r="H1558" s="42">
        <f t="shared" ref="H1558:H1567" si="113">F1558*(1-G1558)</f>
        <v>16087.5</v>
      </c>
    </row>
    <row r="1559" spans="1:8" ht="86.4" x14ac:dyDescent="0.3">
      <c r="A1559" s="53">
        <v>31</v>
      </c>
      <c r="B1559" s="53" t="s">
        <v>1293</v>
      </c>
      <c r="C1559" s="40">
        <v>1</v>
      </c>
      <c r="D1559" s="54">
        <v>45.48</v>
      </c>
      <c r="E1559" s="40">
        <v>250</v>
      </c>
      <c r="F1559" s="40">
        <f t="shared" si="112"/>
        <v>11370</v>
      </c>
      <c r="G1559" s="55">
        <v>0.4</v>
      </c>
      <c r="H1559" s="42">
        <f t="shared" si="113"/>
        <v>6822</v>
      </c>
    </row>
    <row r="1560" spans="1:8" ht="100.8" x14ac:dyDescent="0.3">
      <c r="A1560" s="53">
        <v>32</v>
      </c>
      <c r="B1560" s="53" t="s">
        <v>1606</v>
      </c>
      <c r="C1560" s="40">
        <v>1</v>
      </c>
      <c r="D1560" s="54">
        <v>198.4</v>
      </c>
      <c r="E1560" s="40">
        <v>200</v>
      </c>
      <c r="F1560" s="40">
        <f t="shared" si="112"/>
        <v>39680</v>
      </c>
      <c r="G1560" s="55">
        <v>0.4</v>
      </c>
      <c r="H1560" s="42">
        <f t="shared" si="113"/>
        <v>23808</v>
      </c>
    </row>
    <row r="1561" spans="1:8" ht="100.8" x14ac:dyDescent="0.3">
      <c r="A1561" s="53">
        <v>33</v>
      </c>
      <c r="B1561" s="53" t="s">
        <v>1607</v>
      </c>
      <c r="C1561" s="40">
        <v>1</v>
      </c>
      <c r="D1561" s="54">
        <v>173.7</v>
      </c>
      <c r="E1561" s="40">
        <v>200</v>
      </c>
      <c r="F1561" s="40">
        <f t="shared" si="112"/>
        <v>34740</v>
      </c>
      <c r="G1561" s="55">
        <v>0.4</v>
      </c>
      <c r="H1561" s="42">
        <f t="shared" si="113"/>
        <v>20844</v>
      </c>
    </row>
    <row r="1562" spans="1:8" ht="100.8" x14ac:dyDescent="0.3">
      <c r="A1562" s="53">
        <v>34</v>
      </c>
      <c r="B1562" s="53" t="s">
        <v>1608</v>
      </c>
      <c r="C1562" s="40">
        <v>1</v>
      </c>
      <c r="D1562" s="54">
        <v>110</v>
      </c>
      <c r="E1562" s="40">
        <v>200</v>
      </c>
      <c r="F1562" s="40">
        <f t="shared" si="112"/>
        <v>22000</v>
      </c>
      <c r="G1562" s="55">
        <v>0.4</v>
      </c>
      <c r="H1562" s="42">
        <f t="shared" si="113"/>
        <v>13200</v>
      </c>
    </row>
    <row r="1563" spans="1:8" ht="100.8" x14ac:dyDescent="0.3">
      <c r="A1563" s="53">
        <v>35</v>
      </c>
      <c r="B1563" s="53" t="s">
        <v>1609</v>
      </c>
      <c r="C1563" s="40">
        <v>1</v>
      </c>
      <c r="D1563" s="54">
        <v>80.3</v>
      </c>
      <c r="E1563" s="40">
        <v>200</v>
      </c>
      <c r="F1563" s="40">
        <f t="shared" si="112"/>
        <v>16060</v>
      </c>
      <c r="G1563" s="55">
        <v>0.4</v>
      </c>
      <c r="H1563" s="42">
        <f t="shared" si="113"/>
        <v>9636</v>
      </c>
    </row>
    <row r="1564" spans="1:8" ht="100.8" x14ac:dyDescent="0.3">
      <c r="A1564" s="53">
        <v>36</v>
      </c>
      <c r="B1564" s="53" t="s">
        <v>1610</v>
      </c>
      <c r="C1564" s="40">
        <v>1</v>
      </c>
      <c r="D1564" s="54">
        <v>80.3</v>
      </c>
      <c r="E1564" s="40">
        <v>200</v>
      </c>
      <c r="F1564" s="40">
        <f t="shared" si="112"/>
        <v>16060</v>
      </c>
      <c r="G1564" s="55">
        <v>0.4</v>
      </c>
      <c r="H1564" s="42">
        <f t="shared" si="113"/>
        <v>9636</v>
      </c>
    </row>
    <row r="1565" spans="1:8" ht="86.4" x14ac:dyDescent="0.3">
      <c r="A1565" s="53">
        <v>37</v>
      </c>
      <c r="B1565" s="53" t="s">
        <v>1294</v>
      </c>
      <c r="C1565" s="40">
        <v>1</v>
      </c>
      <c r="D1565" s="54">
        <v>69.3</v>
      </c>
      <c r="E1565" s="40">
        <v>250</v>
      </c>
      <c r="F1565" s="40">
        <f t="shared" si="112"/>
        <v>17325</v>
      </c>
      <c r="G1565" s="55">
        <v>0.4</v>
      </c>
      <c r="H1565" s="42">
        <f t="shared" si="113"/>
        <v>10395</v>
      </c>
    </row>
    <row r="1566" spans="1:8" ht="72" x14ac:dyDescent="0.3">
      <c r="A1566" s="53">
        <v>38</v>
      </c>
      <c r="B1566" s="53" t="s">
        <v>1295</v>
      </c>
      <c r="C1566" s="40">
        <v>1</v>
      </c>
      <c r="D1566" s="54">
        <v>33.659999999999997</v>
      </c>
      <c r="E1566" s="40">
        <v>150</v>
      </c>
      <c r="F1566" s="40">
        <f t="shared" si="112"/>
        <v>5048.9999999999991</v>
      </c>
      <c r="G1566" s="55">
        <v>0.4</v>
      </c>
      <c r="H1566" s="42">
        <f t="shared" si="113"/>
        <v>3029.3999999999992</v>
      </c>
    </row>
    <row r="1567" spans="1:8" ht="72" x14ac:dyDescent="0.3">
      <c r="A1567" s="53">
        <v>39</v>
      </c>
      <c r="B1567" s="53" t="s">
        <v>1296</v>
      </c>
      <c r="C1567" s="40">
        <v>1</v>
      </c>
      <c r="D1567" s="54">
        <v>33.659999999999997</v>
      </c>
      <c r="E1567" s="40">
        <v>150</v>
      </c>
      <c r="F1567" s="40">
        <f t="shared" si="112"/>
        <v>5048.9999999999991</v>
      </c>
      <c r="G1567" s="55">
        <v>0.4</v>
      </c>
      <c r="H1567" s="42">
        <f t="shared" si="113"/>
        <v>3029.3999999999992</v>
      </c>
    </row>
    <row r="1568" spans="1:8" x14ac:dyDescent="0.3">
      <c r="A1568" s="83"/>
      <c r="B1568" s="39" t="s">
        <v>11</v>
      </c>
      <c r="C1568" s="57"/>
      <c r="D1568" s="105"/>
      <c r="E1568" s="39"/>
      <c r="F1568" s="39"/>
      <c r="G1568" s="39"/>
      <c r="H1568" s="58">
        <f>SUM(H1526:H1567)</f>
        <v>807422.90000000014</v>
      </c>
    </row>
    <row r="1569" spans="1:8" x14ac:dyDescent="0.3">
      <c r="A1569" s="83">
        <v>40</v>
      </c>
      <c r="B1569" s="39" t="s">
        <v>8</v>
      </c>
      <c r="C1569" s="40">
        <v>1</v>
      </c>
      <c r="D1569" s="133">
        <v>92000</v>
      </c>
      <c r="E1569" s="40">
        <v>5</v>
      </c>
      <c r="F1569" s="169">
        <f>(10000*5)+(10000*3.75)+(10000*2.5)+(62000*1.25)</f>
        <v>190000</v>
      </c>
      <c r="G1569" s="55">
        <v>0</v>
      </c>
      <c r="H1569" s="58">
        <f>(1-G1569)*F1569</f>
        <v>190000</v>
      </c>
    </row>
    <row r="1570" spans="1:8" x14ac:dyDescent="0.3">
      <c r="A1570" s="83"/>
      <c r="B1570" s="39" t="s">
        <v>9</v>
      </c>
      <c r="C1570" s="39"/>
      <c r="D1570" s="105"/>
      <c r="E1570" s="39"/>
      <c r="F1570" s="170"/>
      <c r="G1570" s="39"/>
      <c r="H1570" s="58">
        <f>H1568+H1569</f>
        <v>997422.90000000014</v>
      </c>
    </row>
    <row r="1571" spans="1:8" x14ac:dyDescent="0.3">
      <c r="A1571" s="43"/>
      <c r="B1571" s="180">
        <v>5017</v>
      </c>
      <c r="C1571" s="44" t="s">
        <v>1125</v>
      </c>
      <c r="D1571" s="73"/>
      <c r="E1571" s="44" t="s">
        <v>1126</v>
      </c>
      <c r="F1571" s="60"/>
      <c r="G1571" s="60"/>
      <c r="H1571" s="48"/>
    </row>
    <row r="1572" spans="1:8" x14ac:dyDescent="0.3">
      <c r="A1572" s="39"/>
      <c r="B1572" s="107" t="s">
        <v>10</v>
      </c>
      <c r="C1572" s="107" t="s">
        <v>1</v>
      </c>
      <c r="D1572" s="108" t="s">
        <v>2</v>
      </c>
      <c r="E1572" s="109" t="s">
        <v>3</v>
      </c>
      <c r="F1572" s="109" t="s">
        <v>4</v>
      </c>
      <c r="G1572" s="109" t="s">
        <v>5</v>
      </c>
      <c r="H1572" s="106" t="s">
        <v>6</v>
      </c>
    </row>
    <row r="1573" spans="1:8" ht="129.6" x14ac:dyDescent="0.3">
      <c r="A1573" s="53">
        <v>1</v>
      </c>
      <c r="B1573" s="53" t="s">
        <v>1812</v>
      </c>
      <c r="C1573" s="40">
        <v>1</v>
      </c>
      <c r="D1573" s="91">
        <f>721.61*2</f>
        <v>1443.22</v>
      </c>
      <c r="E1573" s="40">
        <v>600</v>
      </c>
      <c r="F1573" s="40">
        <f t="shared" ref="F1573:F1600" si="114">C1573*D1573*E1573</f>
        <v>865932</v>
      </c>
      <c r="G1573" s="55">
        <v>0.4</v>
      </c>
      <c r="H1573" s="42">
        <f t="shared" ref="H1573:H1602" si="115">F1573*(1-G1573)</f>
        <v>519559.19999999995</v>
      </c>
    </row>
    <row r="1574" spans="1:8" ht="100.8" x14ac:dyDescent="0.3">
      <c r="A1574" s="53">
        <v>2</v>
      </c>
      <c r="B1574" s="53" t="s">
        <v>1371</v>
      </c>
      <c r="C1574" s="40">
        <v>1</v>
      </c>
      <c r="D1574" s="91">
        <v>111.02</v>
      </c>
      <c r="E1574" s="40">
        <v>350</v>
      </c>
      <c r="F1574" s="40">
        <f t="shared" si="114"/>
        <v>38857</v>
      </c>
      <c r="G1574" s="55">
        <v>0.4</v>
      </c>
      <c r="H1574" s="42">
        <f t="shared" si="115"/>
        <v>23314.2</v>
      </c>
    </row>
    <row r="1575" spans="1:8" ht="86.4" x14ac:dyDescent="0.3">
      <c r="A1575" s="53">
        <v>3</v>
      </c>
      <c r="B1575" s="53" t="s">
        <v>1372</v>
      </c>
      <c r="C1575" s="40">
        <v>1</v>
      </c>
      <c r="D1575" s="91">
        <v>29.46</v>
      </c>
      <c r="E1575" s="40">
        <v>350</v>
      </c>
      <c r="F1575" s="40">
        <f t="shared" si="114"/>
        <v>10311</v>
      </c>
      <c r="G1575" s="55">
        <v>0.4</v>
      </c>
      <c r="H1575" s="42">
        <f t="shared" si="115"/>
        <v>6186.5999999999995</v>
      </c>
    </row>
    <row r="1576" spans="1:8" ht="100.8" x14ac:dyDescent="0.3">
      <c r="A1576" s="53">
        <v>4</v>
      </c>
      <c r="B1576" s="53" t="s">
        <v>1373</v>
      </c>
      <c r="C1576" s="40">
        <v>1</v>
      </c>
      <c r="D1576" s="91">
        <v>15.04</v>
      </c>
      <c r="E1576" s="40">
        <v>350</v>
      </c>
      <c r="F1576" s="40">
        <f t="shared" si="114"/>
        <v>5264</v>
      </c>
      <c r="G1576" s="55">
        <v>0.5</v>
      </c>
      <c r="H1576" s="42">
        <f t="shared" si="115"/>
        <v>2632</v>
      </c>
    </row>
    <row r="1577" spans="1:8" ht="115.2" x14ac:dyDescent="0.3">
      <c r="A1577" s="53">
        <v>5</v>
      </c>
      <c r="B1577" s="53" t="s">
        <v>1813</v>
      </c>
      <c r="C1577" s="40">
        <v>1</v>
      </c>
      <c r="D1577" s="91">
        <v>449.4</v>
      </c>
      <c r="E1577" s="40">
        <v>350</v>
      </c>
      <c r="F1577" s="40">
        <f t="shared" si="114"/>
        <v>157290</v>
      </c>
      <c r="G1577" s="55">
        <v>0.5</v>
      </c>
      <c r="H1577" s="42">
        <f t="shared" si="115"/>
        <v>78645</v>
      </c>
    </row>
    <row r="1578" spans="1:8" ht="57.6" x14ac:dyDescent="0.3">
      <c r="A1578" s="53">
        <v>6</v>
      </c>
      <c r="B1578" s="53" t="s">
        <v>1815</v>
      </c>
      <c r="C1578" s="40">
        <v>1</v>
      </c>
      <c r="D1578" s="91">
        <v>132.47999999999999</v>
      </c>
      <c r="E1578" s="40">
        <v>150</v>
      </c>
      <c r="F1578" s="40">
        <f t="shared" si="114"/>
        <v>19872</v>
      </c>
      <c r="G1578" s="55">
        <v>0.4</v>
      </c>
      <c r="H1578" s="42">
        <f t="shared" si="115"/>
        <v>11923.199999999999</v>
      </c>
    </row>
    <row r="1579" spans="1:8" ht="57.6" x14ac:dyDescent="0.3">
      <c r="A1579" s="53">
        <v>7</v>
      </c>
      <c r="B1579" s="53" t="s">
        <v>1814</v>
      </c>
      <c r="C1579" s="40">
        <v>1</v>
      </c>
      <c r="D1579" s="91">
        <v>80.599999999999994</v>
      </c>
      <c r="E1579" s="40">
        <v>150</v>
      </c>
      <c r="F1579" s="40">
        <f t="shared" si="114"/>
        <v>12090</v>
      </c>
      <c r="G1579" s="55">
        <v>0.4</v>
      </c>
      <c r="H1579" s="42">
        <f t="shared" si="115"/>
        <v>7254</v>
      </c>
    </row>
    <row r="1580" spans="1:8" ht="57.6" x14ac:dyDescent="0.3">
      <c r="A1580" s="53">
        <v>8</v>
      </c>
      <c r="B1580" s="53" t="s">
        <v>1127</v>
      </c>
      <c r="C1580" s="40">
        <v>1</v>
      </c>
      <c r="D1580" s="91">
        <v>1214.4000000000001</v>
      </c>
      <c r="E1580" s="40">
        <v>150</v>
      </c>
      <c r="F1580" s="40">
        <f t="shared" si="114"/>
        <v>182160</v>
      </c>
      <c r="G1580" s="55">
        <v>0.4</v>
      </c>
      <c r="H1580" s="42">
        <f t="shared" si="115"/>
        <v>109296</v>
      </c>
    </row>
    <row r="1581" spans="1:8" ht="100.8" x14ac:dyDescent="0.3">
      <c r="A1581" s="53">
        <v>7</v>
      </c>
      <c r="B1581" s="53" t="s">
        <v>1816</v>
      </c>
      <c r="C1581" s="40">
        <v>1</v>
      </c>
      <c r="D1581" s="91">
        <v>316.2</v>
      </c>
      <c r="E1581" s="40">
        <v>300</v>
      </c>
      <c r="F1581" s="40">
        <f t="shared" si="114"/>
        <v>94860</v>
      </c>
      <c r="G1581" s="55">
        <v>0.4</v>
      </c>
      <c r="H1581" s="42">
        <f t="shared" si="115"/>
        <v>56916</v>
      </c>
    </row>
    <row r="1582" spans="1:8" ht="86.4" x14ac:dyDescent="0.3">
      <c r="A1582" s="53">
        <v>8</v>
      </c>
      <c r="B1582" s="53" t="s">
        <v>1128</v>
      </c>
      <c r="C1582" s="40">
        <v>1</v>
      </c>
      <c r="D1582" s="91">
        <v>13.64</v>
      </c>
      <c r="E1582" s="40">
        <v>150</v>
      </c>
      <c r="F1582" s="40">
        <f t="shared" si="114"/>
        <v>2046</v>
      </c>
      <c r="G1582" s="55">
        <v>0.5</v>
      </c>
      <c r="H1582" s="42">
        <f t="shared" si="115"/>
        <v>1023</v>
      </c>
    </row>
    <row r="1583" spans="1:8" s="3" customFormat="1" ht="86.4" x14ac:dyDescent="0.3">
      <c r="A1583" s="53">
        <v>9</v>
      </c>
      <c r="B1583" s="53" t="s">
        <v>1129</v>
      </c>
      <c r="C1583" s="40">
        <v>1</v>
      </c>
      <c r="D1583" s="91">
        <v>25.2</v>
      </c>
      <c r="E1583" s="40">
        <v>150</v>
      </c>
      <c r="F1583" s="40">
        <f t="shared" si="114"/>
        <v>3780</v>
      </c>
      <c r="G1583" s="55">
        <v>0.5</v>
      </c>
      <c r="H1583" s="42">
        <f t="shared" si="115"/>
        <v>1890</v>
      </c>
    </row>
    <row r="1584" spans="1:8" ht="86.4" x14ac:dyDescent="0.3">
      <c r="A1584" s="53">
        <v>10</v>
      </c>
      <c r="B1584" s="53" t="s">
        <v>1130</v>
      </c>
      <c r="C1584" s="40">
        <v>1</v>
      </c>
      <c r="D1584" s="91">
        <v>17.760000000000002</v>
      </c>
      <c r="E1584" s="40">
        <v>150</v>
      </c>
      <c r="F1584" s="40">
        <f t="shared" si="114"/>
        <v>2664.0000000000005</v>
      </c>
      <c r="G1584" s="55">
        <v>0.5</v>
      </c>
      <c r="H1584" s="42">
        <f t="shared" si="115"/>
        <v>1332.0000000000002</v>
      </c>
    </row>
    <row r="1585" spans="1:8" ht="86.4" x14ac:dyDescent="0.3">
      <c r="A1585" s="53"/>
      <c r="B1585" s="53" t="s">
        <v>1131</v>
      </c>
      <c r="C1585" s="40">
        <v>1</v>
      </c>
      <c r="D1585" s="91">
        <v>42.65</v>
      </c>
      <c r="E1585" s="40">
        <v>150</v>
      </c>
      <c r="F1585" s="40">
        <f t="shared" si="114"/>
        <v>6397.5</v>
      </c>
      <c r="G1585" s="55">
        <v>0.5</v>
      </c>
      <c r="H1585" s="42">
        <f t="shared" si="115"/>
        <v>3198.75</v>
      </c>
    </row>
    <row r="1586" spans="1:8" ht="100.8" x14ac:dyDescent="0.3">
      <c r="A1586" s="53">
        <v>9</v>
      </c>
      <c r="B1586" s="53" t="s">
        <v>1818</v>
      </c>
      <c r="C1586" s="40">
        <v>1</v>
      </c>
      <c r="D1586" s="91">
        <v>315.35000000000002</v>
      </c>
      <c r="E1586" s="40">
        <v>250</v>
      </c>
      <c r="F1586" s="40">
        <f t="shared" si="114"/>
        <v>78837.5</v>
      </c>
      <c r="G1586" s="55">
        <v>0.5</v>
      </c>
      <c r="H1586" s="42">
        <f t="shared" si="115"/>
        <v>39418.75</v>
      </c>
    </row>
    <row r="1587" spans="1:8" ht="115.2" x14ac:dyDescent="0.3">
      <c r="A1587" s="53">
        <v>10</v>
      </c>
      <c r="B1587" s="53" t="s">
        <v>1817</v>
      </c>
      <c r="C1587" s="40">
        <v>1</v>
      </c>
      <c r="D1587" s="91">
        <v>134.9</v>
      </c>
      <c r="E1587" s="40">
        <v>250</v>
      </c>
      <c r="F1587" s="40">
        <f t="shared" si="114"/>
        <v>33725</v>
      </c>
      <c r="G1587" s="55">
        <v>0.5</v>
      </c>
      <c r="H1587" s="42">
        <f t="shared" si="115"/>
        <v>16862.5</v>
      </c>
    </row>
    <row r="1588" spans="1:8" ht="72" x14ac:dyDescent="0.3">
      <c r="A1588" s="53">
        <v>11</v>
      </c>
      <c r="B1588" s="53" t="s">
        <v>1132</v>
      </c>
      <c r="C1588" s="40">
        <v>1</v>
      </c>
      <c r="D1588" s="91">
        <v>43.4</v>
      </c>
      <c r="E1588" s="40">
        <v>250</v>
      </c>
      <c r="F1588" s="40">
        <f t="shared" si="114"/>
        <v>10850</v>
      </c>
      <c r="G1588" s="55">
        <v>0.5</v>
      </c>
      <c r="H1588" s="42">
        <f t="shared" si="115"/>
        <v>5425</v>
      </c>
    </row>
    <row r="1589" spans="1:8" ht="72" x14ac:dyDescent="0.3">
      <c r="A1589" s="53">
        <v>12</v>
      </c>
      <c r="B1589" s="53" t="s">
        <v>1133</v>
      </c>
      <c r="C1589" s="40">
        <v>1</v>
      </c>
      <c r="D1589" s="91">
        <v>50.46</v>
      </c>
      <c r="E1589" s="40">
        <v>250</v>
      </c>
      <c r="F1589" s="40">
        <f t="shared" si="114"/>
        <v>12615</v>
      </c>
      <c r="G1589" s="55">
        <v>0.5</v>
      </c>
      <c r="H1589" s="42">
        <f t="shared" si="115"/>
        <v>6307.5</v>
      </c>
    </row>
    <row r="1590" spans="1:8" ht="86.4" x14ac:dyDescent="0.3">
      <c r="A1590" s="53">
        <v>13</v>
      </c>
      <c r="B1590" s="53" t="s">
        <v>1134</v>
      </c>
      <c r="C1590" s="40">
        <v>1</v>
      </c>
      <c r="D1590" s="91">
        <v>53.76</v>
      </c>
      <c r="E1590" s="40">
        <v>250</v>
      </c>
      <c r="F1590" s="40">
        <f t="shared" si="114"/>
        <v>13440</v>
      </c>
      <c r="G1590" s="55">
        <v>0.5</v>
      </c>
      <c r="H1590" s="42">
        <f t="shared" si="115"/>
        <v>6720</v>
      </c>
    </row>
    <row r="1591" spans="1:8" ht="86.4" x14ac:dyDescent="0.3">
      <c r="A1591" s="53">
        <v>14</v>
      </c>
      <c r="B1591" s="53" t="s">
        <v>1819</v>
      </c>
      <c r="C1591" s="40">
        <v>1</v>
      </c>
      <c r="D1591" s="91">
        <v>16</v>
      </c>
      <c r="E1591" s="40">
        <v>250</v>
      </c>
      <c r="F1591" s="40">
        <f t="shared" si="114"/>
        <v>4000</v>
      </c>
      <c r="G1591" s="55">
        <v>0.5</v>
      </c>
      <c r="H1591" s="42">
        <f t="shared" si="115"/>
        <v>2000</v>
      </c>
    </row>
    <row r="1592" spans="1:8" ht="100.8" x14ac:dyDescent="0.3">
      <c r="A1592" s="53">
        <v>15</v>
      </c>
      <c r="B1592" s="53" t="s">
        <v>1811</v>
      </c>
      <c r="C1592" s="40">
        <v>1</v>
      </c>
      <c r="D1592" s="91">
        <v>331.84</v>
      </c>
      <c r="E1592" s="40">
        <v>300</v>
      </c>
      <c r="F1592" s="40">
        <f t="shared" si="114"/>
        <v>99551.999999999985</v>
      </c>
      <c r="G1592" s="55">
        <v>0.5</v>
      </c>
      <c r="H1592" s="42">
        <f t="shared" si="115"/>
        <v>49775.999999999993</v>
      </c>
    </row>
    <row r="1593" spans="1:8" ht="57.6" x14ac:dyDescent="0.3">
      <c r="A1593" s="53">
        <v>16</v>
      </c>
      <c r="B1593" s="53" t="s">
        <v>1820</v>
      </c>
      <c r="C1593" s="40">
        <v>1</v>
      </c>
      <c r="D1593" s="91">
        <v>84.8</v>
      </c>
      <c r="E1593" s="40">
        <v>80</v>
      </c>
      <c r="F1593" s="40">
        <f t="shared" si="114"/>
        <v>6784</v>
      </c>
      <c r="G1593" s="55">
        <v>0.5</v>
      </c>
      <c r="H1593" s="42">
        <f t="shared" si="115"/>
        <v>3392</v>
      </c>
    </row>
    <row r="1594" spans="1:8" ht="57.6" x14ac:dyDescent="0.3">
      <c r="A1594" s="53">
        <v>17</v>
      </c>
      <c r="B1594" s="53" t="s">
        <v>1335</v>
      </c>
      <c r="C1594" s="40">
        <v>1</v>
      </c>
      <c r="D1594" s="91">
        <v>143.1</v>
      </c>
      <c r="E1594" s="40">
        <v>80</v>
      </c>
      <c r="F1594" s="40">
        <f t="shared" si="114"/>
        <v>11448</v>
      </c>
      <c r="G1594" s="55">
        <v>0.5</v>
      </c>
      <c r="H1594" s="42">
        <f t="shared" si="115"/>
        <v>5724</v>
      </c>
    </row>
    <row r="1595" spans="1:8" ht="57.6" x14ac:dyDescent="0.3">
      <c r="A1595" s="53">
        <v>18</v>
      </c>
      <c r="B1595" s="53" t="s">
        <v>1336</v>
      </c>
      <c r="C1595" s="40">
        <v>1</v>
      </c>
      <c r="D1595" s="91">
        <v>79.5</v>
      </c>
      <c r="E1595" s="40">
        <v>80</v>
      </c>
      <c r="F1595" s="40">
        <f t="shared" si="114"/>
        <v>6360</v>
      </c>
      <c r="G1595" s="55">
        <v>0.5</v>
      </c>
      <c r="H1595" s="42">
        <f t="shared" si="115"/>
        <v>3180</v>
      </c>
    </row>
    <row r="1596" spans="1:8" ht="57.6" x14ac:dyDescent="0.3">
      <c r="A1596" s="53">
        <v>19</v>
      </c>
      <c r="B1596" s="53" t="s">
        <v>1337</v>
      </c>
      <c r="C1596" s="40">
        <v>1</v>
      </c>
      <c r="D1596" s="91">
        <v>95.4</v>
      </c>
      <c r="E1596" s="40">
        <v>80</v>
      </c>
      <c r="F1596" s="40">
        <f t="shared" si="114"/>
        <v>7632</v>
      </c>
      <c r="G1596" s="55">
        <v>0.5</v>
      </c>
      <c r="H1596" s="42">
        <f t="shared" si="115"/>
        <v>3816</v>
      </c>
    </row>
    <row r="1597" spans="1:8" ht="57.6" x14ac:dyDescent="0.3">
      <c r="A1597" s="53">
        <v>20</v>
      </c>
      <c r="B1597" s="53" t="s">
        <v>1329</v>
      </c>
      <c r="C1597" s="40">
        <v>2</v>
      </c>
      <c r="D1597" s="91">
        <v>90</v>
      </c>
      <c r="E1597" s="40">
        <v>80</v>
      </c>
      <c r="F1597" s="40">
        <f t="shared" si="114"/>
        <v>14400</v>
      </c>
      <c r="G1597" s="55">
        <v>0.5</v>
      </c>
      <c r="H1597" s="42">
        <f t="shared" si="115"/>
        <v>7200</v>
      </c>
    </row>
    <row r="1598" spans="1:8" ht="43.2" x14ac:dyDescent="0.3">
      <c r="A1598" s="53">
        <v>21</v>
      </c>
      <c r="B1598" s="53" t="s">
        <v>1135</v>
      </c>
      <c r="C1598" s="40">
        <v>1</v>
      </c>
      <c r="D1598" s="91">
        <v>2343.3000000000002</v>
      </c>
      <c r="E1598" s="40">
        <v>80</v>
      </c>
      <c r="F1598" s="40">
        <f t="shared" si="114"/>
        <v>187464</v>
      </c>
      <c r="G1598" s="55">
        <v>0.55000000000000004</v>
      </c>
      <c r="H1598" s="42">
        <f t="shared" si="115"/>
        <v>84358.799999999988</v>
      </c>
    </row>
    <row r="1599" spans="1:8" ht="72" x14ac:dyDescent="0.3">
      <c r="A1599" s="53">
        <v>22</v>
      </c>
      <c r="B1599" s="53" t="s">
        <v>1821</v>
      </c>
      <c r="C1599" s="40">
        <v>1</v>
      </c>
      <c r="D1599" s="91">
        <v>438.2</v>
      </c>
      <c r="E1599" s="40">
        <v>300</v>
      </c>
      <c r="F1599" s="40">
        <f t="shared" si="114"/>
        <v>131460</v>
      </c>
      <c r="G1599" s="55">
        <v>0.45</v>
      </c>
      <c r="H1599" s="42">
        <f t="shared" si="115"/>
        <v>72303</v>
      </c>
    </row>
    <row r="1600" spans="1:8" ht="72" x14ac:dyDescent="0.3">
      <c r="A1600" s="53">
        <v>23</v>
      </c>
      <c r="B1600" s="53" t="s">
        <v>1822</v>
      </c>
      <c r="C1600" s="40">
        <v>1</v>
      </c>
      <c r="D1600" s="91">
        <v>1601.6</v>
      </c>
      <c r="E1600" s="40">
        <v>300</v>
      </c>
      <c r="F1600" s="40">
        <f t="shared" si="114"/>
        <v>480480</v>
      </c>
      <c r="G1600" s="55">
        <v>0.5</v>
      </c>
      <c r="H1600" s="42">
        <f t="shared" si="115"/>
        <v>240240</v>
      </c>
    </row>
    <row r="1601" spans="1:8" ht="28.8" x14ac:dyDescent="0.3">
      <c r="A1601" s="53">
        <v>24</v>
      </c>
      <c r="B1601" s="53" t="s">
        <v>1136</v>
      </c>
      <c r="C1601" s="40">
        <v>1</v>
      </c>
      <c r="D1601" s="91">
        <f>D1602*3</f>
        <v>1233.96</v>
      </c>
      <c r="E1601" s="40">
        <v>22</v>
      </c>
      <c r="F1601" s="40">
        <f>C1601*D1601*E1601*0.5</f>
        <v>13573.560000000001</v>
      </c>
      <c r="G1601" s="55">
        <v>0.5</v>
      </c>
      <c r="H1601" s="42">
        <f t="shared" si="115"/>
        <v>6786.7800000000007</v>
      </c>
    </row>
    <row r="1602" spans="1:8" ht="28.8" x14ac:dyDescent="0.3">
      <c r="A1602" s="53"/>
      <c r="B1602" s="53" t="s">
        <v>1472</v>
      </c>
      <c r="C1602" s="40">
        <v>1</v>
      </c>
      <c r="D1602" s="91">
        <v>411.32</v>
      </c>
      <c r="E1602" s="40">
        <v>45</v>
      </c>
      <c r="F1602" s="40">
        <f>C1602*D1602*E1602*0.5</f>
        <v>9254.7000000000007</v>
      </c>
      <c r="G1602" s="55">
        <v>0.5</v>
      </c>
      <c r="H1602" s="42">
        <f t="shared" si="115"/>
        <v>4627.3500000000004</v>
      </c>
    </row>
    <row r="1603" spans="1:8" x14ac:dyDescent="0.3">
      <c r="A1603" s="53"/>
      <c r="B1603" s="57" t="s">
        <v>7</v>
      </c>
      <c r="C1603" s="40"/>
      <c r="D1603" s="54"/>
      <c r="E1603" s="40"/>
      <c r="F1603" s="40"/>
      <c r="G1603" s="55"/>
      <c r="H1603" s="58">
        <f>SUM(H1573:H1602)</f>
        <v>1381307.63</v>
      </c>
    </row>
    <row r="1604" spans="1:8" x14ac:dyDescent="0.3">
      <c r="A1604" s="53">
        <v>25</v>
      </c>
      <c r="B1604" s="57" t="s">
        <v>8</v>
      </c>
      <c r="C1604" s="40">
        <v>1</v>
      </c>
      <c r="D1604" s="54">
        <v>169187</v>
      </c>
      <c r="E1604" s="40">
        <v>5</v>
      </c>
      <c r="F1604" s="40">
        <f>(10000*5)+(10000*3.75)+(10000*2.5)+(139187*1.25)</f>
        <v>286483.75</v>
      </c>
      <c r="G1604" s="55">
        <v>0</v>
      </c>
      <c r="H1604" s="58">
        <f>(1-G1604)*F1604</f>
        <v>286483.75</v>
      </c>
    </row>
    <row r="1605" spans="1:8" x14ac:dyDescent="0.3">
      <c r="A1605" s="53"/>
      <c r="B1605" s="57" t="s">
        <v>9</v>
      </c>
      <c r="C1605" s="39"/>
      <c r="D1605" s="59"/>
      <c r="E1605" s="39"/>
      <c r="F1605" s="39"/>
      <c r="G1605" s="39"/>
      <c r="H1605" s="58">
        <f>H1603+H1604</f>
        <v>1667791.38</v>
      </c>
    </row>
    <row r="1606" spans="1:8" x14ac:dyDescent="0.3">
      <c r="A1606" s="142"/>
      <c r="B1606" s="182">
        <v>5025</v>
      </c>
      <c r="C1606" s="140" t="s">
        <v>1137</v>
      </c>
      <c r="D1606" s="141"/>
      <c r="E1606" s="140" t="s">
        <v>1138</v>
      </c>
      <c r="F1606" s="142"/>
      <c r="G1606" s="142"/>
      <c r="H1606" s="143"/>
    </row>
    <row r="1607" spans="1:8" x14ac:dyDescent="0.3">
      <c r="A1607" s="39"/>
      <c r="B1607" s="107" t="s">
        <v>10</v>
      </c>
      <c r="C1607" s="107" t="s">
        <v>1</v>
      </c>
      <c r="D1607" s="108" t="s">
        <v>2</v>
      </c>
      <c r="E1607" s="109" t="s">
        <v>3</v>
      </c>
      <c r="F1607" s="109" t="s">
        <v>4</v>
      </c>
      <c r="G1607" s="109" t="s">
        <v>5</v>
      </c>
      <c r="H1607" s="106" t="s">
        <v>6</v>
      </c>
    </row>
    <row r="1608" spans="1:8" ht="158.4" x14ac:dyDescent="0.3">
      <c r="A1608" s="53">
        <v>1</v>
      </c>
      <c r="B1608" s="53" t="s">
        <v>1823</v>
      </c>
      <c r="C1608" s="40">
        <v>1</v>
      </c>
      <c r="D1608" s="91">
        <v>1337.03</v>
      </c>
      <c r="E1608" s="40">
        <v>500</v>
      </c>
      <c r="F1608" s="40">
        <f t="shared" ref="F1608:F1625" si="116">C1608*D1608*E1608</f>
        <v>668515</v>
      </c>
      <c r="G1608" s="55">
        <v>0.5</v>
      </c>
      <c r="H1608" s="136">
        <f t="shared" ref="H1608:H1625" si="117">F1608*(1-G1608)</f>
        <v>334257.5</v>
      </c>
    </row>
    <row r="1609" spans="1:8" ht="115.2" x14ac:dyDescent="0.3">
      <c r="A1609" s="53">
        <v>2</v>
      </c>
      <c r="B1609" s="53" t="s">
        <v>1824</v>
      </c>
      <c r="C1609" s="40">
        <v>1</v>
      </c>
      <c r="D1609" s="91">
        <v>23791.73</v>
      </c>
      <c r="E1609" s="40">
        <v>400</v>
      </c>
      <c r="F1609" s="40">
        <f t="shared" si="116"/>
        <v>9516692</v>
      </c>
      <c r="G1609" s="55">
        <v>0.3</v>
      </c>
      <c r="H1609" s="42">
        <f t="shared" si="117"/>
        <v>6661684.3999999994</v>
      </c>
    </row>
    <row r="1610" spans="1:8" ht="100.8" x14ac:dyDescent="0.3">
      <c r="A1610" s="53">
        <v>3</v>
      </c>
      <c r="B1610" s="53" t="s">
        <v>1139</v>
      </c>
      <c r="C1610" s="40">
        <v>1</v>
      </c>
      <c r="D1610" s="91">
        <v>64.86</v>
      </c>
      <c r="E1610" s="40">
        <v>300</v>
      </c>
      <c r="F1610" s="40">
        <f t="shared" si="116"/>
        <v>19458</v>
      </c>
      <c r="G1610" s="55">
        <v>0.5</v>
      </c>
      <c r="H1610" s="42">
        <f t="shared" si="117"/>
        <v>9729</v>
      </c>
    </row>
    <row r="1611" spans="1:8" ht="86.4" x14ac:dyDescent="0.3">
      <c r="A1611" s="53">
        <v>4</v>
      </c>
      <c r="B1611" s="53" t="s">
        <v>1140</v>
      </c>
      <c r="C1611" s="40">
        <v>1</v>
      </c>
      <c r="D1611" s="91">
        <v>240.03</v>
      </c>
      <c r="E1611" s="40">
        <v>300</v>
      </c>
      <c r="F1611" s="40">
        <f t="shared" si="116"/>
        <v>72009</v>
      </c>
      <c r="G1611" s="55">
        <v>0.5</v>
      </c>
      <c r="H1611" s="42">
        <f t="shared" si="117"/>
        <v>36004.5</v>
      </c>
    </row>
    <row r="1612" spans="1:8" ht="129.6" x14ac:dyDescent="0.3">
      <c r="A1612" s="53">
        <v>5</v>
      </c>
      <c r="B1612" s="53" t="s">
        <v>1792</v>
      </c>
      <c r="C1612" s="40">
        <v>1</v>
      </c>
      <c r="D1612" s="91">
        <v>3013.2</v>
      </c>
      <c r="E1612" s="40">
        <v>450</v>
      </c>
      <c r="F1612" s="40">
        <f t="shared" si="116"/>
        <v>1355940</v>
      </c>
      <c r="G1612" s="55">
        <v>0.5</v>
      </c>
      <c r="H1612" s="42">
        <f t="shared" si="117"/>
        <v>677970</v>
      </c>
    </row>
    <row r="1613" spans="1:8" ht="43.2" x14ac:dyDescent="0.3">
      <c r="A1613" s="53">
        <v>6</v>
      </c>
      <c r="B1613" s="53" t="s">
        <v>1338</v>
      </c>
      <c r="C1613" s="40">
        <v>1</v>
      </c>
      <c r="D1613" s="91">
        <v>186.66</v>
      </c>
      <c r="E1613" s="40">
        <v>80</v>
      </c>
      <c r="F1613" s="40">
        <f t="shared" si="116"/>
        <v>14932.8</v>
      </c>
      <c r="G1613" s="55">
        <v>0.4</v>
      </c>
      <c r="H1613" s="42">
        <f t="shared" si="117"/>
        <v>8959.6799999999985</v>
      </c>
    </row>
    <row r="1614" spans="1:8" ht="115.2" x14ac:dyDescent="0.3">
      <c r="A1614" s="53">
        <v>7</v>
      </c>
      <c r="B1614" s="53" t="s">
        <v>1825</v>
      </c>
      <c r="C1614" s="40">
        <v>1</v>
      </c>
      <c r="D1614" s="91">
        <v>2323.6999999999998</v>
      </c>
      <c r="E1614" s="40">
        <v>450</v>
      </c>
      <c r="F1614" s="40">
        <f t="shared" si="116"/>
        <v>1045664.9999999999</v>
      </c>
      <c r="G1614" s="55">
        <v>0.6</v>
      </c>
      <c r="H1614" s="42">
        <f t="shared" si="117"/>
        <v>418266</v>
      </c>
    </row>
    <row r="1615" spans="1:8" ht="86.4" x14ac:dyDescent="0.3">
      <c r="A1615" s="53">
        <v>8</v>
      </c>
      <c r="B1615" s="53" t="s">
        <v>1826</v>
      </c>
      <c r="C1615" s="40">
        <v>1</v>
      </c>
      <c r="D1615" s="91">
        <v>380</v>
      </c>
      <c r="E1615" s="40">
        <v>300</v>
      </c>
      <c r="F1615" s="40">
        <f t="shared" si="116"/>
        <v>114000</v>
      </c>
      <c r="G1615" s="55">
        <v>0.55000000000000004</v>
      </c>
      <c r="H1615" s="42">
        <f t="shared" si="117"/>
        <v>51299.999999999993</v>
      </c>
    </row>
    <row r="1616" spans="1:8" ht="72" x14ac:dyDescent="0.3">
      <c r="A1616" s="53">
        <v>9</v>
      </c>
      <c r="B1616" s="53" t="s">
        <v>1141</v>
      </c>
      <c r="C1616" s="40">
        <v>1</v>
      </c>
      <c r="D1616" s="91">
        <v>16.03</v>
      </c>
      <c r="E1616" s="40">
        <v>600</v>
      </c>
      <c r="F1616" s="40">
        <f t="shared" si="116"/>
        <v>9618</v>
      </c>
      <c r="G1616" s="55">
        <v>0.5</v>
      </c>
      <c r="H1616" s="42">
        <f t="shared" si="117"/>
        <v>4809</v>
      </c>
    </row>
    <row r="1617" spans="1:12" ht="43.2" x14ac:dyDescent="0.3">
      <c r="A1617" s="53">
        <v>10</v>
      </c>
      <c r="B1617" s="53" t="s">
        <v>1339</v>
      </c>
      <c r="C1617" s="40">
        <v>1</v>
      </c>
      <c r="D1617" s="91">
        <v>107</v>
      </c>
      <c r="E1617" s="40">
        <v>50</v>
      </c>
      <c r="F1617" s="40">
        <f t="shared" si="116"/>
        <v>5350</v>
      </c>
      <c r="G1617" s="55">
        <v>0.5</v>
      </c>
      <c r="H1617" s="42">
        <f t="shared" si="117"/>
        <v>2675</v>
      </c>
    </row>
    <row r="1618" spans="1:12" s="3" customFormat="1" ht="72" x14ac:dyDescent="0.3">
      <c r="A1618" s="53">
        <v>11</v>
      </c>
      <c r="B1618" s="53" t="s">
        <v>1142</v>
      </c>
      <c r="C1618" s="40">
        <v>1</v>
      </c>
      <c r="D1618" s="91">
        <v>41.71</v>
      </c>
      <c r="E1618" s="40">
        <v>300</v>
      </c>
      <c r="F1618" s="40">
        <f t="shared" si="116"/>
        <v>12513</v>
      </c>
      <c r="G1618" s="55">
        <v>0.5</v>
      </c>
      <c r="H1618" s="42">
        <f t="shared" si="117"/>
        <v>6256.5</v>
      </c>
    </row>
    <row r="1619" spans="1:12" ht="100.8" x14ac:dyDescent="0.3">
      <c r="A1619" s="53">
        <v>12</v>
      </c>
      <c r="B1619" s="53" t="s">
        <v>1143</v>
      </c>
      <c r="C1619" s="40">
        <v>1</v>
      </c>
      <c r="D1619" s="91">
        <v>175.77</v>
      </c>
      <c r="E1619" s="40">
        <v>300</v>
      </c>
      <c r="F1619" s="40">
        <f t="shared" si="116"/>
        <v>52731</v>
      </c>
      <c r="G1619" s="55">
        <v>0.5</v>
      </c>
      <c r="H1619" s="42">
        <f t="shared" si="117"/>
        <v>26365.5</v>
      </c>
    </row>
    <row r="1620" spans="1:12" ht="86.4" x14ac:dyDescent="0.3">
      <c r="A1620" s="53">
        <v>13</v>
      </c>
      <c r="B1620" s="53" t="s">
        <v>1827</v>
      </c>
      <c r="C1620" s="40">
        <v>1</v>
      </c>
      <c r="D1620" s="91">
        <v>6.09</v>
      </c>
      <c r="E1620" s="40">
        <v>300</v>
      </c>
      <c r="F1620" s="40">
        <f t="shared" si="116"/>
        <v>1827</v>
      </c>
      <c r="G1620" s="55">
        <v>0.5</v>
      </c>
      <c r="H1620" s="42">
        <f t="shared" si="117"/>
        <v>913.5</v>
      </c>
    </row>
    <row r="1621" spans="1:12" ht="86.4" x14ac:dyDescent="0.3">
      <c r="A1621" s="53">
        <v>14</v>
      </c>
      <c r="B1621" s="53" t="s">
        <v>1144</v>
      </c>
      <c r="C1621" s="40">
        <v>1</v>
      </c>
      <c r="D1621" s="91">
        <v>2198.56</v>
      </c>
      <c r="E1621" s="40">
        <v>400</v>
      </c>
      <c r="F1621" s="40">
        <f t="shared" si="116"/>
        <v>879424</v>
      </c>
      <c r="G1621" s="55">
        <v>0.5</v>
      </c>
      <c r="H1621" s="42">
        <f t="shared" si="117"/>
        <v>439712</v>
      </c>
    </row>
    <row r="1622" spans="1:12" ht="86.4" x14ac:dyDescent="0.3">
      <c r="A1622" s="53">
        <v>15</v>
      </c>
      <c r="B1622" s="53" t="s">
        <v>1145</v>
      </c>
      <c r="C1622" s="40">
        <v>1</v>
      </c>
      <c r="D1622" s="91">
        <v>875.46</v>
      </c>
      <c r="E1622" s="40">
        <v>300</v>
      </c>
      <c r="F1622" s="40">
        <f t="shared" si="116"/>
        <v>262638</v>
      </c>
      <c r="G1622" s="55">
        <v>0.5</v>
      </c>
      <c r="H1622" s="42">
        <f t="shared" si="117"/>
        <v>131319</v>
      </c>
    </row>
    <row r="1623" spans="1:12" ht="86.4" x14ac:dyDescent="0.3">
      <c r="A1623" s="53">
        <v>16</v>
      </c>
      <c r="B1623" s="53" t="s">
        <v>1146</v>
      </c>
      <c r="C1623" s="40">
        <v>1</v>
      </c>
      <c r="D1623" s="91">
        <v>165</v>
      </c>
      <c r="E1623" s="40">
        <v>300</v>
      </c>
      <c r="F1623" s="40">
        <f t="shared" si="116"/>
        <v>49500</v>
      </c>
      <c r="G1623" s="55">
        <v>0.4</v>
      </c>
      <c r="H1623" s="42">
        <f t="shared" si="117"/>
        <v>29700</v>
      </c>
    </row>
    <row r="1624" spans="1:12" ht="100.8" x14ac:dyDescent="0.3">
      <c r="A1624" s="53">
        <v>17</v>
      </c>
      <c r="B1624" s="53" t="s">
        <v>1521</v>
      </c>
      <c r="C1624" s="40">
        <v>1</v>
      </c>
      <c r="D1624" s="91">
        <v>364</v>
      </c>
      <c r="E1624" s="40">
        <v>200</v>
      </c>
      <c r="F1624" s="40">
        <f t="shared" si="116"/>
        <v>72800</v>
      </c>
      <c r="G1624" s="55">
        <v>0.5</v>
      </c>
      <c r="H1624" s="42">
        <f t="shared" si="117"/>
        <v>36400</v>
      </c>
      <c r="I1624" s="37"/>
      <c r="J1624" s="37"/>
      <c r="K1624" s="183"/>
      <c r="L1624" s="183"/>
    </row>
    <row r="1625" spans="1:12" ht="43.2" x14ac:dyDescent="0.3">
      <c r="A1625" s="53">
        <v>18</v>
      </c>
      <c r="B1625" s="53" t="s">
        <v>1147</v>
      </c>
      <c r="C1625" s="40">
        <v>1</v>
      </c>
      <c r="D1625" s="91">
        <v>2073</v>
      </c>
      <c r="E1625" s="40">
        <v>25</v>
      </c>
      <c r="F1625" s="40">
        <f t="shared" si="116"/>
        <v>51825</v>
      </c>
      <c r="G1625" s="55">
        <v>0.5</v>
      </c>
      <c r="H1625" s="42">
        <f t="shared" si="117"/>
        <v>25912.5</v>
      </c>
      <c r="I1625" s="37"/>
      <c r="J1625" s="37"/>
      <c r="K1625" s="183"/>
      <c r="L1625" s="183"/>
    </row>
    <row r="1626" spans="1:12" x14ac:dyDescent="0.3">
      <c r="A1626" s="53"/>
      <c r="B1626" s="57" t="s">
        <v>7</v>
      </c>
      <c r="C1626" s="40"/>
      <c r="D1626" s="54"/>
      <c r="E1626" s="40"/>
      <c r="F1626" s="40"/>
      <c r="G1626" s="55"/>
      <c r="H1626" s="58">
        <f>SUM(H1608:H1625)</f>
        <v>8902234.0799999982</v>
      </c>
    </row>
    <row r="1627" spans="1:12" x14ac:dyDescent="0.3">
      <c r="A1627" s="53">
        <v>19</v>
      </c>
      <c r="B1627" s="57" t="s">
        <v>8</v>
      </c>
      <c r="C1627" s="40">
        <v>1</v>
      </c>
      <c r="D1627" s="54">
        <v>268839</v>
      </c>
      <c r="E1627" s="40">
        <v>5</v>
      </c>
      <c r="F1627" s="40">
        <f>10000*5+10000*3.75+10000*2.5+238839*1.25</f>
        <v>411048.75</v>
      </c>
      <c r="G1627" s="55">
        <v>0</v>
      </c>
      <c r="H1627" s="58">
        <f>(1-G1627)*F1627</f>
        <v>411048.75</v>
      </c>
    </row>
    <row r="1628" spans="1:12" x14ac:dyDescent="0.3">
      <c r="A1628" s="53"/>
      <c r="B1628" s="57" t="s">
        <v>9</v>
      </c>
      <c r="C1628" s="39"/>
      <c r="D1628" s="59"/>
      <c r="E1628" s="39"/>
      <c r="F1628" s="39"/>
      <c r="G1628" s="39"/>
      <c r="H1628" s="58">
        <f>H1626+H1627</f>
        <v>9313282.8299999982</v>
      </c>
    </row>
    <row r="1629" spans="1:12" x14ac:dyDescent="0.3">
      <c r="A1629" s="43"/>
      <c r="B1629" s="62">
        <v>5033</v>
      </c>
      <c r="C1629" s="44" t="s">
        <v>993</v>
      </c>
      <c r="D1629" s="73"/>
      <c r="E1629" s="44" t="s">
        <v>994</v>
      </c>
      <c r="F1629" s="60"/>
      <c r="G1629" s="60"/>
      <c r="H1629" s="48"/>
    </row>
    <row r="1630" spans="1:12" x14ac:dyDescent="0.3">
      <c r="A1630" s="39"/>
      <c r="B1630" s="107" t="s">
        <v>10</v>
      </c>
      <c r="C1630" s="107" t="s">
        <v>1</v>
      </c>
      <c r="D1630" s="108" t="s">
        <v>2</v>
      </c>
      <c r="E1630" s="109" t="s">
        <v>3</v>
      </c>
      <c r="F1630" s="109" t="s">
        <v>4</v>
      </c>
      <c r="G1630" s="109" t="s">
        <v>5</v>
      </c>
      <c r="H1630" s="106" t="s">
        <v>6</v>
      </c>
    </row>
    <row r="1631" spans="1:12" ht="129.6" x14ac:dyDescent="0.3">
      <c r="A1631" s="53">
        <v>1</v>
      </c>
      <c r="B1631" s="53" t="s">
        <v>1751</v>
      </c>
      <c r="C1631" s="40">
        <v>1</v>
      </c>
      <c r="D1631" s="91">
        <v>202.4</v>
      </c>
      <c r="E1631" s="40">
        <v>450</v>
      </c>
      <c r="F1631" s="40">
        <f t="shared" ref="F1631:F1654" si="118">C1631*D1631*E1631</f>
        <v>91080</v>
      </c>
      <c r="G1631" s="55">
        <v>0.3</v>
      </c>
      <c r="H1631" s="42">
        <f t="shared" ref="H1631:H1654" si="119">F1631*(1-G1631)</f>
        <v>63755.999999999993</v>
      </c>
    </row>
    <row r="1632" spans="1:12" ht="115.2" x14ac:dyDescent="0.3">
      <c r="A1632" s="53">
        <v>2</v>
      </c>
      <c r="B1632" s="53" t="s">
        <v>1570</v>
      </c>
      <c r="C1632" s="40">
        <v>1</v>
      </c>
      <c r="D1632" s="91">
        <v>227.6</v>
      </c>
      <c r="E1632" s="40">
        <v>450</v>
      </c>
      <c r="F1632" s="40">
        <f t="shared" si="118"/>
        <v>102420</v>
      </c>
      <c r="G1632" s="55">
        <v>0.5</v>
      </c>
      <c r="H1632" s="42">
        <f t="shared" si="119"/>
        <v>51210</v>
      </c>
    </row>
    <row r="1633" spans="1:10" ht="115.2" x14ac:dyDescent="0.3">
      <c r="A1633" s="53">
        <v>3</v>
      </c>
      <c r="B1633" s="53" t="s">
        <v>1571</v>
      </c>
      <c r="C1633" s="40">
        <v>1</v>
      </c>
      <c r="D1633" s="91">
        <v>37.5</v>
      </c>
      <c r="E1633" s="40">
        <v>300</v>
      </c>
      <c r="F1633" s="40">
        <f t="shared" si="118"/>
        <v>11250</v>
      </c>
      <c r="G1633" s="55">
        <v>0.5</v>
      </c>
      <c r="H1633" s="42">
        <f t="shared" si="119"/>
        <v>5625</v>
      </c>
    </row>
    <row r="1634" spans="1:10" ht="86.4" x14ac:dyDescent="0.3">
      <c r="A1634" s="53">
        <v>4</v>
      </c>
      <c r="B1634" s="53" t="s">
        <v>1572</v>
      </c>
      <c r="C1634" s="40">
        <v>1</v>
      </c>
      <c r="D1634" s="91">
        <v>313</v>
      </c>
      <c r="E1634" s="40">
        <v>400</v>
      </c>
      <c r="F1634" s="40">
        <f t="shared" si="118"/>
        <v>125200</v>
      </c>
      <c r="G1634" s="55">
        <v>0.5</v>
      </c>
      <c r="H1634" s="42">
        <f t="shared" si="119"/>
        <v>62600</v>
      </c>
    </row>
    <row r="1635" spans="1:10" ht="100.8" x14ac:dyDescent="0.3">
      <c r="A1635" s="53">
        <v>5</v>
      </c>
      <c r="B1635" s="53" t="s">
        <v>1573</v>
      </c>
      <c r="C1635" s="40">
        <v>1</v>
      </c>
      <c r="D1635" s="91">
        <v>188.59</v>
      </c>
      <c r="E1635" s="40">
        <v>150</v>
      </c>
      <c r="F1635" s="40">
        <f t="shared" si="118"/>
        <v>28288.5</v>
      </c>
      <c r="G1635" s="55">
        <v>0.5</v>
      </c>
      <c r="H1635" s="42">
        <f t="shared" si="119"/>
        <v>14144.25</v>
      </c>
    </row>
    <row r="1636" spans="1:10" ht="115.2" x14ac:dyDescent="0.3">
      <c r="A1636" s="53">
        <v>6</v>
      </c>
      <c r="B1636" s="53" t="s">
        <v>1574</v>
      </c>
      <c r="C1636" s="40">
        <v>1</v>
      </c>
      <c r="D1636" s="91">
        <v>219</v>
      </c>
      <c r="E1636" s="40">
        <v>300</v>
      </c>
      <c r="F1636" s="40">
        <f t="shared" si="118"/>
        <v>65700</v>
      </c>
      <c r="G1636" s="55">
        <v>0.5</v>
      </c>
      <c r="H1636" s="42">
        <f t="shared" si="119"/>
        <v>32850</v>
      </c>
    </row>
    <row r="1637" spans="1:10" ht="115.2" x14ac:dyDescent="0.3">
      <c r="A1637" s="53">
        <v>7</v>
      </c>
      <c r="B1637" s="53" t="s">
        <v>1752</v>
      </c>
      <c r="C1637" s="40">
        <v>1</v>
      </c>
      <c r="D1637" s="91">
        <v>127.6</v>
      </c>
      <c r="E1637" s="40">
        <v>150</v>
      </c>
      <c r="F1637" s="40">
        <f t="shared" si="118"/>
        <v>19140</v>
      </c>
      <c r="G1637" s="55">
        <v>0.5</v>
      </c>
      <c r="H1637" s="42">
        <f t="shared" si="119"/>
        <v>9570</v>
      </c>
    </row>
    <row r="1638" spans="1:10" ht="57.6" x14ac:dyDescent="0.3">
      <c r="A1638" s="53">
        <v>8</v>
      </c>
      <c r="B1638" s="53" t="s">
        <v>995</v>
      </c>
      <c r="C1638" s="40">
        <v>1</v>
      </c>
      <c r="D1638" s="91">
        <v>108.8</v>
      </c>
      <c r="E1638" s="40">
        <v>80</v>
      </c>
      <c r="F1638" s="40">
        <f t="shared" si="118"/>
        <v>8704</v>
      </c>
      <c r="G1638" s="55">
        <v>0.3</v>
      </c>
      <c r="H1638" s="42">
        <f t="shared" si="119"/>
        <v>6092.7999999999993</v>
      </c>
    </row>
    <row r="1639" spans="1:10" ht="86.4" x14ac:dyDescent="0.3">
      <c r="A1639" s="53">
        <v>9</v>
      </c>
      <c r="B1639" s="53" t="s">
        <v>1498</v>
      </c>
      <c r="C1639" s="40">
        <v>1</v>
      </c>
      <c r="D1639" s="91">
        <v>56</v>
      </c>
      <c r="E1639" s="40">
        <v>120</v>
      </c>
      <c r="F1639" s="40">
        <f t="shared" si="118"/>
        <v>6720</v>
      </c>
      <c r="G1639" s="55">
        <v>0.4</v>
      </c>
      <c r="H1639" s="42">
        <f t="shared" si="119"/>
        <v>4032</v>
      </c>
      <c r="I1639" s="37"/>
      <c r="J1639" s="37"/>
    </row>
    <row r="1640" spans="1:10" ht="115.2" x14ac:dyDescent="0.3">
      <c r="A1640" s="53">
        <v>10</v>
      </c>
      <c r="B1640" s="53" t="s">
        <v>1753</v>
      </c>
      <c r="C1640" s="40">
        <v>1</v>
      </c>
      <c r="D1640" s="91">
        <v>5844.56</v>
      </c>
      <c r="E1640" s="40">
        <v>600</v>
      </c>
      <c r="F1640" s="40">
        <f t="shared" si="118"/>
        <v>3506736.0000000005</v>
      </c>
      <c r="G1640" s="55">
        <v>0.4</v>
      </c>
      <c r="H1640" s="42">
        <f t="shared" si="119"/>
        <v>2104041.6</v>
      </c>
    </row>
    <row r="1641" spans="1:10" s="3" customFormat="1" ht="72" x14ac:dyDescent="0.3">
      <c r="A1641" s="53">
        <v>11</v>
      </c>
      <c r="B1641" s="53" t="s">
        <v>996</v>
      </c>
      <c r="C1641" s="40">
        <v>1</v>
      </c>
      <c r="D1641" s="91">
        <v>396.94</v>
      </c>
      <c r="E1641" s="40">
        <v>200</v>
      </c>
      <c r="F1641" s="40">
        <f t="shared" si="118"/>
        <v>79388</v>
      </c>
      <c r="G1641" s="55">
        <v>0.5</v>
      </c>
      <c r="H1641" s="42">
        <f t="shared" si="119"/>
        <v>39694</v>
      </c>
    </row>
    <row r="1642" spans="1:10" ht="57.6" x14ac:dyDescent="0.3">
      <c r="A1642" s="53">
        <v>12</v>
      </c>
      <c r="B1642" s="53" t="s">
        <v>997</v>
      </c>
      <c r="C1642" s="40">
        <v>1</v>
      </c>
      <c r="D1642" s="91">
        <v>161.5</v>
      </c>
      <c r="E1642" s="40">
        <v>200</v>
      </c>
      <c r="F1642" s="40">
        <f t="shared" si="118"/>
        <v>32300</v>
      </c>
      <c r="G1642" s="55">
        <v>0.4</v>
      </c>
      <c r="H1642" s="42">
        <f t="shared" si="119"/>
        <v>19380</v>
      </c>
    </row>
    <row r="1643" spans="1:10" ht="115.2" x14ac:dyDescent="0.3">
      <c r="A1643" s="53">
        <v>13</v>
      </c>
      <c r="B1643" s="53" t="s">
        <v>1754</v>
      </c>
      <c r="C1643" s="40">
        <v>1</v>
      </c>
      <c r="D1643" s="91">
        <v>28.71</v>
      </c>
      <c r="E1643" s="40">
        <v>200</v>
      </c>
      <c r="F1643" s="40">
        <f t="shared" si="118"/>
        <v>5742</v>
      </c>
      <c r="G1643" s="55">
        <v>0.5</v>
      </c>
      <c r="H1643" s="42">
        <f t="shared" si="119"/>
        <v>2871</v>
      </c>
    </row>
    <row r="1644" spans="1:10" ht="115.2" x14ac:dyDescent="0.3">
      <c r="A1644" s="53">
        <v>14</v>
      </c>
      <c r="B1644" s="53" t="s">
        <v>1755</v>
      </c>
      <c r="C1644" s="40">
        <v>1</v>
      </c>
      <c r="D1644" s="91">
        <v>650.79999999999995</v>
      </c>
      <c r="E1644" s="40">
        <v>250</v>
      </c>
      <c r="F1644" s="40">
        <f t="shared" si="118"/>
        <v>162700</v>
      </c>
      <c r="G1644" s="55">
        <v>0.5</v>
      </c>
      <c r="H1644" s="42">
        <f t="shared" si="119"/>
        <v>81350</v>
      </c>
    </row>
    <row r="1645" spans="1:10" ht="57.6" x14ac:dyDescent="0.3">
      <c r="A1645" s="53">
        <v>15</v>
      </c>
      <c r="B1645" s="53" t="s">
        <v>998</v>
      </c>
      <c r="C1645" s="40">
        <v>1</v>
      </c>
      <c r="D1645" s="91">
        <v>635.25</v>
      </c>
      <c r="E1645" s="40">
        <v>400</v>
      </c>
      <c r="F1645" s="40">
        <f t="shared" si="118"/>
        <v>254100</v>
      </c>
      <c r="G1645" s="55">
        <v>0.5</v>
      </c>
      <c r="H1645" s="42">
        <f t="shared" si="119"/>
        <v>127050</v>
      </c>
    </row>
    <row r="1646" spans="1:10" ht="129.6" x14ac:dyDescent="0.3">
      <c r="A1646" s="53">
        <v>16</v>
      </c>
      <c r="B1646" s="53" t="s">
        <v>1756</v>
      </c>
      <c r="C1646" s="40">
        <v>1</v>
      </c>
      <c r="D1646" s="91">
        <v>126.84</v>
      </c>
      <c r="E1646" s="40">
        <v>200</v>
      </c>
      <c r="F1646" s="40">
        <f t="shared" si="118"/>
        <v>25368</v>
      </c>
      <c r="G1646" s="55">
        <v>0.4</v>
      </c>
      <c r="H1646" s="42">
        <f t="shared" si="119"/>
        <v>15220.8</v>
      </c>
    </row>
    <row r="1647" spans="1:10" ht="115.2" x14ac:dyDescent="0.3">
      <c r="A1647" s="53">
        <v>17</v>
      </c>
      <c r="B1647" s="53" t="s">
        <v>1757</v>
      </c>
      <c r="C1647" s="40">
        <v>1</v>
      </c>
      <c r="D1647" s="91">
        <v>232.5</v>
      </c>
      <c r="E1647" s="40">
        <v>400</v>
      </c>
      <c r="F1647" s="40">
        <f t="shared" si="118"/>
        <v>93000</v>
      </c>
      <c r="G1647" s="55">
        <v>0.4</v>
      </c>
      <c r="H1647" s="42">
        <f t="shared" si="119"/>
        <v>55800</v>
      </c>
    </row>
    <row r="1648" spans="1:10" ht="115.2" x14ac:dyDescent="0.3">
      <c r="A1648" s="53">
        <v>18</v>
      </c>
      <c r="B1648" s="53" t="s">
        <v>1575</v>
      </c>
      <c r="C1648" s="40">
        <v>1</v>
      </c>
      <c r="D1648" s="91">
        <v>3442.5</v>
      </c>
      <c r="E1648" s="40">
        <v>350</v>
      </c>
      <c r="F1648" s="40">
        <f t="shared" si="118"/>
        <v>1204875</v>
      </c>
      <c r="G1648" s="55">
        <v>0.4</v>
      </c>
      <c r="H1648" s="42">
        <f t="shared" si="119"/>
        <v>722925</v>
      </c>
    </row>
    <row r="1649" spans="1:8" ht="115.2" x14ac:dyDescent="0.3">
      <c r="A1649" s="53">
        <v>19</v>
      </c>
      <c r="B1649" s="53" t="s">
        <v>1758</v>
      </c>
      <c r="C1649" s="40">
        <v>1</v>
      </c>
      <c r="D1649" s="91">
        <v>332.35</v>
      </c>
      <c r="E1649" s="40">
        <v>200</v>
      </c>
      <c r="F1649" s="40">
        <f t="shared" si="118"/>
        <v>66470</v>
      </c>
      <c r="G1649" s="55">
        <v>0.4</v>
      </c>
      <c r="H1649" s="42">
        <f t="shared" si="119"/>
        <v>39882</v>
      </c>
    </row>
    <row r="1650" spans="1:8" ht="43.2" x14ac:dyDescent="0.3">
      <c r="A1650" s="53">
        <v>20</v>
      </c>
      <c r="B1650" s="53" t="s">
        <v>999</v>
      </c>
      <c r="C1650" s="40">
        <v>1</v>
      </c>
      <c r="D1650" s="91">
        <v>115.8</v>
      </c>
      <c r="E1650" s="40">
        <v>50</v>
      </c>
      <c r="F1650" s="40">
        <f t="shared" si="118"/>
        <v>5790</v>
      </c>
      <c r="G1650" s="55">
        <v>0.4</v>
      </c>
      <c r="H1650" s="42">
        <f t="shared" si="119"/>
        <v>3474</v>
      </c>
    </row>
    <row r="1651" spans="1:8" ht="129.6" x14ac:dyDescent="0.3">
      <c r="A1651" s="53">
        <v>21</v>
      </c>
      <c r="B1651" s="53" t="s">
        <v>1576</v>
      </c>
      <c r="C1651" s="40">
        <v>1</v>
      </c>
      <c r="D1651" s="91">
        <v>115.8</v>
      </c>
      <c r="E1651" s="40">
        <v>200</v>
      </c>
      <c r="F1651" s="40">
        <f t="shared" si="118"/>
        <v>23160</v>
      </c>
      <c r="G1651" s="55">
        <v>0.4</v>
      </c>
      <c r="H1651" s="42">
        <f t="shared" si="119"/>
        <v>13896</v>
      </c>
    </row>
    <row r="1652" spans="1:8" ht="72" x14ac:dyDescent="0.3">
      <c r="A1652" s="53">
        <v>22</v>
      </c>
      <c r="B1652" s="53" t="s">
        <v>1427</v>
      </c>
      <c r="C1652" s="40">
        <v>1</v>
      </c>
      <c r="D1652" s="91">
        <v>19.95</v>
      </c>
      <c r="E1652" s="40">
        <v>200</v>
      </c>
      <c r="F1652" s="40">
        <f t="shared" si="118"/>
        <v>3990</v>
      </c>
      <c r="G1652" s="55">
        <v>0.4</v>
      </c>
      <c r="H1652" s="42">
        <f t="shared" si="119"/>
        <v>2394</v>
      </c>
    </row>
    <row r="1653" spans="1:8" x14ac:dyDescent="0.3">
      <c r="A1653" s="53">
        <v>23</v>
      </c>
      <c r="B1653" s="53" t="s">
        <v>1000</v>
      </c>
      <c r="C1653" s="40">
        <v>1</v>
      </c>
      <c r="D1653" s="91">
        <v>9745</v>
      </c>
      <c r="E1653" s="40">
        <v>50</v>
      </c>
      <c r="F1653" s="40">
        <f t="shared" si="118"/>
        <v>487250</v>
      </c>
      <c r="G1653" s="55">
        <v>0.4</v>
      </c>
      <c r="H1653" s="42">
        <f t="shared" si="119"/>
        <v>292350</v>
      </c>
    </row>
    <row r="1654" spans="1:8" ht="28.8" x14ac:dyDescent="0.3">
      <c r="A1654" s="53">
        <v>24</v>
      </c>
      <c r="B1654" s="53" t="s">
        <v>1462</v>
      </c>
      <c r="C1654" s="40">
        <v>1</v>
      </c>
      <c r="D1654" s="91">
        <v>227.98</v>
      </c>
      <c r="E1654" s="40">
        <v>45</v>
      </c>
      <c r="F1654" s="40">
        <f t="shared" si="118"/>
        <v>10259.1</v>
      </c>
      <c r="G1654" s="55">
        <v>0.4</v>
      </c>
      <c r="H1654" s="42">
        <f t="shared" si="119"/>
        <v>6155.46</v>
      </c>
    </row>
    <row r="1655" spans="1:8" x14ac:dyDescent="0.3">
      <c r="A1655" s="53"/>
      <c r="B1655" s="57" t="s">
        <v>7</v>
      </c>
      <c r="C1655" s="40"/>
      <c r="D1655" s="54"/>
      <c r="E1655" s="40"/>
      <c r="F1655" s="40"/>
      <c r="G1655" s="55"/>
      <c r="H1655" s="58">
        <f>SUM(H1631:H1654)</f>
        <v>3776363.9099999997</v>
      </c>
    </row>
    <row r="1656" spans="1:8" x14ac:dyDescent="0.3">
      <c r="A1656" s="53">
        <v>25</v>
      </c>
      <c r="B1656" s="57" t="s">
        <v>8</v>
      </c>
      <c r="C1656" s="40">
        <v>1</v>
      </c>
      <c r="D1656" s="54">
        <v>12994</v>
      </c>
      <c r="E1656" s="40">
        <v>5</v>
      </c>
      <c r="F1656" s="40">
        <f>(10000*5)+(2994*3.75)</f>
        <v>61227.5</v>
      </c>
      <c r="G1656" s="55">
        <v>0</v>
      </c>
      <c r="H1656" s="58">
        <f>(1-G1656)*F1656</f>
        <v>61227.5</v>
      </c>
    </row>
    <row r="1657" spans="1:8" x14ac:dyDescent="0.3">
      <c r="A1657" s="53"/>
      <c r="B1657" s="57" t="s">
        <v>9</v>
      </c>
      <c r="C1657" s="39"/>
      <c r="D1657" s="59"/>
      <c r="E1657" s="39"/>
      <c r="F1657" s="39"/>
      <c r="G1657" s="39"/>
      <c r="H1657" s="58">
        <f>H1655+H1656</f>
        <v>3837591.4099999997</v>
      </c>
    </row>
    <row r="1658" spans="1:8" x14ac:dyDescent="0.3">
      <c r="A1658" s="53"/>
      <c r="B1658" s="57"/>
      <c r="C1658" s="39"/>
      <c r="D1658" s="59"/>
      <c r="E1658" s="39"/>
      <c r="F1658" s="39"/>
      <c r="G1658" s="39"/>
      <c r="H1658" s="58"/>
    </row>
    <row r="1659" spans="1:8" x14ac:dyDescent="0.3">
      <c r="A1659" s="44"/>
      <c r="B1659" s="86">
        <v>5045</v>
      </c>
      <c r="C1659" s="44" t="s">
        <v>1250</v>
      </c>
      <c r="D1659" s="73"/>
      <c r="E1659" s="46" t="s">
        <v>85</v>
      </c>
      <c r="F1659" s="47"/>
      <c r="G1659" s="47"/>
      <c r="H1659" s="98"/>
    </row>
    <row r="1660" spans="1:8" x14ac:dyDescent="0.3">
      <c r="A1660" s="39"/>
      <c r="B1660" s="107" t="s">
        <v>0</v>
      </c>
      <c r="C1660" s="107" t="s">
        <v>1</v>
      </c>
      <c r="D1660" s="108" t="s">
        <v>2</v>
      </c>
      <c r="E1660" s="109" t="s">
        <v>3</v>
      </c>
      <c r="F1660" s="109" t="s">
        <v>4</v>
      </c>
      <c r="G1660" s="109" t="s">
        <v>5</v>
      </c>
      <c r="H1660" s="106" t="s">
        <v>6</v>
      </c>
    </row>
    <row r="1661" spans="1:8" ht="57.6" x14ac:dyDescent="0.3">
      <c r="A1661" s="40">
        <v>1</v>
      </c>
      <c r="B1661" s="110" t="s">
        <v>87</v>
      </c>
      <c r="C1661" s="40">
        <v>1</v>
      </c>
      <c r="D1661" s="54">
        <f>(16*13)</f>
        <v>208</v>
      </c>
      <c r="E1661" s="40">
        <v>300</v>
      </c>
      <c r="F1661" s="40">
        <f t="shared" ref="F1661:F1669" si="120">C1661*D1661*E1661</f>
        <v>62400</v>
      </c>
      <c r="G1661" s="55">
        <v>0.3</v>
      </c>
      <c r="H1661" s="42">
        <f t="shared" ref="H1661:H1667" si="121">F1661*(1-G1661)</f>
        <v>43680</v>
      </c>
    </row>
    <row r="1662" spans="1:8" ht="72" x14ac:dyDescent="0.3">
      <c r="A1662" s="40">
        <v>2</v>
      </c>
      <c r="B1662" s="110" t="s">
        <v>86</v>
      </c>
      <c r="C1662" s="40">
        <v>1</v>
      </c>
      <c r="D1662" s="54">
        <f>(62.8*12.8)</f>
        <v>803.84</v>
      </c>
      <c r="E1662" s="40">
        <v>400</v>
      </c>
      <c r="F1662" s="40">
        <f t="shared" si="120"/>
        <v>321536</v>
      </c>
      <c r="G1662" s="55">
        <v>0.3</v>
      </c>
      <c r="H1662" s="42">
        <f t="shared" si="121"/>
        <v>225075.19999999998</v>
      </c>
    </row>
    <row r="1663" spans="1:8" ht="72" x14ac:dyDescent="0.3">
      <c r="A1663" s="40">
        <v>2</v>
      </c>
      <c r="B1663" s="110" t="s">
        <v>88</v>
      </c>
      <c r="C1663" s="40">
        <v>1</v>
      </c>
      <c r="D1663" s="54">
        <f>19.5*5.2</f>
        <v>101.4</v>
      </c>
      <c r="E1663" s="40">
        <v>300</v>
      </c>
      <c r="F1663" s="40">
        <f t="shared" si="120"/>
        <v>30420</v>
      </c>
      <c r="G1663" s="55">
        <v>0.3</v>
      </c>
      <c r="H1663" s="42">
        <f t="shared" si="121"/>
        <v>21294</v>
      </c>
    </row>
    <row r="1664" spans="1:8" ht="72" x14ac:dyDescent="0.3">
      <c r="A1664" s="40">
        <v>3</v>
      </c>
      <c r="B1664" s="110" t="s">
        <v>89</v>
      </c>
      <c r="C1664" s="40">
        <v>1</v>
      </c>
      <c r="D1664" s="54">
        <v>23</v>
      </c>
      <c r="E1664" s="40">
        <v>200</v>
      </c>
      <c r="F1664" s="40">
        <f t="shared" si="120"/>
        <v>4600</v>
      </c>
      <c r="G1664" s="55">
        <v>0.3</v>
      </c>
      <c r="H1664" s="42">
        <f t="shared" si="121"/>
        <v>3220</v>
      </c>
    </row>
    <row r="1665" spans="1:8" ht="72" x14ac:dyDescent="0.3">
      <c r="A1665" s="40">
        <v>3</v>
      </c>
      <c r="B1665" s="110" t="s">
        <v>90</v>
      </c>
      <c r="C1665" s="40">
        <v>1</v>
      </c>
      <c r="D1665" s="54">
        <f>(7.5*3)+(2.5*2.5)</f>
        <v>28.75</v>
      </c>
      <c r="E1665" s="40">
        <v>200</v>
      </c>
      <c r="F1665" s="40">
        <f t="shared" si="120"/>
        <v>5750</v>
      </c>
      <c r="G1665" s="55">
        <v>0.3</v>
      </c>
      <c r="H1665" s="42">
        <f t="shared" si="121"/>
        <v>4024.9999999999995</v>
      </c>
    </row>
    <row r="1666" spans="1:8" ht="72" x14ac:dyDescent="0.3">
      <c r="A1666" s="40">
        <v>3</v>
      </c>
      <c r="B1666" s="110" t="s">
        <v>91</v>
      </c>
      <c r="C1666" s="40">
        <v>1</v>
      </c>
      <c r="D1666" s="54">
        <v>26.25</v>
      </c>
      <c r="E1666" s="40">
        <v>150</v>
      </c>
      <c r="F1666" s="40">
        <f t="shared" si="120"/>
        <v>3937.5</v>
      </c>
      <c r="G1666" s="55">
        <v>0.3</v>
      </c>
      <c r="H1666" s="42">
        <f t="shared" si="121"/>
        <v>2756.25</v>
      </c>
    </row>
    <row r="1667" spans="1:8" ht="72" x14ac:dyDescent="0.3">
      <c r="A1667" s="40">
        <v>4</v>
      </c>
      <c r="B1667" s="110" t="s">
        <v>92</v>
      </c>
      <c r="C1667" s="40">
        <v>1</v>
      </c>
      <c r="D1667" s="54">
        <f>2.3*3.6</f>
        <v>8.2799999999999994</v>
      </c>
      <c r="E1667" s="40">
        <v>150</v>
      </c>
      <c r="F1667" s="40">
        <f t="shared" si="120"/>
        <v>1242</v>
      </c>
      <c r="G1667" s="55">
        <v>0.3</v>
      </c>
      <c r="H1667" s="42">
        <f t="shared" si="121"/>
        <v>869.4</v>
      </c>
    </row>
    <row r="1668" spans="1:8" ht="57.6" x14ac:dyDescent="0.3">
      <c r="A1668" s="40">
        <v>5</v>
      </c>
      <c r="B1668" s="53" t="s">
        <v>79</v>
      </c>
      <c r="C1668" s="40">
        <v>1</v>
      </c>
      <c r="D1668" s="41">
        <v>35.75</v>
      </c>
      <c r="E1668" s="40">
        <v>50</v>
      </c>
      <c r="F1668" s="40">
        <f t="shared" si="120"/>
        <v>1787.5</v>
      </c>
      <c r="G1668" s="55">
        <v>0.5</v>
      </c>
      <c r="H1668" s="42">
        <f>(1-G1668)*F1668</f>
        <v>893.75</v>
      </c>
    </row>
    <row r="1669" spans="1:8" ht="28.8" x14ac:dyDescent="0.3">
      <c r="A1669" s="53">
        <v>6</v>
      </c>
      <c r="B1669" s="110" t="s">
        <v>93</v>
      </c>
      <c r="C1669" s="40">
        <v>1</v>
      </c>
      <c r="D1669" s="54">
        <v>867</v>
      </c>
      <c r="E1669" s="40">
        <v>22</v>
      </c>
      <c r="F1669" s="40">
        <f t="shared" si="120"/>
        <v>19074</v>
      </c>
      <c r="G1669" s="74">
        <v>0.5</v>
      </c>
      <c r="H1669" s="42">
        <f>F1669*(1-G1669)</f>
        <v>9537</v>
      </c>
    </row>
    <row r="1670" spans="1:8" x14ac:dyDescent="0.3">
      <c r="A1670" s="40"/>
      <c r="B1670" s="57" t="s">
        <v>7</v>
      </c>
      <c r="C1670" s="40"/>
      <c r="D1670" s="54"/>
      <c r="E1670" s="40"/>
      <c r="F1670" s="40"/>
      <c r="G1670" s="55"/>
      <c r="H1670" s="58">
        <f>SUM(H1661:H1669)</f>
        <v>311350.59999999998</v>
      </c>
    </row>
    <row r="1671" spans="1:8" x14ac:dyDescent="0.3">
      <c r="A1671" s="40">
        <v>7</v>
      </c>
      <c r="B1671" s="57" t="s">
        <v>8</v>
      </c>
      <c r="C1671" s="40">
        <v>1</v>
      </c>
      <c r="D1671" s="54">
        <v>46976</v>
      </c>
      <c r="E1671" s="40">
        <v>5</v>
      </c>
      <c r="F1671" s="40">
        <f>(5*10000)+(10000*3.75)+(10000*2.5)+(16976*1.25)</f>
        <v>133720</v>
      </c>
      <c r="G1671" s="55">
        <v>0</v>
      </c>
      <c r="H1671" s="58">
        <f>(1-G1671)*F1671</f>
        <v>133720</v>
      </c>
    </row>
    <row r="1672" spans="1:8" x14ac:dyDescent="0.3">
      <c r="A1672" s="51"/>
      <c r="B1672" s="57" t="s">
        <v>9</v>
      </c>
      <c r="C1672" s="39"/>
      <c r="D1672" s="59"/>
      <c r="E1672" s="39"/>
      <c r="F1672" s="39"/>
      <c r="G1672" s="39"/>
      <c r="H1672" s="58">
        <f>H1670+H1671</f>
        <v>445070.6</v>
      </c>
    </row>
    <row r="1673" spans="1:8" x14ac:dyDescent="0.3">
      <c r="A1673" s="51"/>
      <c r="B1673" s="57"/>
      <c r="C1673" s="39"/>
      <c r="D1673" s="59"/>
      <c r="E1673" s="39"/>
      <c r="F1673" s="39"/>
      <c r="G1673" s="39"/>
      <c r="H1673" s="58"/>
    </row>
    <row r="1674" spans="1:8" x14ac:dyDescent="0.3">
      <c r="A1674" s="184"/>
      <c r="B1674" s="182">
        <v>5059</v>
      </c>
      <c r="C1674" s="140" t="s">
        <v>1102</v>
      </c>
      <c r="D1674" s="141"/>
      <c r="E1674" s="140" t="s">
        <v>1108</v>
      </c>
      <c r="F1674" s="142"/>
      <c r="G1674" s="142"/>
      <c r="H1674" s="143"/>
    </row>
    <row r="1675" spans="1:8" x14ac:dyDescent="0.3">
      <c r="A1675" s="39"/>
      <c r="B1675" s="107" t="s">
        <v>10</v>
      </c>
      <c r="C1675" s="107" t="s">
        <v>1</v>
      </c>
      <c r="D1675" s="108" t="s">
        <v>2</v>
      </c>
      <c r="E1675" s="109" t="s">
        <v>3</v>
      </c>
      <c r="F1675" s="109" t="s">
        <v>4</v>
      </c>
      <c r="G1675" s="109" t="s">
        <v>5</v>
      </c>
      <c r="H1675" s="106" t="s">
        <v>6</v>
      </c>
    </row>
    <row r="1676" spans="1:8" ht="129.6" x14ac:dyDescent="0.3">
      <c r="A1676" s="53">
        <v>1</v>
      </c>
      <c r="B1676" s="53" t="s">
        <v>1851</v>
      </c>
      <c r="C1676" s="40">
        <v>1</v>
      </c>
      <c r="D1676" s="91">
        <v>288</v>
      </c>
      <c r="E1676" s="40">
        <v>600</v>
      </c>
      <c r="F1676" s="40">
        <f t="shared" ref="F1676:F1687" si="122">C1676*D1676*E1676</f>
        <v>172800</v>
      </c>
      <c r="G1676" s="55">
        <v>0.4</v>
      </c>
      <c r="H1676" s="42">
        <f t="shared" ref="H1676:H1687" si="123">F1676*(1-G1676)</f>
        <v>103680</v>
      </c>
    </row>
    <row r="1677" spans="1:8" ht="129.6" x14ac:dyDescent="0.3">
      <c r="A1677" s="53">
        <v>2</v>
      </c>
      <c r="B1677" s="53" t="s">
        <v>1877</v>
      </c>
      <c r="C1677" s="40">
        <v>1</v>
      </c>
      <c r="D1677" s="91">
        <v>237.48</v>
      </c>
      <c r="E1677" s="40">
        <v>400</v>
      </c>
      <c r="F1677" s="40">
        <f t="shared" si="122"/>
        <v>94992</v>
      </c>
      <c r="G1677" s="55">
        <v>0.5</v>
      </c>
      <c r="H1677" s="42">
        <f t="shared" si="123"/>
        <v>47496</v>
      </c>
    </row>
    <row r="1678" spans="1:8" ht="158.4" x14ac:dyDescent="0.3">
      <c r="A1678" s="53">
        <v>3</v>
      </c>
      <c r="B1678" s="53" t="s">
        <v>1852</v>
      </c>
      <c r="C1678" s="40">
        <v>1</v>
      </c>
      <c r="D1678" s="91">
        <v>1903.8</v>
      </c>
      <c r="E1678" s="40">
        <v>500</v>
      </c>
      <c r="F1678" s="40">
        <f t="shared" si="122"/>
        <v>951900</v>
      </c>
      <c r="G1678" s="55">
        <v>0.5</v>
      </c>
      <c r="H1678" s="42">
        <f t="shared" si="123"/>
        <v>475950</v>
      </c>
    </row>
    <row r="1679" spans="1:8" ht="129.6" x14ac:dyDescent="0.3">
      <c r="A1679" s="53">
        <v>4</v>
      </c>
      <c r="B1679" s="53" t="s">
        <v>1853</v>
      </c>
      <c r="C1679" s="40">
        <v>1</v>
      </c>
      <c r="D1679" s="91">
        <v>1603.45</v>
      </c>
      <c r="E1679" s="40">
        <v>650</v>
      </c>
      <c r="F1679" s="40">
        <f t="shared" si="122"/>
        <v>1042242.5</v>
      </c>
      <c r="G1679" s="55">
        <v>0.5</v>
      </c>
      <c r="H1679" s="42">
        <f t="shared" si="123"/>
        <v>521121.25</v>
      </c>
    </row>
    <row r="1680" spans="1:8" ht="129.6" x14ac:dyDescent="0.3">
      <c r="A1680" s="53">
        <v>5</v>
      </c>
      <c r="B1680" s="53" t="s">
        <v>1529</v>
      </c>
      <c r="C1680" s="40">
        <v>1</v>
      </c>
      <c r="D1680" s="91">
        <v>647.02</v>
      </c>
      <c r="E1680" s="40">
        <v>400</v>
      </c>
      <c r="F1680" s="40">
        <f t="shared" si="122"/>
        <v>258808</v>
      </c>
      <c r="G1680" s="55">
        <v>0.5</v>
      </c>
      <c r="H1680" s="42">
        <f t="shared" si="123"/>
        <v>129404</v>
      </c>
    </row>
    <row r="1681" spans="1:8" ht="43.2" x14ac:dyDescent="0.3">
      <c r="A1681" s="53">
        <v>6</v>
      </c>
      <c r="B1681" s="49" t="s">
        <v>1320</v>
      </c>
      <c r="C1681" s="40">
        <v>1</v>
      </c>
      <c r="D1681" s="91">
        <v>85.28</v>
      </c>
      <c r="E1681" s="40">
        <v>80</v>
      </c>
      <c r="F1681" s="40">
        <f t="shared" si="122"/>
        <v>6822.4</v>
      </c>
      <c r="G1681" s="55">
        <v>0.5</v>
      </c>
      <c r="H1681" s="42">
        <f t="shared" si="123"/>
        <v>3411.2</v>
      </c>
    </row>
    <row r="1682" spans="1:8" ht="43.2" x14ac:dyDescent="0.3">
      <c r="A1682" s="53">
        <v>7</v>
      </c>
      <c r="B1682" s="49" t="s">
        <v>1320</v>
      </c>
      <c r="C1682" s="40">
        <v>1</v>
      </c>
      <c r="D1682" s="91">
        <v>70.38</v>
      </c>
      <c r="E1682" s="40">
        <v>80</v>
      </c>
      <c r="F1682" s="40">
        <f t="shared" si="122"/>
        <v>5630.4</v>
      </c>
      <c r="G1682" s="55">
        <v>0.5</v>
      </c>
      <c r="H1682" s="42">
        <f t="shared" si="123"/>
        <v>2815.2</v>
      </c>
    </row>
    <row r="1683" spans="1:8" ht="57.6" x14ac:dyDescent="0.3">
      <c r="A1683" s="53">
        <v>8</v>
      </c>
      <c r="B1683" s="49" t="s">
        <v>1854</v>
      </c>
      <c r="C1683" s="40">
        <v>1</v>
      </c>
      <c r="D1683" s="91">
        <v>11.16</v>
      </c>
      <c r="E1683" s="40">
        <v>60</v>
      </c>
      <c r="F1683" s="40">
        <f t="shared" si="122"/>
        <v>669.6</v>
      </c>
      <c r="G1683" s="55">
        <v>0.5</v>
      </c>
      <c r="H1683" s="42">
        <f t="shared" si="123"/>
        <v>334.8</v>
      </c>
    </row>
    <row r="1684" spans="1:8" ht="57.6" x14ac:dyDescent="0.3">
      <c r="A1684" s="53">
        <v>9</v>
      </c>
      <c r="B1684" s="49" t="s">
        <v>1855</v>
      </c>
      <c r="C1684" s="40">
        <v>1</v>
      </c>
      <c r="D1684" s="91">
        <v>155.82</v>
      </c>
      <c r="E1684" s="40">
        <v>60</v>
      </c>
      <c r="F1684" s="40">
        <f t="shared" si="122"/>
        <v>9349.1999999999989</v>
      </c>
      <c r="G1684" s="55">
        <v>0.5</v>
      </c>
      <c r="H1684" s="42">
        <f t="shared" si="123"/>
        <v>4674.5999999999995</v>
      </c>
    </row>
    <row r="1685" spans="1:8" ht="57.6" x14ac:dyDescent="0.3">
      <c r="A1685" s="53">
        <v>10</v>
      </c>
      <c r="B1685" s="49" t="s">
        <v>1855</v>
      </c>
      <c r="C1685" s="40">
        <v>1</v>
      </c>
      <c r="D1685" s="91">
        <v>151.84</v>
      </c>
      <c r="E1685" s="40">
        <v>60</v>
      </c>
      <c r="F1685" s="40">
        <f t="shared" si="122"/>
        <v>9110.4</v>
      </c>
      <c r="G1685" s="55">
        <v>0.5</v>
      </c>
      <c r="H1685" s="42">
        <f t="shared" si="123"/>
        <v>4555.2</v>
      </c>
    </row>
    <row r="1686" spans="1:8" s="3" customFormat="1" ht="86.4" x14ac:dyDescent="0.3">
      <c r="A1686" s="53">
        <v>11</v>
      </c>
      <c r="B1686" s="53" t="s">
        <v>1082</v>
      </c>
      <c r="C1686" s="40">
        <v>1</v>
      </c>
      <c r="D1686" s="91">
        <v>9.3000000000000007</v>
      </c>
      <c r="E1686" s="40">
        <v>100</v>
      </c>
      <c r="F1686" s="40">
        <f t="shared" si="122"/>
        <v>930.00000000000011</v>
      </c>
      <c r="G1686" s="55">
        <v>0.5</v>
      </c>
      <c r="H1686" s="42">
        <f t="shared" si="123"/>
        <v>465.00000000000006</v>
      </c>
    </row>
    <row r="1687" spans="1:8" ht="43.2" x14ac:dyDescent="0.3">
      <c r="A1687" s="53">
        <v>12</v>
      </c>
      <c r="B1687" s="53" t="s">
        <v>1109</v>
      </c>
      <c r="C1687" s="40">
        <v>1</v>
      </c>
      <c r="D1687" s="91">
        <v>665.8</v>
      </c>
      <c r="E1687" s="40">
        <v>25</v>
      </c>
      <c r="F1687" s="40">
        <f t="shared" si="122"/>
        <v>16645</v>
      </c>
      <c r="G1687" s="55">
        <v>0.4</v>
      </c>
      <c r="H1687" s="42">
        <f t="shared" si="123"/>
        <v>9987</v>
      </c>
    </row>
    <row r="1688" spans="1:8" x14ac:dyDescent="0.3">
      <c r="A1688" s="53"/>
      <c r="B1688" s="57" t="s">
        <v>7</v>
      </c>
      <c r="C1688" s="40"/>
      <c r="D1688" s="54"/>
      <c r="E1688" s="40"/>
      <c r="F1688" s="40"/>
      <c r="G1688" s="55"/>
      <c r="H1688" s="58">
        <f>SUM(H1676:H1687)</f>
        <v>1303894.25</v>
      </c>
    </row>
    <row r="1689" spans="1:8" x14ac:dyDescent="0.3">
      <c r="A1689" s="53">
        <v>13</v>
      </c>
      <c r="B1689" s="57" t="s">
        <v>8</v>
      </c>
      <c r="C1689" s="40">
        <v>1</v>
      </c>
      <c r="D1689" s="54">
        <v>27704</v>
      </c>
      <c r="E1689" s="40">
        <v>15</v>
      </c>
      <c r="F1689" s="40">
        <f>(10000*5)+(1000*3.75)+7704*2.5</f>
        <v>73010</v>
      </c>
      <c r="G1689" s="55">
        <v>0</v>
      </c>
      <c r="H1689" s="58">
        <f>(1-G1689)*F1689</f>
        <v>73010</v>
      </c>
    </row>
    <row r="1690" spans="1:8" x14ac:dyDescent="0.3">
      <c r="A1690" s="82"/>
      <c r="B1690" s="57" t="s">
        <v>9</v>
      </c>
      <c r="C1690" s="39"/>
      <c r="D1690" s="59"/>
      <c r="E1690" s="39"/>
      <c r="F1690" s="39"/>
      <c r="G1690" s="39"/>
      <c r="H1690" s="58">
        <f>H1688+H1689</f>
        <v>1376904.25</v>
      </c>
    </row>
    <row r="1691" spans="1:8" x14ac:dyDescent="0.3">
      <c r="A1691" s="47"/>
      <c r="B1691" s="176">
        <v>5065</v>
      </c>
      <c r="C1691" s="47" t="s">
        <v>566</v>
      </c>
      <c r="D1691" s="156"/>
      <c r="E1691" s="47" t="s">
        <v>567</v>
      </c>
      <c r="F1691" s="185"/>
      <c r="G1691" s="47"/>
      <c r="H1691" s="98"/>
    </row>
    <row r="1692" spans="1:8" x14ac:dyDescent="0.3">
      <c r="A1692" s="165"/>
      <c r="B1692" s="177" t="s">
        <v>10</v>
      </c>
      <c r="C1692" s="166" t="s">
        <v>1</v>
      </c>
      <c r="D1692" s="167" t="s">
        <v>2</v>
      </c>
      <c r="E1692" s="165" t="s">
        <v>3</v>
      </c>
      <c r="F1692" s="178" t="s">
        <v>4</v>
      </c>
      <c r="G1692" s="165" t="s">
        <v>5</v>
      </c>
      <c r="H1692" s="168" t="s">
        <v>6</v>
      </c>
    </row>
    <row r="1693" spans="1:8" ht="86.4" x14ac:dyDescent="0.3">
      <c r="A1693" s="40">
        <v>1</v>
      </c>
      <c r="B1693" s="64" t="s">
        <v>1658</v>
      </c>
      <c r="C1693" s="40">
        <v>1</v>
      </c>
      <c r="D1693" s="41">
        <v>190</v>
      </c>
      <c r="E1693" s="40">
        <v>600</v>
      </c>
      <c r="F1693" s="68">
        <f t="shared" ref="F1693:F1701" si="124">C1693*D1693*E1693</f>
        <v>114000</v>
      </c>
      <c r="G1693" s="55">
        <v>0.5</v>
      </c>
      <c r="H1693" s="42">
        <f>(1-G1693)*F1693</f>
        <v>57000</v>
      </c>
    </row>
    <row r="1694" spans="1:8" ht="43.2" x14ac:dyDescent="0.3">
      <c r="A1694" s="40">
        <v>2</v>
      </c>
      <c r="B1694" s="144" t="s">
        <v>568</v>
      </c>
      <c r="C1694" s="40">
        <v>1</v>
      </c>
      <c r="D1694" s="41">
        <v>1050</v>
      </c>
      <c r="E1694" s="40">
        <v>80</v>
      </c>
      <c r="F1694" s="68">
        <f t="shared" si="124"/>
        <v>84000</v>
      </c>
      <c r="G1694" s="55">
        <v>0.5</v>
      </c>
      <c r="H1694" s="42">
        <f t="shared" ref="H1694:H1701" si="125">(1-G1694)*F1694</f>
        <v>42000</v>
      </c>
    </row>
    <row r="1695" spans="1:8" ht="72" x14ac:dyDescent="0.3">
      <c r="A1695" s="40">
        <v>3</v>
      </c>
      <c r="B1695" s="144" t="s">
        <v>1405</v>
      </c>
      <c r="C1695" s="40">
        <v>1</v>
      </c>
      <c r="D1695" s="41">
        <v>630</v>
      </c>
      <c r="E1695" s="40">
        <v>450</v>
      </c>
      <c r="F1695" s="68">
        <f t="shared" si="124"/>
        <v>283500</v>
      </c>
      <c r="G1695" s="55">
        <v>0.5</v>
      </c>
      <c r="H1695" s="42">
        <f t="shared" si="125"/>
        <v>141750</v>
      </c>
    </row>
    <row r="1696" spans="1:8" ht="72" x14ac:dyDescent="0.3">
      <c r="A1696" s="40">
        <v>4</v>
      </c>
      <c r="B1696" s="144" t="s">
        <v>1829</v>
      </c>
      <c r="C1696" s="40">
        <v>1</v>
      </c>
      <c r="D1696" s="41">
        <v>132</v>
      </c>
      <c r="E1696" s="40">
        <v>300</v>
      </c>
      <c r="F1696" s="68">
        <f t="shared" si="124"/>
        <v>39600</v>
      </c>
      <c r="G1696" s="55">
        <v>0.5</v>
      </c>
      <c r="H1696" s="42">
        <f t="shared" si="125"/>
        <v>19800</v>
      </c>
    </row>
    <row r="1697" spans="1:8" ht="72" x14ac:dyDescent="0.3">
      <c r="A1697" s="40">
        <v>5</v>
      </c>
      <c r="B1697" s="144" t="s">
        <v>569</v>
      </c>
      <c r="C1697" s="40">
        <v>1</v>
      </c>
      <c r="D1697" s="41">
        <v>288</v>
      </c>
      <c r="E1697" s="40">
        <v>300</v>
      </c>
      <c r="F1697" s="68">
        <f t="shared" si="124"/>
        <v>86400</v>
      </c>
      <c r="G1697" s="55">
        <v>0.5</v>
      </c>
      <c r="H1697" s="42">
        <f t="shared" si="125"/>
        <v>43200</v>
      </c>
    </row>
    <row r="1698" spans="1:8" ht="72" x14ac:dyDescent="0.3">
      <c r="A1698" s="40">
        <v>6</v>
      </c>
      <c r="B1698" s="144" t="s">
        <v>570</v>
      </c>
      <c r="C1698" s="40">
        <v>1</v>
      </c>
      <c r="D1698" s="41">
        <v>70</v>
      </c>
      <c r="E1698" s="40">
        <v>300</v>
      </c>
      <c r="F1698" s="68">
        <f t="shared" si="124"/>
        <v>21000</v>
      </c>
      <c r="G1698" s="55">
        <v>0.5</v>
      </c>
      <c r="H1698" s="42">
        <f t="shared" si="125"/>
        <v>10500</v>
      </c>
    </row>
    <row r="1699" spans="1:8" ht="57.6" x14ac:dyDescent="0.3">
      <c r="A1699" s="40">
        <v>7</v>
      </c>
      <c r="B1699" s="144" t="s">
        <v>1828</v>
      </c>
      <c r="C1699" s="40">
        <v>1</v>
      </c>
      <c r="D1699" s="41">
        <v>30</v>
      </c>
      <c r="E1699" s="40">
        <v>50</v>
      </c>
      <c r="F1699" s="68">
        <f t="shared" si="124"/>
        <v>1500</v>
      </c>
      <c r="G1699" s="55">
        <v>0.5</v>
      </c>
      <c r="H1699" s="42">
        <f t="shared" si="125"/>
        <v>750</v>
      </c>
    </row>
    <row r="1700" spans="1:8" ht="57.6" x14ac:dyDescent="0.3">
      <c r="A1700" s="40">
        <v>8</v>
      </c>
      <c r="B1700" s="144" t="s">
        <v>571</v>
      </c>
      <c r="C1700" s="40">
        <v>1</v>
      </c>
      <c r="D1700" s="41">
        <v>12</v>
      </c>
      <c r="E1700" s="40">
        <v>100</v>
      </c>
      <c r="F1700" s="68">
        <f t="shared" si="124"/>
        <v>1200</v>
      </c>
      <c r="G1700" s="55">
        <v>0.5</v>
      </c>
      <c r="H1700" s="42">
        <f t="shared" si="125"/>
        <v>600</v>
      </c>
    </row>
    <row r="1701" spans="1:8" ht="28.8" x14ac:dyDescent="0.3">
      <c r="A1701" s="40">
        <v>9</v>
      </c>
      <c r="B1701" s="144" t="s">
        <v>572</v>
      </c>
      <c r="C1701" s="40">
        <v>1</v>
      </c>
      <c r="D1701" s="41">
        <v>54.53</v>
      </c>
      <c r="E1701" s="40">
        <v>22</v>
      </c>
      <c r="F1701" s="68">
        <f t="shared" si="124"/>
        <v>1199.6600000000001</v>
      </c>
      <c r="G1701" s="55">
        <v>0.6</v>
      </c>
      <c r="H1701" s="42">
        <f t="shared" si="125"/>
        <v>479.86400000000003</v>
      </c>
    </row>
    <row r="1702" spans="1:8" s="31" customFormat="1" x14ac:dyDescent="0.3">
      <c r="A1702" s="40"/>
      <c r="B1702" s="103" t="s">
        <v>11</v>
      </c>
      <c r="C1702" s="57"/>
      <c r="D1702" s="105"/>
      <c r="E1702" s="39"/>
      <c r="F1702" s="71"/>
      <c r="G1702" s="39"/>
      <c r="H1702" s="58">
        <f>SUM(H1693:H1701)</f>
        <v>316079.864</v>
      </c>
    </row>
    <row r="1703" spans="1:8" s="3" customFormat="1" x14ac:dyDescent="0.3">
      <c r="A1703" s="40">
        <v>10</v>
      </c>
      <c r="B1703" s="103" t="s">
        <v>8</v>
      </c>
      <c r="C1703" s="40">
        <v>1</v>
      </c>
      <c r="D1703" s="146">
        <v>90820</v>
      </c>
      <c r="E1703" s="40">
        <v>5</v>
      </c>
      <c r="F1703" s="68">
        <f>(10000*E1703)+(10000*E1703*0.75)+(10000*E1703*0.5)+(60820*E1703*0.25)</f>
        <v>188525</v>
      </c>
      <c r="G1703" s="55">
        <v>0</v>
      </c>
      <c r="H1703" s="58">
        <f>(1-G1703)*F1703</f>
        <v>188525</v>
      </c>
    </row>
    <row r="1704" spans="1:8" x14ac:dyDescent="0.3">
      <c r="A1704" s="40"/>
      <c r="B1704" s="103" t="s">
        <v>9</v>
      </c>
      <c r="C1704" s="39"/>
      <c r="D1704" s="105"/>
      <c r="E1704" s="39"/>
      <c r="F1704" s="71"/>
      <c r="G1704" s="39"/>
      <c r="H1704" s="58">
        <f>H1702+H1703</f>
        <v>504604.864</v>
      </c>
    </row>
    <row r="1705" spans="1:8" x14ac:dyDescent="0.3">
      <c r="A1705" s="60"/>
      <c r="B1705" s="176">
        <v>5080</v>
      </c>
      <c r="C1705" s="47" t="s">
        <v>486</v>
      </c>
      <c r="D1705" s="156"/>
      <c r="E1705" s="47" t="s">
        <v>559</v>
      </c>
      <c r="F1705" s="97"/>
      <c r="G1705" s="60"/>
      <c r="H1705" s="48"/>
    </row>
    <row r="1706" spans="1:8" x14ac:dyDescent="0.3">
      <c r="A1706" s="165"/>
      <c r="B1706" s="177" t="s">
        <v>10</v>
      </c>
      <c r="C1706" s="166" t="s">
        <v>1</v>
      </c>
      <c r="D1706" s="167" t="s">
        <v>2</v>
      </c>
      <c r="E1706" s="165" t="s">
        <v>3</v>
      </c>
      <c r="F1706" s="178" t="s">
        <v>4</v>
      </c>
      <c r="G1706" s="165" t="s">
        <v>5</v>
      </c>
      <c r="H1706" s="168" t="s">
        <v>6</v>
      </c>
    </row>
    <row r="1707" spans="1:8" ht="86.4" x14ac:dyDescent="0.3">
      <c r="A1707" s="40"/>
      <c r="B1707" s="66" t="s">
        <v>1659</v>
      </c>
      <c r="C1707" s="40">
        <v>1</v>
      </c>
      <c r="D1707" s="41">
        <v>313.60000000000002</v>
      </c>
      <c r="E1707" s="40">
        <v>300</v>
      </c>
      <c r="F1707" s="68">
        <f t="shared" ref="F1707:F1714" si="126">C1707*D1707*E1707</f>
        <v>94080</v>
      </c>
      <c r="G1707" s="55">
        <v>0.5</v>
      </c>
      <c r="H1707" s="42">
        <f>(1-G1707)*F1707</f>
        <v>47040</v>
      </c>
    </row>
    <row r="1708" spans="1:8" ht="72" x14ac:dyDescent="0.3">
      <c r="A1708" s="40">
        <v>2</v>
      </c>
      <c r="B1708" s="144" t="s">
        <v>560</v>
      </c>
      <c r="C1708" s="40">
        <v>1</v>
      </c>
      <c r="D1708" s="41">
        <v>222</v>
      </c>
      <c r="E1708" s="40">
        <v>300</v>
      </c>
      <c r="F1708" s="68">
        <f t="shared" si="126"/>
        <v>66600</v>
      </c>
      <c r="G1708" s="55">
        <v>0.5</v>
      </c>
      <c r="H1708" s="42">
        <f>(1-G1708)*F1709</f>
        <v>3000</v>
      </c>
    </row>
    <row r="1709" spans="1:8" ht="57.6" x14ac:dyDescent="0.3">
      <c r="A1709" s="40">
        <v>3</v>
      </c>
      <c r="B1709" s="144" t="s">
        <v>561</v>
      </c>
      <c r="C1709" s="40">
        <v>1</v>
      </c>
      <c r="D1709" s="41">
        <v>60</v>
      </c>
      <c r="E1709" s="40">
        <v>100</v>
      </c>
      <c r="F1709" s="68">
        <f t="shared" si="126"/>
        <v>6000</v>
      </c>
      <c r="G1709" s="55">
        <v>0.5</v>
      </c>
      <c r="H1709" s="42">
        <f>(1-G1709)*F1709</f>
        <v>3000</v>
      </c>
    </row>
    <row r="1710" spans="1:8" ht="57.6" x14ac:dyDescent="0.3">
      <c r="A1710" s="40">
        <v>4</v>
      </c>
      <c r="B1710" s="144" t="s">
        <v>562</v>
      </c>
      <c r="C1710" s="40">
        <v>1</v>
      </c>
      <c r="D1710" s="41">
        <v>25</v>
      </c>
      <c r="E1710" s="40">
        <v>100</v>
      </c>
      <c r="F1710" s="68">
        <f t="shared" si="126"/>
        <v>2500</v>
      </c>
      <c r="G1710" s="55">
        <v>0.5</v>
      </c>
      <c r="H1710" s="42">
        <f>(1-G1710)*F1710</f>
        <v>1250</v>
      </c>
    </row>
    <row r="1711" spans="1:8" ht="57.6" x14ac:dyDescent="0.3">
      <c r="A1711" s="53">
        <v>5</v>
      </c>
      <c r="B1711" s="144" t="s">
        <v>563</v>
      </c>
      <c r="C1711" s="40">
        <v>1</v>
      </c>
      <c r="D1711" s="54">
        <v>30</v>
      </c>
      <c r="E1711" s="40">
        <v>100</v>
      </c>
      <c r="F1711" s="68">
        <f t="shared" si="126"/>
        <v>3000</v>
      </c>
      <c r="G1711" s="74">
        <v>0.5</v>
      </c>
      <c r="H1711" s="42">
        <f>F1711*(1-G1711)</f>
        <v>1500</v>
      </c>
    </row>
    <row r="1712" spans="1:8" ht="43.2" x14ac:dyDescent="0.3">
      <c r="A1712" s="53">
        <v>6</v>
      </c>
      <c r="B1712" s="144" t="s">
        <v>564</v>
      </c>
      <c r="C1712" s="40">
        <v>1</v>
      </c>
      <c r="D1712" s="54">
        <v>40</v>
      </c>
      <c r="E1712" s="113">
        <v>50</v>
      </c>
      <c r="F1712" s="68">
        <f t="shared" si="126"/>
        <v>2000</v>
      </c>
      <c r="G1712" s="74">
        <v>0.5</v>
      </c>
      <c r="H1712" s="42">
        <f>F1712*(1-G1712)</f>
        <v>1000</v>
      </c>
    </row>
    <row r="1713" spans="1:8" ht="43.2" x14ac:dyDescent="0.3">
      <c r="A1713" s="53">
        <v>7</v>
      </c>
      <c r="B1713" s="144" t="s">
        <v>565</v>
      </c>
      <c r="C1713" s="40">
        <v>1</v>
      </c>
      <c r="D1713" s="54">
        <v>18</v>
      </c>
      <c r="E1713" s="113">
        <v>50</v>
      </c>
      <c r="F1713" s="68">
        <f t="shared" si="126"/>
        <v>900</v>
      </c>
      <c r="G1713" s="74">
        <v>0.5</v>
      </c>
      <c r="H1713" s="42">
        <f>F1713*(1-G1713)</f>
        <v>450</v>
      </c>
    </row>
    <row r="1714" spans="1:8" ht="28.8" x14ac:dyDescent="0.3">
      <c r="A1714" s="53">
        <v>8</v>
      </c>
      <c r="B1714" s="144" t="s">
        <v>419</v>
      </c>
      <c r="C1714" s="40">
        <v>1</v>
      </c>
      <c r="D1714" s="54">
        <f>46.3*4</f>
        <v>185.2</v>
      </c>
      <c r="E1714" s="113">
        <v>22</v>
      </c>
      <c r="F1714" s="68">
        <f t="shared" si="126"/>
        <v>4074.3999999999996</v>
      </c>
      <c r="G1714" s="74">
        <v>0.5</v>
      </c>
      <c r="H1714" s="42">
        <f>F1714*(1-G1714)</f>
        <v>2037.1999999999998</v>
      </c>
    </row>
    <row r="1715" spans="1:8" x14ac:dyDescent="0.3">
      <c r="A1715" s="40"/>
      <c r="B1715" s="103" t="s">
        <v>11</v>
      </c>
      <c r="C1715" s="57"/>
      <c r="D1715" s="105"/>
      <c r="E1715" s="39"/>
      <c r="F1715" s="71"/>
      <c r="G1715" s="39"/>
      <c r="H1715" s="58">
        <f>SUM(H1707:H1714)</f>
        <v>59277.2</v>
      </c>
    </row>
    <row r="1716" spans="1:8" x14ac:dyDescent="0.3">
      <c r="A1716" s="40">
        <v>9</v>
      </c>
      <c r="B1716" s="103" t="s">
        <v>8</v>
      </c>
      <c r="C1716" s="40">
        <v>1</v>
      </c>
      <c r="D1716" s="146">
        <v>2150</v>
      </c>
      <c r="E1716" s="40">
        <v>5</v>
      </c>
      <c r="F1716" s="68">
        <f>C1716*D1716*E1716</f>
        <v>10750</v>
      </c>
      <c r="G1716" s="55">
        <v>0</v>
      </c>
      <c r="H1716" s="42">
        <f>(1-G1716)*F1716</f>
        <v>10750</v>
      </c>
    </row>
    <row r="1717" spans="1:8" x14ac:dyDescent="0.3">
      <c r="A1717" s="39"/>
      <c r="B1717" s="103" t="s">
        <v>9</v>
      </c>
      <c r="C1717" s="39"/>
      <c r="D1717" s="105"/>
      <c r="E1717" s="39"/>
      <c r="F1717" s="71"/>
      <c r="G1717" s="39"/>
      <c r="H1717" s="58">
        <f>H1715+H1716</f>
        <v>70027.199999999997</v>
      </c>
    </row>
    <row r="1718" spans="1:8" x14ac:dyDescent="0.3">
      <c r="A1718" s="51"/>
      <c r="B1718" s="57"/>
      <c r="C1718" s="39"/>
      <c r="D1718" s="59"/>
      <c r="E1718" s="39"/>
      <c r="F1718" s="39"/>
      <c r="G1718" s="39"/>
      <c r="H1718" s="58"/>
    </row>
    <row r="1719" spans="1:8" x14ac:dyDescent="0.3">
      <c r="A1719" s="60"/>
      <c r="B1719" s="95">
        <v>5170</v>
      </c>
      <c r="C1719" s="47" t="s">
        <v>856</v>
      </c>
      <c r="D1719" s="156"/>
      <c r="E1719" s="47" t="s">
        <v>857</v>
      </c>
      <c r="F1719" s="47"/>
      <c r="G1719" s="60"/>
      <c r="H1719" s="48"/>
    </row>
    <row r="1720" spans="1:8" x14ac:dyDescent="0.3">
      <c r="A1720" s="83"/>
      <c r="B1720" s="151" t="s">
        <v>10</v>
      </c>
      <c r="C1720" s="173" t="s">
        <v>1</v>
      </c>
      <c r="D1720" s="174" t="s">
        <v>2</v>
      </c>
      <c r="E1720" s="151" t="s">
        <v>3</v>
      </c>
      <c r="F1720" s="151" t="s">
        <v>4</v>
      </c>
      <c r="G1720" s="151" t="s">
        <v>5</v>
      </c>
      <c r="H1720" s="175" t="s">
        <v>6</v>
      </c>
    </row>
    <row r="1721" spans="1:8" ht="72" x14ac:dyDescent="0.3">
      <c r="A1721" s="83">
        <v>1</v>
      </c>
      <c r="B1721" s="53" t="s">
        <v>1831</v>
      </c>
      <c r="C1721" s="40">
        <v>1</v>
      </c>
      <c r="D1721" s="41">
        <v>260</v>
      </c>
      <c r="E1721" s="40">
        <v>350</v>
      </c>
      <c r="F1721" s="40">
        <f t="shared" ref="F1721:F1728" si="127">C1721*D1721*E1721</f>
        <v>91000</v>
      </c>
      <c r="G1721" s="55">
        <v>0.6</v>
      </c>
      <c r="H1721" s="42">
        <f t="shared" ref="H1721:H1729" si="128">(1-G1721)*F1721</f>
        <v>36400</v>
      </c>
    </row>
    <row r="1722" spans="1:8" ht="86.4" x14ac:dyDescent="0.3">
      <c r="A1722" s="83">
        <v>2</v>
      </c>
      <c r="B1722" s="53" t="s">
        <v>1522</v>
      </c>
      <c r="C1722" s="40">
        <v>1</v>
      </c>
      <c r="D1722" s="41">
        <v>250</v>
      </c>
      <c r="E1722" s="40">
        <v>350</v>
      </c>
      <c r="F1722" s="40">
        <f t="shared" si="127"/>
        <v>87500</v>
      </c>
      <c r="G1722" s="55">
        <v>0.6</v>
      </c>
      <c r="H1722" s="42">
        <f t="shared" si="128"/>
        <v>35000</v>
      </c>
    </row>
    <row r="1723" spans="1:8" ht="72" x14ac:dyDescent="0.3">
      <c r="A1723" s="40">
        <v>3</v>
      </c>
      <c r="B1723" s="53" t="s">
        <v>858</v>
      </c>
      <c r="C1723" s="40">
        <v>1</v>
      </c>
      <c r="D1723" s="41">
        <v>108.24</v>
      </c>
      <c r="E1723" s="40">
        <v>150</v>
      </c>
      <c r="F1723" s="40">
        <f t="shared" si="127"/>
        <v>16236</v>
      </c>
      <c r="G1723" s="55">
        <v>0.6</v>
      </c>
      <c r="H1723" s="42">
        <f t="shared" si="128"/>
        <v>6494.4000000000005</v>
      </c>
    </row>
    <row r="1724" spans="1:8" ht="57.6" x14ac:dyDescent="0.3">
      <c r="A1724" s="40">
        <v>4</v>
      </c>
      <c r="B1724" s="53" t="s">
        <v>859</v>
      </c>
      <c r="C1724" s="40">
        <v>1</v>
      </c>
      <c r="D1724" s="41">
        <v>28.5</v>
      </c>
      <c r="E1724" s="40">
        <v>100</v>
      </c>
      <c r="F1724" s="40">
        <f t="shared" si="127"/>
        <v>2850</v>
      </c>
      <c r="G1724" s="55">
        <v>0.6</v>
      </c>
      <c r="H1724" s="42">
        <f t="shared" si="128"/>
        <v>1140</v>
      </c>
    </row>
    <row r="1725" spans="1:8" x14ac:dyDescent="0.3">
      <c r="A1725" s="39">
        <v>5</v>
      </c>
      <c r="B1725" s="53" t="s">
        <v>860</v>
      </c>
      <c r="C1725" s="40">
        <v>1</v>
      </c>
      <c r="D1725" s="41">
        <v>20000</v>
      </c>
      <c r="E1725" s="40">
        <v>0.5</v>
      </c>
      <c r="F1725" s="40">
        <f t="shared" si="127"/>
        <v>10000</v>
      </c>
      <c r="G1725" s="55">
        <v>0.6</v>
      </c>
      <c r="H1725" s="42">
        <f t="shared" si="128"/>
        <v>4000</v>
      </c>
    </row>
    <row r="1726" spans="1:8" x14ac:dyDescent="0.3">
      <c r="A1726" s="39">
        <v>6</v>
      </c>
      <c r="B1726" s="53" t="s">
        <v>861</v>
      </c>
      <c r="C1726" s="40">
        <v>1</v>
      </c>
      <c r="D1726" s="41">
        <v>4500</v>
      </c>
      <c r="E1726" s="40">
        <v>0.55000000000000004</v>
      </c>
      <c r="F1726" s="40">
        <f t="shared" si="127"/>
        <v>2475</v>
      </c>
      <c r="G1726" s="55">
        <v>0.6</v>
      </c>
      <c r="H1726" s="42">
        <f t="shared" si="128"/>
        <v>990</v>
      </c>
    </row>
    <row r="1727" spans="1:8" x14ac:dyDescent="0.3">
      <c r="A1727" s="151">
        <v>7</v>
      </c>
      <c r="B1727" s="53" t="s">
        <v>862</v>
      </c>
      <c r="C1727" s="40">
        <v>1</v>
      </c>
      <c r="D1727" s="41">
        <v>2200</v>
      </c>
      <c r="E1727" s="40">
        <v>0.65</v>
      </c>
      <c r="F1727" s="40">
        <f t="shared" si="127"/>
        <v>1430</v>
      </c>
      <c r="G1727" s="55">
        <v>0.6</v>
      </c>
      <c r="H1727" s="42">
        <f t="shared" si="128"/>
        <v>572</v>
      </c>
    </row>
    <row r="1728" spans="1:8" x14ac:dyDescent="0.3">
      <c r="A1728" s="83">
        <v>8</v>
      </c>
      <c r="B1728" s="53" t="s">
        <v>863</v>
      </c>
      <c r="C1728" s="40">
        <v>3</v>
      </c>
      <c r="D1728" s="41">
        <v>1</v>
      </c>
      <c r="E1728" s="40">
        <v>2500</v>
      </c>
      <c r="F1728" s="40">
        <f t="shared" si="127"/>
        <v>7500</v>
      </c>
      <c r="G1728" s="55">
        <v>0.6</v>
      </c>
      <c r="H1728" s="42">
        <f t="shared" si="128"/>
        <v>3000</v>
      </c>
    </row>
    <row r="1729" spans="1:8" x14ac:dyDescent="0.3">
      <c r="A1729" s="83">
        <v>9</v>
      </c>
      <c r="B1729" s="53" t="s">
        <v>864</v>
      </c>
      <c r="C1729" s="40">
        <v>1</v>
      </c>
      <c r="D1729" s="41">
        <v>186</v>
      </c>
      <c r="E1729" s="40">
        <v>40</v>
      </c>
      <c r="F1729" s="40">
        <f>C1729*D1729*E1729</f>
        <v>7440</v>
      </c>
      <c r="G1729" s="55">
        <v>0.6</v>
      </c>
      <c r="H1729" s="42">
        <f t="shared" si="128"/>
        <v>2976</v>
      </c>
    </row>
    <row r="1730" spans="1:8" x14ac:dyDescent="0.3">
      <c r="A1730" s="83"/>
      <c r="B1730" s="40" t="s">
        <v>11</v>
      </c>
      <c r="C1730" s="57"/>
      <c r="D1730" s="105"/>
      <c r="E1730" s="39"/>
      <c r="F1730" s="39"/>
      <c r="G1730" s="39"/>
      <c r="H1730" s="58">
        <f>SUM(H1721:H1729)</f>
        <v>90572.4</v>
      </c>
    </row>
    <row r="1731" spans="1:8" x14ac:dyDescent="0.3">
      <c r="A1731" s="83">
        <v>10</v>
      </c>
      <c r="B1731" s="40" t="s">
        <v>8</v>
      </c>
      <c r="C1731" s="40">
        <v>1</v>
      </c>
      <c r="D1731" s="146">
        <v>8637</v>
      </c>
      <c r="E1731" s="40">
        <v>5</v>
      </c>
      <c r="F1731" s="169">
        <f>C1731*D1731*E1731</f>
        <v>43185</v>
      </c>
      <c r="G1731" s="55">
        <v>0</v>
      </c>
      <c r="H1731" s="58">
        <f>(1-G1731)*F1731</f>
        <v>43185</v>
      </c>
    </row>
    <row r="1732" spans="1:8" s="3" customFormat="1" x14ac:dyDescent="0.3">
      <c r="A1732" s="83"/>
      <c r="B1732" s="39" t="s">
        <v>9</v>
      </c>
      <c r="C1732" s="39"/>
      <c r="D1732" s="105"/>
      <c r="E1732" s="39"/>
      <c r="F1732" s="170"/>
      <c r="G1732" s="39"/>
      <c r="H1732" s="58">
        <f>H1730+H1731</f>
        <v>133757.4</v>
      </c>
    </row>
    <row r="1733" spans="1:8" x14ac:dyDescent="0.3">
      <c r="A1733" s="43"/>
      <c r="B1733" s="62">
        <v>5173</v>
      </c>
      <c r="C1733" s="44" t="s">
        <v>1020</v>
      </c>
      <c r="D1733" s="73"/>
      <c r="E1733" s="44" t="s">
        <v>1021</v>
      </c>
      <c r="F1733" s="60"/>
      <c r="G1733" s="60"/>
      <c r="H1733" s="48"/>
    </row>
    <row r="1734" spans="1:8" x14ac:dyDescent="0.3">
      <c r="A1734" s="39"/>
      <c r="B1734" s="107" t="s">
        <v>10</v>
      </c>
      <c r="C1734" s="107" t="s">
        <v>1</v>
      </c>
      <c r="D1734" s="108" t="s">
        <v>2</v>
      </c>
      <c r="E1734" s="109" t="s">
        <v>3</v>
      </c>
      <c r="F1734" s="109" t="s">
        <v>4</v>
      </c>
      <c r="G1734" s="109" t="s">
        <v>5</v>
      </c>
      <c r="H1734" s="106" t="s">
        <v>6</v>
      </c>
    </row>
    <row r="1735" spans="1:8" ht="115.2" x14ac:dyDescent="0.3">
      <c r="A1735" s="53">
        <v>1</v>
      </c>
      <c r="B1735" s="53" t="s">
        <v>1832</v>
      </c>
      <c r="C1735" s="40">
        <v>1</v>
      </c>
      <c r="D1735" s="91">
        <v>103.5</v>
      </c>
      <c r="E1735" s="40">
        <v>400</v>
      </c>
      <c r="F1735" s="40">
        <f>C1735*D1735*E1735</f>
        <v>41400</v>
      </c>
      <c r="G1735" s="55">
        <v>0.5</v>
      </c>
      <c r="H1735" s="42">
        <f>F1735*(1-G1735)</f>
        <v>20700</v>
      </c>
    </row>
    <row r="1736" spans="1:8" ht="28.8" x14ac:dyDescent="0.3">
      <c r="A1736" s="53">
        <v>2</v>
      </c>
      <c r="B1736" s="53" t="s">
        <v>1022</v>
      </c>
      <c r="C1736" s="40">
        <v>1</v>
      </c>
      <c r="D1736" s="91">
        <v>250</v>
      </c>
      <c r="E1736" s="40">
        <v>400</v>
      </c>
      <c r="F1736" s="40">
        <f>C1736*D1736*E1736</f>
        <v>100000</v>
      </c>
      <c r="G1736" s="55">
        <v>0.8</v>
      </c>
      <c r="H1736" s="42">
        <f>F1736*(1-G1736)</f>
        <v>19999.999999999996</v>
      </c>
    </row>
    <row r="1737" spans="1:8" x14ac:dyDescent="0.3">
      <c r="A1737" s="53"/>
      <c r="B1737" s="57" t="s">
        <v>7</v>
      </c>
      <c r="C1737" s="40"/>
      <c r="D1737" s="54"/>
      <c r="E1737" s="40"/>
      <c r="F1737" s="40"/>
      <c r="G1737" s="55"/>
      <c r="H1737" s="58">
        <f>SUM(H1735:H1736)</f>
        <v>40700</v>
      </c>
    </row>
    <row r="1738" spans="1:8" x14ac:dyDescent="0.3">
      <c r="A1738" s="53">
        <v>3</v>
      </c>
      <c r="B1738" s="57" t="s">
        <v>8</v>
      </c>
      <c r="C1738" s="40">
        <v>1</v>
      </c>
      <c r="D1738" s="54">
        <v>8060</v>
      </c>
      <c r="E1738" s="40">
        <v>5</v>
      </c>
      <c r="F1738" s="40">
        <f>C1738*D1738*E1738</f>
        <v>40300</v>
      </c>
      <c r="G1738" s="55">
        <v>0</v>
      </c>
      <c r="H1738" s="58">
        <f>(1-G1738)*F1738</f>
        <v>40300</v>
      </c>
    </row>
    <row r="1739" spans="1:8" x14ac:dyDescent="0.3">
      <c r="A1739" s="53"/>
      <c r="B1739" s="57" t="s">
        <v>9</v>
      </c>
      <c r="C1739" s="39"/>
      <c r="D1739" s="59"/>
      <c r="E1739" s="39"/>
      <c r="F1739" s="39"/>
      <c r="G1739" s="39"/>
      <c r="H1739" s="58">
        <f>H1737+H1738</f>
        <v>81000</v>
      </c>
    </row>
    <row r="1740" spans="1:8" s="3" customFormat="1" x14ac:dyDescent="0.3">
      <c r="A1740" s="53"/>
      <c r="B1740" s="57"/>
      <c r="C1740" s="39"/>
      <c r="D1740" s="59"/>
      <c r="E1740" s="39"/>
      <c r="F1740" s="39"/>
      <c r="G1740" s="39"/>
      <c r="H1740" s="58"/>
    </row>
    <row r="1741" spans="1:8" x14ac:dyDescent="0.3">
      <c r="A1741" s="43"/>
      <c r="B1741" s="62">
        <v>5174</v>
      </c>
      <c r="C1741" s="44" t="s">
        <v>1020</v>
      </c>
      <c r="D1741" s="73"/>
      <c r="E1741" s="44" t="s">
        <v>1023</v>
      </c>
      <c r="F1741" s="60"/>
      <c r="G1741" s="60"/>
      <c r="H1741" s="48"/>
    </row>
    <row r="1742" spans="1:8" x14ac:dyDescent="0.3">
      <c r="A1742" s="39"/>
      <c r="B1742" s="107" t="s">
        <v>10</v>
      </c>
      <c r="C1742" s="107" t="s">
        <v>1</v>
      </c>
      <c r="D1742" s="108" t="s">
        <v>2</v>
      </c>
      <c r="E1742" s="109" t="s">
        <v>3</v>
      </c>
      <c r="F1742" s="109" t="s">
        <v>4</v>
      </c>
      <c r="G1742" s="109" t="s">
        <v>5</v>
      </c>
      <c r="H1742" s="106" t="s">
        <v>6</v>
      </c>
    </row>
    <row r="1743" spans="1:8" ht="115.2" x14ac:dyDescent="0.3">
      <c r="A1743" s="53">
        <v>1</v>
      </c>
      <c r="B1743" s="53" t="s">
        <v>1832</v>
      </c>
      <c r="C1743" s="40">
        <v>1</v>
      </c>
      <c r="D1743" s="91">
        <v>162.80000000000001</v>
      </c>
      <c r="E1743" s="40">
        <v>400</v>
      </c>
      <c r="F1743" s="40">
        <f>C1743*D1743*E1743</f>
        <v>65120.000000000007</v>
      </c>
      <c r="G1743" s="55">
        <v>0.4</v>
      </c>
      <c r="H1743" s="42">
        <f>F1743*(1-G1743)</f>
        <v>39072</v>
      </c>
    </row>
    <row r="1744" spans="1:8" ht="100.8" x14ac:dyDescent="0.3">
      <c r="A1744" s="53">
        <v>2</v>
      </c>
      <c r="B1744" s="53" t="s">
        <v>1611</v>
      </c>
      <c r="C1744" s="40">
        <v>1</v>
      </c>
      <c r="D1744" s="91">
        <v>225</v>
      </c>
      <c r="E1744" s="40">
        <v>450</v>
      </c>
      <c r="F1744" s="40">
        <f>C1744*D1744*E1744</f>
        <v>101250</v>
      </c>
      <c r="G1744" s="55">
        <v>0.4</v>
      </c>
      <c r="H1744" s="42">
        <f>F1744*(1-G1744)</f>
        <v>60750</v>
      </c>
    </row>
    <row r="1745" spans="1:18" ht="28.8" x14ac:dyDescent="0.3">
      <c r="A1745" s="53">
        <v>3</v>
      </c>
      <c r="B1745" s="53" t="s">
        <v>1473</v>
      </c>
      <c r="C1745" s="40">
        <v>1</v>
      </c>
      <c r="D1745" s="91">
        <v>265.22000000000003</v>
      </c>
      <c r="E1745" s="40">
        <v>35</v>
      </c>
      <c r="F1745" s="40">
        <f>C1745*D1745*E1745</f>
        <v>9282.7000000000007</v>
      </c>
      <c r="G1745" s="55">
        <v>0.4</v>
      </c>
      <c r="H1745" s="42">
        <f>F1745*(1-G1745)</f>
        <v>5569.62</v>
      </c>
    </row>
    <row r="1746" spans="1:18" x14ac:dyDescent="0.3">
      <c r="A1746" s="53"/>
      <c r="B1746" s="57" t="s">
        <v>7</v>
      </c>
      <c r="C1746" s="40"/>
      <c r="D1746" s="54"/>
      <c r="E1746" s="40"/>
      <c r="F1746" s="40"/>
      <c r="G1746" s="55"/>
      <c r="H1746" s="58">
        <f>SUM(H1743:H1745)</f>
        <v>105391.62</v>
      </c>
    </row>
    <row r="1747" spans="1:18" s="31" customFormat="1" x14ac:dyDescent="0.3">
      <c r="A1747" s="53">
        <v>4</v>
      </c>
      <c r="B1747" s="57" t="s">
        <v>8</v>
      </c>
      <c r="C1747" s="40">
        <v>1</v>
      </c>
      <c r="D1747" s="54">
        <v>17585</v>
      </c>
      <c r="E1747" s="40">
        <v>5</v>
      </c>
      <c r="F1747" s="68">
        <f>(10000*E1747)+(7585*E1747*0.75)</f>
        <v>78443.75</v>
      </c>
      <c r="G1747" s="55">
        <v>0</v>
      </c>
      <c r="H1747" s="58">
        <f>(1-G1747)*F1747</f>
        <v>78443.75</v>
      </c>
      <c r="I1747" s="37"/>
      <c r="J1747" s="37"/>
      <c r="K1747" s="37"/>
      <c r="L1747" s="37"/>
      <c r="M1747" s="37"/>
      <c r="N1747" s="37"/>
      <c r="O1747" s="37"/>
      <c r="P1747" s="37"/>
      <c r="Q1747" s="37"/>
      <c r="R1747" s="37"/>
    </row>
    <row r="1748" spans="1:18" s="3" customFormat="1" x14ac:dyDescent="0.3">
      <c r="A1748" s="53"/>
      <c r="B1748" s="57" t="s">
        <v>9</v>
      </c>
      <c r="C1748" s="39"/>
      <c r="D1748" s="59"/>
      <c r="E1748" s="39"/>
      <c r="F1748" s="39"/>
      <c r="G1748" s="39"/>
      <c r="H1748" s="58">
        <f>H1746+H1747</f>
        <v>183835.37</v>
      </c>
    </row>
    <row r="1749" spans="1:18" x14ac:dyDescent="0.3">
      <c r="A1749" s="60"/>
      <c r="B1749" s="95">
        <v>5175</v>
      </c>
      <c r="C1749" s="47" t="s">
        <v>865</v>
      </c>
      <c r="D1749" s="156"/>
      <c r="E1749" s="47" t="s">
        <v>866</v>
      </c>
      <c r="F1749" s="47"/>
      <c r="G1749" s="60"/>
      <c r="H1749" s="48"/>
    </row>
    <row r="1750" spans="1:18" x14ac:dyDescent="0.3">
      <c r="A1750" s="39"/>
      <c r="B1750" s="165" t="s">
        <v>10</v>
      </c>
      <c r="C1750" s="166" t="s">
        <v>1</v>
      </c>
      <c r="D1750" s="167" t="s">
        <v>2</v>
      </c>
      <c r="E1750" s="165" t="s">
        <v>3</v>
      </c>
      <c r="F1750" s="165" t="s">
        <v>4</v>
      </c>
      <c r="G1750" s="165" t="s">
        <v>5</v>
      </c>
      <c r="H1750" s="168" t="s">
        <v>6</v>
      </c>
    </row>
    <row r="1751" spans="1:18" ht="57.6" x14ac:dyDescent="0.3">
      <c r="A1751" s="40">
        <v>1</v>
      </c>
      <c r="B1751" s="53" t="s">
        <v>1524</v>
      </c>
      <c r="C1751" s="40">
        <v>1</v>
      </c>
      <c r="D1751" s="41">
        <v>732</v>
      </c>
      <c r="E1751" s="40">
        <v>350</v>
      </c>
      <c r="F1751" s="40">
        <f t="shared" ref="F1751:F1756" si="129">C1751*D1751*E1751</f>
        <v>256200</v>
      </c>
      <c r="G1751" s="55">
        <v>0.6</v>
      </c>
      <c r="H1751" s="255">
        <f t="shared" ref="H1751:H1756" si="130">(1-G1751)*F1751</f>
        <v>102480</v>
      </c>
    </row>
    <row r="1752" spans="1:18" ht="86.4" x14ac:dyDescent="0.3">
      <c r="A1752" s="40">
        <v>2</v>
      </c>
      <c r="B1752" s="53" t="s">
        <v>867</v>
      </c>
      <c r="C1752" s="40">
        <v>1</v>
      </c>
      <c r="D1752" s="41">
        <v>214.89</v>
      </c>
      <c r="E1752" s="40">
        <v>400</v>
      </c>
      <c r="F1752" s="40">
        <f t="shared" si="129"/>
        <v>85956</v>
      </c>
      <c r="G1752" s="55">
        <v>0.6</v>
      </c>
      <c r="H1752" s="255">
        <f t="shared" si="130"/>
        <v>34382.400000000001</v>
      </c>
    </row>
    <row r="1753" spans="1:18" ht="86.4" x14ac:dyDescent="0.3">
      <c r="A1753" s="151">
        <v>3</v>
      </c>
      <c r="B1753" s="53" t="s">
        <v>868</v>
      </c>
      <c r="C1753" s="40">
        <v>1</v>
      </c>
      <c r="D1753" s="41">
        <v>152.26</v>
      </c>
      <c r="E1753" s="40">
        <v>300</v>
      </c>
      <c r="F1753" s="40">
        <f t="shared" si="129"/>
        <v>45678</v>
      </c>
      <c r="G1753" s="55">
        <v>0.7</v>
      </c>
      <c r="H1753" s="255">
        <f t="shared" si="130"/>
        <v>13703.400000000001</v>
      </c>
    </row>
    <row r="1754" spans="1:18" ht="57.6" x14ac:dyDescent="0.3">
      <c r="A1754" s="83">
        <v>4</v>
      </c>
      <c r="B1754" s="53" t="s">
        <v>869</v>
      </c>
      <c r="C1754" s="40">
        <v>1</v>
      </c>
      <c r="D1754" s="41">
        <v>46.53</v>
      </c>
      <c r="E1754" s="40">
        <v>100</v>
      </c>
      <c r="F1754" s="40">
        <f t="shared" si="129"/>
        <v>4653</v>
      </c>
      <c r="G1754" s="55">
        <v>0.7</v>
      </c>
      <c r="H1754" s="255">
        <f t="shared" si="130"/>
        <v>1395.9000000000003</v>
      </c>
    </row>
    <row r="1755" spans="1:18" ht="28.8" x14ac:dyDescent="0.3">
      <c r="A1755" s="83">
        <v>5</v>
      </c>
      <c r="B1755" s="53" t="s">
        <v>1920</v>
      </c>
      <c r="C1755" s="40">
        <v>1</v>
      </c>
      <c r="D1755" s="41">
        <f>D1756*3</f>
        <v>198.75</v>
      </c>
      <c r="E1755" s="40">
        <v>45</v>
      </c>
      <c r="F1755" s="40">
        <f t="shared" si="129"/>
        <v>8943.75</v>
      </c>
      <c r="G1755" s="55">
        <v>0.6</v>
      </c>
      <c r="H1755" s="255">
        <f t="shared" si="130"/>
        <v>3577.5</v>
      </c>
    </row>
    <row r="1756" spans="1:18" ht="28.8" x14ac:dyDescent="0.3">
      <c r="A1756" s="83">
        <v>6</v>
      </c>
      <c r="B1756" s="53" t="s">
        <v>1921</v>
      </c>
      <c r="C1756" s="40">
        <v>1</v>
      </c>
      <c r="D1756" s="41">
        <v>66.25</v>
      </c>
      <c r="E1756" s="40">
        <v>22</v>
      </c>
      <c r="F1756" s="40">
        <f t="shared" si="129"/>
        <v>1457.5</v>
      </c>
      <c r="G1756" s="55">
        <v>0.6</v>
      </c>
      <c r="H1756" s="255">
        <f t="shared" si="130"/>
        <v>583</v>
      </c>
    </row>
    <row r="1757" spans="1:18" x14ac:dyDescent="0.3">
      <c r="A1757" s="83"/>
      <c r="B1757" s="40" t="s">
        <v>11</v>
      </c>
      <c r="C1757" s="57"/>
      <c r="D1757" s="105"/>
      <c r="E1757" s="39"/>
      <c r="F1757" s="39"/>
      <c r="G1757" s="39"/>
      <c r="H1757" s="157">
        <f>SUM(H1751:H1755)</f>
        <v>155539.19999999998</v>
      </c>
    </row>
    <row r="1758" spans="1:18" s="31" customFormat="1" x14ac:dyDescent="0.3">
      <c r="A1758" s="83">
        <v>7</v>
      </c>
      <c r="B1758" s="40" t="s">
        <v>8</v>
      </c>
      <c r="C1758" s="40">
        <v>1</v>
      </c>
      <c r="D1758" s="146">
        <v>17535</v>
      </c>
      <c r="E1758" s="40">
        <v>5</v>
      </c>
      <c r="F1758" s="169">
        <f>(10000*5)+(7535*3.75)</f>
        <v>78256.25</v>
      </c>
      <c r="G1758" s="55">
        <v>0</v>
      </c>
      <c r="H1758" s="157">
        <f>(1-G1758)*F1758</f>
        <v>78256.25</v>
      </c>
    </row>
    <row r="1759" spans="1:18" s="3" customFormat="1" x14ac:dyDescent="0.3">
      <c r="A1759" s="83"/>
      <c r="B1759" s="39" t="s">
        <v>9</v>
      </c>
      <c r="C1759" s="39"/>
      <c r="D1759" s="105"/>
      <c r="E1759" s="39"/>
      <c r="F1759" s="170"/>
      <c r="G1759" s="39"/>
      <c r="H1759" s="157">
        <f>H1757+H1758</f>
        <v>233795.44999999998</v>
      </c>
    </row>
    <row r="1760" spans="1:18" x14ac:dyDescent="0.3">
      <c r="A1760" s="60"/>
      <c r="B1760" s="95">
        <v>5176</v>
      </c>
      <c r="C1760" s="47" t="s">
        <v>870</v>
      </c>
      <c r="D1760" s="156"/>
      <c r="E1760" s="47" t="s">
        <v>871</v>
      </c>
      <c r="F1760" s="47"/>
      <c r="G1760" s="60"/>
      <c r="H1760" s="48"/>
    </row>
    <row r="1761" spans="1:8" x14ac:dyDescent="0.3">
      <c r="A1761" s="39"/>
      <c r="B1761" s="165" t="s">
        <v>10</v>
      </c>
      <c r="C1761" s="166" t="s">
        <v>1</v>
      </c>
      <c r="D1761" s="167" t="s">
        <v>2</v>
      </c>
      <c r="E1761" s="165" t="s">
        <v>3</v>
      </c>
      <c r="F1761" s="165" t="s">
        <v>4</v>
      </c>
      <c r="G1761" s="165" t="s">
        <v>5</v>
      </c>
      <c r="H1761" s="168" t="s">
        <v>6</v>
      </c>
    </row>
    <row r="1762" spans="1:8" ht="100.8" x14ac:dyDescent="0.3">
      <c r="A1762" s="40">
        <v>1</v>
      </c>
      <c r="B1762" s="53" t="s">
        <v>1795</v>
      </c>
      <c r="C1762" s="40">
        <v>1</v>
      </c>
      <c r="D1762" s="41">
        <v>391.83</v>
      </c>
      <c r="E1762" s="40">
        <v>400</v>
      </c>
      <c r="F1762" s="40">
        <f>C1762*D1762*E1762</f>
        <v>156732</v>
      </c>
      <c r="G1762" s="55">
        <v>0.5</v>
      </c>
      <c r="H1762" s="42">
        <f>(1-G1762)*F1762</f>
        <v>78366</v>
      </c>
    </row>
    <row r="1763" spans="1:8" ht="100.8" x14ac:dyDescent="0.3">
      <c r="A1763" s="40">
        <v>2</v>
      </c>
      <c r="B1763" s="53" t="s">
        <v>872</v>
      </c>
      <c r="C1763" s="40">
        <v>1</v>
      </c>
      <c r="D1763" s="41">
        <v>310.45</v>
      </c>
      <c r="E1763" s="40">
        <v>350</v>
      </c>
      <c r="F1763" s="40">
        <f>C1763*D1763*E1763</f>
        <v>108657.5</v>
      </c>
      <c r="G1763" s="55">
        <v>0.5</v>
      </c>
      <c r="H1763" s="42">
        <f>(1-G1763)*F1763</f>
        <v>54328.75</v>
      </c>
    </row>
    <row r="1764" spans="1:8" ht="43.2" x14ac:dyDescent="0.3">
      <c r="A1764" s="151">
        <v>3</v>
      </c>
      <c r="B1764" s="53" t="s">
        <v>1316</v>
      </c>
      <c r="C1764" s="40">
        <v>1</v>
      </c>
      <c r="D1764" s="41">
        <v>196.2</v>
      </c>
      <c r="E1764" s="40">
        <v>80</v>
      </c>
      <c r="F1764" s="40">
        <f>C1764*D1764*E1764</f>
        <v>15696</v>
      </c>
      <c r="G1764" s="55">
        <v>0.6</v>
      </c>
      <c r="H1764" s="42">
        <f>(1-G1764)*F1764</f>
        <v>6278.4000000000005</v>
      </c>
    </row>
    <row r="1765" spans="1:8" ht="57.6" x14ac:dyDescent="0.3">
      <c r="A1765" s="83">
        <v>4</v>
      </c>
      <c r="B1765" s="53" t="s">
        <v>873</v>
      </c>
      <c r="C1765" s="40">
        <v>1</v>
      </c>
      <c r="D1765" s="41">
        <v>17.36</v>
      </c>
      <c r="E1765" s="40">
        <v>100</v>
      </c>
      <c r="F1765" s="40">
        <f>C1765*D1765*E1765</f>
        <v>1736</v>
      </c>
      <c r="G1765" s="55">
        <v>0.6</v>
      </c>
      <c r="H1765" s="42">
        <f>(1-G1765)*F1765</f>
        <v>694.40000000000009</v>
      </c>
    </row>
    <row r="1766" spans="1:8" ht="43.2" x14ac:dyDescent="0.3">
      <c r="A1766" s="83">
        <v>5</v>
      </c>
      <c r="B1766" s="53" t="s">
        <v>1317</v>
      </c>
      <c r="C1766" s="40">
        <v>7</v>
      </c>
      <c r="D1766" s="41">
        <v>12.44</v>
      </c>
      <c r="E1766" s="40">
        <v>50</v>
      </c>
      <c r="F1766" s="40">
        <f>C1766*D1766*E1766</f>
        <v>4354</v>
      </c>
      <c r="G1766" s="55">
        <v>0.7</v>
      </c>
      <c r="H1766" s="42">
        <f>(1-G1766)*F1766</f>
        <v>1306.2000000000003</v>
      </c>
    </row>
    <row r="1767" spans="1:8" x14ac:dyDescent="0.3">
      <c r="A1767" s="40"/>
      <c r="B1767" s="40" t="s">
        <v>11</v>
      </c>
      <c r="C1767" s="57"/>
      <c r="D1767" s="105"/>
      <c r="E1767" s="39"/>
      <c r="F1767" s="39"/>
      <c r="G1767" s="39"/>
      <c r="H1767" s="58">
        <f>SUM(H1762:H1766)</f>
        <v>140973.75</v>
      </c>
    </row>
    <row r="1768" spans="1:8" x14ac:dyDescent="0.3">
      <c r="A1768" s="40">
        <v>6</v>
      </c>
      <c r="B1768" s="40" t="s">
        <v>8</v>
      </c>
      <c r="C1768" s="40">
        <v>1</v>
      </c>
      <c r="D1768" s="146">
        <v>3312</v>
      </c>
      <c r="E1768" s="40">
        <v>5</v>
      </c>
      <c r="F1768" s="169">
        <f>C1768*D1768*E1768</f>
        <v>16560</v>
      </c>
      <c r="G1768" s="55">
        <v>0</v>
      </c>
      <c r="H1768" s="58">
        <f>(1-G1768)*F1768</f>
        <v>16560</v>
      </c>
    </row>
    <row r="1769" spans="1:8" x14ac:dyDescent="0.3">
      <c r="A1769" s="39"/>
      <c r="B1769" s="39" t="s">
        <v>9</v>
      </c>
      <c r="C1769" s="39"/>
      <c r="D1769" s="105"/>
      <c r="E1769" s="39"/>
      <c r="F1769" s="170"/>
      <c r="G1769" s="39"/>
      <c r="H1769" s="58">
        <f>H1767+H1768</f>
        <v>157533.75</v>
      </c>
    </row>
    <row r="1770" spans="1:8" s="3" customFormat="1" x14ac:dyDescent="0.3">
      <c r="A1770" s="39"/>
      <c r="B1770" s="103"/>
      <c r="C1770" s="39"/>
      <c r="D1770" s="105"/>
      <c r="E1770" s="39"/>
      <c r="F1770" s="71"/>
      <c r="G1770" s="39"/>
      <c r="H1770" s="58"/>
    </row>
    <row r="1771" spans="1:8" x14ac:dyDescent="0.3">
      <c r="A1771" s="43"/>
      <c r="B1771" s="72" t="s">
        <v>1148</v>
      </c>
      <c r="C1771" s="44" t="s">
        <v>1835</v>
      </c>
      <c r="D1771" s="73"/>
      <c r="E1771" s="44" t="s">
        <v>1149</v>
      </c>
      <c r="F1771" s="60"/>
      <c r="G1771" s="60"/>
      <c r="H1771" s="48"/>
    </row>
    <row r="1772" spans="1:8" x14ac:dyDescent="0.3">
      <c r="A1772" s="39"/>
      <c r="B1772" s="107" t="s">
        <v>10</v>
      </c>
      <c r="C1772" s="107" t="s">
        <v>1</v>
      </c>
      <c r="D1772" s="108" t="s">
        <v>2</v>
      </c>
      <c r="E1772" s="109" t="s">
        <v>3</v>
      </c>
      <c r="F1772" s="109" t="s">
        <v>4</v>
      </c>
      <c r="G1772" s="109" t="s">
        <v>5</v>
      </c>
      <c r="H1772" s="106" t="s">
        <v>6</v>
      </c>
    </row>
    <row r="1773" spans="1:8" ht="100.8" x14ac:dyDescent="0.3">
      <c r="A1773" s="53">
        <v>1</v>
      </c>
      <c r="B1773" s="53" t="s">
        <v>1150</v>
      </c>
      <c r="C1773" s="40">
        <v>1</v>
      </c>
      <c r="D1773" s="91">
        <v>746.82</v>
      </c>
      <c r="E1773" s="40">
        <v>500</v>
      </c>
      <c r="F1773" s="40">
        <f>C1773*D1773*E1773</f>
        <v>373410</v>
      </c>
      <c r="G1773" s="55">
        <v>0.5</v>
      </c>
      <c r="H1773" s="42">
        <f t="shared" ref="H1773:H1784" si="131">F1773*(1-G1773)</f>
        <v>186705</v>
      </c>
    </row>
    <row r="1774" spans="1:8" ht="86.4" x14ac:dyDescent="0.3">
      <c r="A1774" s="53">
        <v>2</v>
      </c>
      <c r="B1774" s="53" t="s">
        <v>1793</v>
      </c>
      <c r="C1774" s="40">
        <v>1</v>
      </c>
      <c r="D1774" s="91">
        <v>103.87</v>
      </c>
      <c r="E1774" s="40">
        <v>200</v>
      </c>
      <c r="F1774" s="40">
        <f t="shared" ref="F1774:F1783" si="132">C1774*D1774*E1774</f>
        <v>20774</v>
      </c>
      <c r="G1774" s="55">
        <v>0.5</v>
      </c>
      <c r="H1774" s="42">
        <f t="shared" si="131"/>
        <v>10387</v>
      </c>
    </row>
    <row r="1775" spans="1:8" ht="100.8" x14ac:dyDescent="0.3">
      <c r="A1775" s="53">
        <v>3</v>
      </c>
      <c r="B1775" s="53" t="s">
        <v>1474</v>
      </c>
      <c r="C1775" s="40">
        <v>1</v>
      </c>
      <c r="D1775" s="91">
        <v>36.5</v>
      </c>
      <c r="E1775" s="40">
        <v>60</v>
      </c>
      <c r="F1775" s="40">
        <f t="shared" si="132"/>
        <v>2190</v>
      </c>
      <c r="G1775" s="55">
        <v>0.5</v>
      </c>
      <c r="H1775" s="42">
        <f t="shared" si="131"/>
        <v>1095</v>
      </c>
    </row>
    <row r="1776" spans="1:8" ht="86.4" x14ac:dyDescent="0.3">
      <c r="A1776" s="53">
        <v>4</v>
      </c>
      <c r="B1776" s="53" t="s">
        <v>1523</v>
      </c>
      <c r="C1776" s="40">
        <v>1</v>
      </c>
      <c r="D1776" s="91">
        <v>1650.6</v>
      </c>
      <c r="E1776" s="40">
        <v>200</v>
      </c>
      <c r="F1776" s="40">
        <f t="shared" si="132"/>
        <v>330120</v>
      </c>
      <c r="G1776" s="55">
        <v>0.5</v>
      </c>
      <c r="H1776" s="42">
        <f t="shared" si="131"/>
        <v>165060</v>
      </c>
    </row>
    <row r="1777" spans="1:8" ht="115.2" x14ac:dyDescent="0.3">
      <c r="A1777" s="53">
        <v>5</v>
      </c>
      <c r="B1777" s="53" t="s">
        <v>1151</v>
      </c>
      <c r="C1777" s="40">
        <v>1</v>
      </c>
      <c r="D1777" s="91">
        <v>255.5</v>
      </c>
      <c r="E1777" s="40">
        <v>300</v>
      </c>
      <c r="F1777" s="40">
        <f t="shared" si="132"/>
        <v>76650</v>
      </c>
      <c r="G1777" s="55">
        <v>0.5</v>
      </c>
      <c r="H1777" s="42">
        <f t="shared" si="131"/>
        <v>38325</v>
      </c>
    </row>
    <row r="1778" spans="1:8" ht="100.8" x14ac:dyDescent="0.3">
      <c r="A1778" s="53">
        <v>6</v>
      </c>
      <c r="B1778" s="53" t="s">
        <v>1152</v>
      </c>
      <c r="C1778" s="40">
        <v>1</v>
      </c>
      <c r="D1778" s="91">
        <v>10.4</v>
      </c>
      <c r="E1778" s="40">
        <v>150</v>
      </c>
      <c r="F1778" s="40">
        <f t="shared" si="132"/>
        <v>1560</v>
      </c>
      <c r="G1778" s="55">
        <v>0.5</v>
      </c>
      <c r="H1778" s="42">
        <f t="shared" si="131"/>
        <v>780</v>
      </c>
    </row>
    <row r="1779" spans="1:8" ht="57.6" x14ac:dyDescent="0.3">
      <c r="A1779" s="53">
        <v>7</v>
      </c>
      <c r="B1779" s="53" t="s">
        <v>1315</v>
      </c>
      <c r="C1779" s="40">
        <v>1</v>
      </c>
      <c r="D1779" s="91">
        <v>104.72</v>
      </c>
      <c r="E1779" s="40">
        <v>80</v>
      </c>
      <c r="F1779" s="40">
        <f t="shared" si="132"/>
        <v>8377.6</v>
      </c>
      <c r="G1779" s="55">
        <v>0.5</v>
      </c>
      <c r="H1779" s="42">
        <f t="shared" si="131"/>
        <v>4188.8</v>
      </c>
    </row>
    <row r="1780" spans="1:8" ht="57.6" x14ac:dyDescent="0.3">
      <c r="A1780" s="53">
        <v>8</v>
      </c>
      <c r="B1780" s="53" t="s">
        <v>1612</v>
      </c>
      <c r="C1780" s="40">
        <v>2</v>
      </c>
      <c r="D1780" s="91">
        <v>342</v>
      </c>
      <c r="E1780" s="40">
        <v>300</v>
      </c>
      <c r="F1780" s="40">
        <f t="shared" si="132"/>
        <v>205200</v>
      </c>
      <c r="G1780" s="55">
        <v>0.5</v>
      </c>
      <c r="H1780" s="42">
        <f t="shared" si="131"/>
        <v>102600</v>
      </c>
    </row>
    <row r="1781" spans="1:8" ht="100.8" x14ac:dyDescent="0.3">
      <c r="A1781" s="53">
        <v>10</v>
      </c>
      <c r="B1781" s="53" t="s">
        <v>1794</v>
      </c>
      <c r="C1781" s="40">
        <v>1</v>
      </c>
      <c r="D1781" s="91">
        <v>493.2</v>
      </c>
      <c r="E1781" s="40">
        <v>400</v>
      </c>
      <c r="F1781" s="40">
        <f t="shared" si="132"/>
        <v>197280</v>
      </c>
      <c r="G1781" s="55">
        <v>0.5</v>
      </c>
      <c r="H1781" s="42">
        <f t="shared" si="131"/>
        <v>98640</v>
      </c>
    </row>
    <row r="1782" spans="1:8" ht="72" x14ac:dyDescent="0.3">
      <c r="A1782" s="53">
        <v>11</v>
      </c>
      <c r="B1782" s="53" t="s">
        <v>1153</v>
      </c>
      <c r="C1782" s="40">
        <v>1</v>
      </c>
      <c r="D1782" s="91">
        <v>62.27</v>
      </c>
      <c r="E1782" s="40">
        <v>300</v>
      </c>
      <c r="F1782" s="40">
        <f t="shared" si="132"/>
        <v>18681</v>
      </c>
      <c r="G1782" s="55">
        <v>0.5</v>
      </c>
      <c r="H1782" s="42">
        <f t="shared" si="131"/>
        <v>9340.5</v>
      </c>
    </row>
    <row r="1783" spans="1:8" ht="57.6" x14ac:dyDescent="0.3">
      <c r="A1783" s="53">
        <v>12</v>
      </c>
      <c r="B1783" s="53" t="s">
        <v>1340</v>
      </c>
      <c r="C1783" s="40">
        <v>1</v>
      </c>
      <c r="D1783" s="91">
        <v>127.4</v>
      </c>
      <c r="E1783" s="40">
        <v>80</v>
      </c>
      <c r="F1783" s="40">
        <f t="shared" si="132"/>
        <v>10192</v>
      </c>
      <c r="G1783" s="55">
        <v>0.5</v>
      </c>
      <c r="H1783" s="42">
        <f t="shared" si="131"/>
        <v>5096</v>
      </c>
    </row>
    <row r="1784" spans="1:8" ht="28.8" x14ac:dyDescent="0.3">
      <c r="A1784" s="53">
        <v>13</v>
      </c>
      <c r="B1784" s="53" t="s">
        <v>1475</v>
      </c>
      <c r="C1784" s="40">
        <v>1</v>
      </c>
      <c r="D1784" s="91">
        <v>618.5</v>
      </c>
      <c r="E1784" s="40">
        <v>45</v>
      </c>
      <c r="F1784" s="40">
        <f>C1784*D1784*E1784</f>
        <v>27832.5</v>
      </c>
      <c r="G1784" s="55">
        <v>0.5</v>
      </c>
      <c r="H1784" s="42">
        <f t="shared" si="131"/>
        <v>13916.25</v>
      </c>
    </row>
    <row r="1785" spans="1:8" x14ac:dyDescent="0.3">
      <c r="A1785" s="53"/>
      <c r="B1785" s="57" t="s">
        <v>7</v>
      </c>
      <c r="C1785" s="40"/>
      <c r="D1785" s="54"/>
      <c r="E1785" s="40"/>
      <c r="F1785" s="40"/>
      <c r="G1785" s="55"/>
      <c r="H1785" s="58">
        <f>SUM(H1773:H1784)</f>
        <v>636133.55000000005</v>
      </c>
    </row>
    <row r="1786" spans="1:8" x14ac:dyDescent="0.3">
      <c r="A1786" s="53">
        <v>14</v>
      </c>
      <c r="B1786" s="57" t="s">
        <v>8</v>
      </c>
      <c r="C1786" s="40">
        <v>1</v>
      </c>
      <c r="D1786" s="54">
        <v>23908</v>
      </c>
      <c r="E1786" s="40">
        <v>5</v>
      </c>
      <c r="F1786" s="40">
        <f>(10000*5)+(10000*3.75)+(3908*2.5)</f>
        <v>97270</v>
      </c>
      <c r="G1786" s="55">
        <v>0</v>
      </c>
      <c r="H1786" s="58">
        <f>(1-G1786)*F1786</f>
        <v>97270</v>
      </c>
    </row>
    <row r="1787" spans="1:8" x14ac:dyDescent="0.3">
      <c r="A1787" s="57"/>
      <c r="B1787" s="57" t="s">
        <v>9</v>
      </c>
      <c r="C1787" s="39"/>
      <c r="D1787" s="59"/>
      <c r="E1787" s="39"/>
      <c r="F1787" s="39"/>
      <c r="G1787" s="39"/>
      <c r="H1787" s="58">
        <f>H1785+H1786</f>
        <v>733403.55</v>
      </c>
    </row>
    <row r="1788" spans="1:8" s="3" customFormat="1" x14ac:dyDescent="0.3">
      <c r="A1788" s="53"/>
      <c r="B1788" s="57"/>
      <c r="C1788" s="39"/>
      <c r="D1788" s="59"/>
      <c r="E1788" s="39"/>
      <c r="F1788" s="39"/>
      <c r="G1788" s="39"/>
      <c r="H1788" s="58"/>
    </row>
    <row r="1789" spans="1:8" x14ac:dyDescent="0.3">
      <c r="A1789" s="43"/>
      <c r="B1789" s="180">
        <v>5179</v>
      </c>
      <c r="C1789" s="44" t="s">
        <v>1836</v>
      </c>
      <c r="D1789" s="73"/>
      <c r="E1789" s="44" t="s">
        <v>1154</v>
      </c>
      <c r="F1789" s="60"/>
      <c r="G1789" s="60"/>
      <c r="H1789" s="48"/>
    </row>
    <row r="1790" spans="1:8" x14ac:dyDescent="0.3">
      <c r="A1790" s="39"/>
      <c r="B1790" s="107" t="s">
        <v>10</v>
      </c>
      <c r="C1790" s="107" t="s">
        <v>1</v>
      </c>
      <c r="D1790" s="108" t="s">
        <v>2</v>
      </c>
      <c r="E1790" s="109" t="s">
        <v>3</v>
      </c>
      <c r="F1790" s="109" t="s">
        <v>4</v>
      </c>
      <c r="G1790" s="109" t="s">
        <v>5</v>
      </c>
      <c r="H1790" s="106" t="s">
        <v>6</v>
      </c>
    </row>
    <row r="1791" spans="1:8" ht="115.2" x14ac:dyDescent="0.3">
      <c r="A1791" s="53">
        <v>1</v>
      </c>
      <c r="B1791" s="53" t="s">
        <v>1837</v>
      </c>
      <c r="C1791" s="40">
        <v>1</v>
      </c>
      <c r="D1791" s="54">
        <v>1664.78</v>
      </c>
      <c r="E1791" s="40">
        <v>600</v>
      </c>
      <c r="F1791" s="40">
        <f t="shared" ref="F1791:F1796" si="133">C1791*D1791*E1791</f>
        <v>998868</v>
      </c>
      <c r="G1791" s="55">
        <v>0.5</v>
      </c>
      <c r="H1791" s="136">
        <f t="shared" ref="H1791:H1796" si="134">F1791*(1-G1791)</f>
        <v>499434</v>
      </c>
    </row>
    <row r="1792" spans="1:8" ht="57.6" x14ac:dyDescent="0.3">
      <c r="A1792" s="53">
        <v>2</v>
      </c>
      <c r="B1792" s="53" t="s">
        <v>1341</v>
      </c>
      <c r="C1792" s="40">
        <v>1</v>
      </c>
      <c r="D1792" s="54">
        <v>120</v>
      </c>
      <c r="E1792" s="40">
        <v>50</v>
      </c>
      <c r="F1792" s="40">
        <f t="shared" si="133"/>
        <v>6000</v>
      </c>
      <c r="G1792" s="55">
        <v>0.5</v>
      </c>
      <c r="H1792" s="42">
        <f t="shared" si="134"/>
        <v>3000</v>
      </c>
    </row>
    <row r="1793" spans="1:8" ht="57.6" x14ac:dyDescent="0.3">
      <c r="A1793" s="53"/>
      <c r="B1793" s="53" t="s">
        <v>1342</v>
      </c>
      <c r="C1793" s="40">
        <v>1</v>
      </c>
      <c r="D1793" s="54">
        <v>60</v>
      </c>
      <c r="E1793" s="40">
        <v>50</v>
      </c>
      <c r="F1793" s="40">
        <f t="shared" si="133"/>
        <v>3000</v>
      </c>
      <c r="G1793" s="55">
        <v>0.5</v>
      </c>
      <c r="H1793" s="42">
        <f t="shared" si="134"/>
        <v>1500</v>
      </c>
    </row>
    <row r="1794" spans="1:8" ht="57.6" x14ac:dyDescent="0.3">
      <c r="A1794" s="53"/>
      <c r="B1794" s="53" t="s">
        <v>1342</v>
      </c>
      <c r="C1794" s="40">
        <v>1</v>
      </c>
      <c r="D1794" s="54">
        <v>66</v>
      </c>
      <c r="E1794" s="40">
        <v>50</v>
      </c>
      <c r="F1794" s="40">
        <f t="shared" si="133"/>
        <v>3300</v>
      </c>
      <c r="G1794" s="55">
        <v>0.5</v>
      </c>
      <c r="H1794" s="42">
        <f t="shared" si="134"/>
        <v>1650</v>
      </c>
    </row>
    <row r="1795" spans="1:8" ht="43.2" x14ac:dyDescent="0.3">
      <c r="A1795" s="53"/>
      <c r="B1795" s="53" t="s">
        <v>1155</v>
      </c>
      <c r="C1795" s="40">
        <v>1</v>
      </c>
      <c r="D1795" s="54">
        <f>83.69*2</f>
        <v>167.38</v>
      </c>
      <c r="E1795" s="40">
        <v>22</v>
      </c>
      <c r="F1795" s="40">
        <f t="shared" si="133"/>
        <v>3682.3599999999997</v>
      </c>
      <c r="G1795" s="55">
        <v>0.5</v>
      </c>
      <c r="H1795" s="42">
        <f t="shared" si="134"/>
        <v>1841.1799999999998</v>
      </c>
    </row>
    <row r="1796" spans="1:8" x14ac:dyDescent="0.3">
      <c r="A1796" s="53"/>
      <c r="B1796" s="53" t="s">
        <v>1838</v>
      </c>
      <c r="C1796" s="40">
        <v>1</v>
      </c>
      <c r="D1796" s="54">
        <f>83.69*2</f>
        <v>167.38</v>
      </c>
      <c r="E1796" s="40">
        <v>45</v>
      </c>
      <c r="F1796" s="40">
        <f t="shared" si="133"/>
        <v>7532.0999999999995</v>
      </c>
      <c r="G1796" s="55">
        <v>0.5</v>
      </c>
      <c r="H1796" s="42">
        <f t="shared" si="134"/>
        <v>3766.0499999999997</v>
      </c>
    </row>
    <row r="1797" spans="1:8" x14ac:dyDescent="0.3">
      <c r="A1797" s="53"/>
      <c r="B1797" s="57" t="s">
        <v>7</v>
      </c>
      <c r="C1797" s="40"/>
      <c r="D1797" s="54"/>
      <c r="E1797" s="40"/>
      <c r="F1797" s="40"/>
      <c r="G1797" s="55"/>
      <c r="H1797" s="58">
        <f>SUM(H1791:H1796)</f>
        <v>511191.23</v>
      </c>
    </row>
    <row r="1798" spans="1:8" x14ac:dyDescent="0.3">
      <c r="A1798" s="53">
        <v>1</v>
      </c>
      <c r="B1798" s="57" t="s">
        <v>8</v>
      </c>
      <c r="C1798" s="40">
        <v>1</v>
      </c>
      <c r="D1798" s="54">
        <v>7004</v>
      </c>
      <c r="E1798" s="40">
        <v>5</v>
      </c>
      <c r="F1798" s="40">
        <f>C1798*D1798*E1798</f>
        <v>35020</v>
      </c>
      <c r="G1798" s="55">
        <v>0</v>
      </c>
      <c r="H1798" s="58">
        <f>(1-G1798)*F1798</f>
        <v>35020</v>
      </c>
    </row>
    <row r="1799" spans="1:8" x14ac:dyDescent="0.3">
      <c r="A1799" s="53"/>
      <c r="B1799" s="57" t="s">
        <v>9</v>
      </c>
      <c r="C1799" s="39"/>
      <c r="D1799" s="59"/>
      <c r="E1799" s="39"/>
      <c r="F1799" s="39"/>
      <c r="G1799" s="39"/>
      <c r="H1799" s="58">
        <f>H1797+H1798</f>
        <v>546211.23</v>
      </c>
    </row>
    <row r="1800" spans="1:8" s="3" customFormat="1" x14ac:dyDescent="0.3">
      <c r="A1800" s="51"/>
      <c r="B1800" s="57"/>
      <c r="C1800" s="39"/>
      <c r="D1800" s="59"/>
      <c r="E1800" s="39"/>
      <c r="F1800" s="39"/>
      <c r="G1800" s="39"/>
      <c r="H1800" s="58"/>
    </row>
    <row r="1801" spans="1:8" x14ac:dyDescent="0.3">
      <c r="A1801" s="43"/>
      <c r="B1801" s="62">
        <v>5180</v>
      </c>
      <c r="C1801" s="44" t="s">
        <v>509</v>
      </c>
      <c r="D1801" s="73"/>
      <c r="E1801" s="44" t="s">
        <v>1988</v>
      </c>
      <c r="F1801" s="63"/>
      <c r="G1801" s="60"/>
      <c r="H1801" s="48"/>
    </row>
    <row r="1802" spans="1:8" x14ac:dyDescent="0.3">
      <c r="A1802" s="39"/>
      <c r="B1802" s="147" t="s">
        <v>0</v>
      </c>
      <c r="C1802" s="107" t="s">
        <v>1</v>
      </c>
      <c r="D1802" s="108" t="s">
        <v>2</v>
      </c>
      <c r="E1802" s="109" t="s">
        <v>3</v>
      </c>
      <c r="F1802" s="122" t="s">
        <v>4</v>
      </c>
      <c r="G1802" s="109" t="s">
        <v>5</v>
      </c>
      <c r="H1802" s="106" t="s">
        <v>6</v>
      </c>
    </row>
    <row r="1803" spans="1:8" ht="57.6" x14ac:dyDescent="0.3">
      <c r="A1803" s="53">
        <v>1</v>
      </c>
      <c r="B1803" s="144" t="s">
        <v>1436</v>
      </c>
      <c r="C1803" s="40">
        <v>1</v>
      </c>
      <c r="D1803" s="91">
        <v>48</v>
      </c>
      <c r="E1803" s="40">
        <v>60</v>
      </c>
      <c r="F1803" s="68">
        <f>C1803*D1803*E1803</f>
        <v>2880</v>
      </c>
      <c r="G1803" s="55">
        <v>0.5</v>
      </c>
      <c r="H1803" s="42">
        <f>F1803*(1-G1803)</f>
        <v>1440</v>
      </c>
    </row>
    <row r="1804" spans="1:8" ht="43.2" x14ac:dyDescent="0.3">
      <c r="A1804" s="53">
        <f>A1803+1</f>
        <v>2</v>
      </c>
      <c r="B1804" s="144" t="s">
        <v>573</v>
      </c>
      <c r="C1804" s="40">
        <v>1</v>
      </c>
      <c r="D1804" s="54">
        <v>247</v>
      </c>
      <c r="E1804" s="40">
        <v>200</v>
      </c>
      <c r="F1804" s="68">
        <f>C1804*D1804*E1804</f>
        <v>49400</v>
      </c>
      <c r="G1804" s="74">
        <v>0.5</v>
      </c>
      <c r="H1804" s="42">
        <f>F1804*(1-G1804)</f>
        <v>24700</v>
      </c>
    </row>
    <row r="1805" spans="1:8" ht="57.6" x14ac:dyDescent="0.3">
      <c r="A1805" s="53">
        <f>A1804+1</f>
        <v>3</v>
      </c>
      <c r="B1805" s="144" t="s">
        <v>574</v>
      </c>
      <c r="C1805" s="40">
        <v>1</v>
      </c>
      <c r="D1805" s="54">
        <v>7</v>
      </c>
      <c r="E1805" s="40">
        <v>100</v>
      </c>
      <c r="F1805" s="68">
        <f>C1805*D1805*E1805</f>
        <v>700</v>
      </c>
      <c r="G1805" s="74">
        <v>0.5</v>
      </c>
      <c r="H1805" s="42">
        <f>F1805*(1-G1805)</f>
        <v>350</v>
      </c>
    </row>
    <row r="1806" spans="1:8" ht="28.8" x14ac:dyDescent="0.3">
      <c r="A1806" s="53">
        <v>4</v>
      </c>
      <c r="B1806" s="144" t="s">
        <v>575</v>
      </c>
      <c r="C1806" s="40">
        <v>1</v>
      </c>
      <c r="D1806" s="54">
        <f>71.6*4</f>
        <v>286.39999999999998</v>
      </c>
      <c r="E1806" s="113">
        <v>22</v>
      </c>
      <c r="F1806" s="68">
        <f>C1806*D1806*E1806</f>
        <v>6300.7999999999993</v>
      </c>
      <c r="G1806" s="74">
        <v>0.5</v>
      </c>
      <c r="H1806" s="42">
        <f>F1806*(1-G1806)</f>
        <v>3150.3999999999996</v>
      </c>
    </row>
    <row r="1807" spans="1:8" x14ac:dyDescent="0.3">
      <c r="A1807" s="53"/>
      <c r="B1807" s="70" t="s">
        <v>7</v>
      </c>
      <c r="C1807" s="40"/>
      <c r="D1807" s="54"/>
      <c r="E1807" s="40"/>
      <c r="F1807" s="68"/>
      <c r="G1807" s="55"/>
      <c r="H1807" s="58">
        <f>SUM(H1803:H1806)</f>
        <v>29640.400000000001</v>
      </c>
    </row>
    <row r="1808" spans="1:8" x14ac:dyDescent="0.3">
      <c r="A1808" s="53">
        <v>5</v>
      </c>
      <c r="B1808" s="70" t="s">
        <v>8</v>
      </c>
      <c r="C1808" s="40">
        <v>1</v>
      </c>
      <c r="D1808" s="54">
        <v>5129.5</v>
      </c>
      <c r="E1808" s="40">
        <v>5</v>
      </c>
      <c r="F1808" s="68">
        <f>C1808*D1808*E1808</f>
        <v>25647.5</v>
      </c>
      <c r="G1808" s="55">
        <v>0</v>
      </c>
      <c r="H1808" s="58">
        <f>(1-G1808)*F1808</f>
        <v>25647.5</v>
      </c>
    </row>
    <row r="1809" spans="1:8" x14ac:dyDescent="0.3">
      <c r="A1809" s="53"/>
      <c r="B1809" s="70" t="s">
        <v>9</v>
      </c>
      <c r="C1809" s="39"/>
      <c r="D1809" s="59"/>
      <c r="E1809" s="39"/>
      <c r="F1809" s="71"/>
      <c r="G1809" s="39"/>
      <c r="H1809" s="58">
        <f>H1807+H1808</f>
        <v>55287.9</v>
      </c>
    </row>
    <row r="1810" spans="1:8" ht="28.8" x14ac:dyDescent="0.3">
      <c r="A1810" s="60"/>
      <c r="B1810" s="62">
        <v>5181</v>
      </c>
      <c r="C1810" s="86" t="s">
        <v>576</v>
      </c>
      <c r="D1810" s="156"/>
      <c r="E1810" s="44" t="s">
        <v>577</v>
      </c>
      <c r="F1810" s="63"/>
      <c r="G1810" s="60"/>
      <c r="H1810" s="48"/>
    </row>
    <row r="1811" spans="1:8" x14ac:dyDescent="0.3">
      <c r="A1811" s="39"/>
      <c r="B1811" s="147" t="s">
        <v>0</v>
      </c>
      <c r="C1811" s="107" t="s">
        <v>1</v>
      </c>
      <c r="D1811" s="108" t="s">
        <v>2</v>
      </c>
      <c r="E1811" s="109" t="s">
        <v>3</v>
      </c>
      <c r="F1811" s="122" t="s">
        <v>4</v>
      </c>
      <c r="G1811" s="109" t="s">
        <v>5</v>
      </c>
      <c r="H1811" s="106" t="s">
        <v>6</v>
      </c>
    </row>
    <row r="1812" spans="1:8" ht="86.4" x14ac:dyDescent="0.3">
      <c r="A1812" s="40">
        <v>1</v>
      </c>
      <c r="B1812" s="144" t="s">
        <v>1437</v>
      </c>
      <c r="C1812" s="40">
        <v>1</v>
      </c>
      <c r="D1812" s="41">
        <v>40.5</v>
      </c>
      <c r="E1812" s="40">
        <v>60</v>
      </c>
      <c r="F1812" s="68">
        <f>C1812*D1812*E1812</f>
        <v>2430</v>
      </c>
      <c r="G1812" s="55">
        <v>0.5</v>
      </c>
      <c r="H1812" s="42">
        <f>(1-G1812)*F1812</f>
        <v>1215</v>
      </c>
    </row>
    <row r="1813" spans="1:8" s="3" customFormat="1" ht="86.4" x14ac:dyDescent="0.3">
      <c r="A1813" s="40">
        <v>2</v>
      </c>
      <c r="B1813" s="144" t="s">
        <v>1438</v>
      </c>
      <c r="C1813" s="40">
        <v>1</v>
      </c>
      <c r="D1813" s="41">
        <v>38</v>
      </c>
      <c r="E1813" s="40">
        <v>60</v>
      </c>
      <c r="F1813" s="68">
        <f>C1813*D1813*E1813</f>
        <v>2280</v>
      </c>
      <c r="G1813" s="55">
        <v>0.5</v>
      </c>
      <c r="H1813" s="42">
        <f>(1-G1813)*F1813</f>
        <v>1140</v>
      </c>
    </row>
    <row r="1814" spans="1:8" ht="86.4" x14ac:dyDescent="0.3">
      <c r="A1814" s="40">
        <v>3</v>
      </c>
      <c r="B1814" s="144" t="s">
        <v>1439</v>
      </c>
      <c r="C1814" s="40">
        <v>1</v>
      </c>
      <c r="D1814" s="41">
        <v>90</v>
      </c>
      <c r="E1814" s="40">
        <v>60</v>
      </c>
      <c r="F1814" s="68">
        <f t="shared" ref="F1814:F1823" si="135">C1814*D1814*E1814</f>
        <v>5400</v>
      </c>
      <c r="G1814" s="55">
        <v>0.5</v>
      </c>
      <c r="H1814" s="42">
        <f t="shared" ref="H1814:H1823" si="136">(1-G1814)*F1814</f>
        <v>2700</v>
      </c>
    </row>
    <row r="1815" spans="1:8" ht="86.4" x14ac:dyDescent="0.3">
      <c r="A1815" s="40">
        <v>4</v>
      </c>
      <c r="B1815" s="144" t="s">
        <v>1440</v>
      </c>
      <c r="C1815" s="40">
        <v>1</v>
      </c>
      <c r="D1815" s="41">
        <v>75</v>
      </c>
      <c r="E1815" s="40">
        <v>60</v>
      </c>
      <c r="F1815" s="68">
        <f t="shared" si="135"/>
        <v>4500</v>
      </c>
      <c r="G1815" s="55">
        <v>0.5</v>
      </c>
      <c r="H1815" s="42">
        <f t="shared" si="136"/>
        <v>2250</v>
      </c>
    </row>
    <row r="1816" spans="1:8" ht="57.6" x14ac:dyDescent="0.3">
      <c r="A1816" s="40">
        <v>5</v>
      </c>
      <c r="B1816" s="144" t="s">
        <v>1406</v>
      </c>
      <c r="C1816" s="40">
        <v>1</v>
      </c>
      <c r="D1816" s="41">
        <v>423</v>
      </c>
      <c r="E1816" s="40">
        <v>150</v>
      </c>
      <c r="F1816" s="68">
        <f t="shared" si="135"/>
        <v>63450</v>
      </c>
      <c r="G1816" s="55">
        <v>0.5</v>
      </c>
      <c r="H1816" s="42">
        <f t="shared" si="136"/>
        <v>31725</v>
      </c>
    </row>
    <row r="1817" spans="1:8" ht="72" x14ac:dyDescent="0.3">
      <c r="A1817" s="40">
        <v>6</v>
      </c>
      <c r="B1817" s="144" t="s">
        <v>1407</v>
      </c>
      <c r="C1817" s="40">
        <v>1</v>
      </c>
      <c r="D1817" s="41">
        <v>2056</v>
      </c>
      <c r="E1817" s="40">
        <v>350</v>
      </c>
      <c r="F1817" s="68">
        <f t="shared" si="135"/>
        <v>719600</v>
      </c>
      <c r="G1817" s="55">
        <v>0.5</v>
      </c>
      <c r="H1817" s="42">
        <f t="shared" si="136"/>
        <v>359800</v>
      </c>
    </row>
    <row r="1818" spans="1:8" ht="57.6" x14ac:dyDescent="0.3">
      <c r="A1818" s="40">
        <v>7</v>
      </c>
      <c r="B1818" s="144" t="s">
        <v>578</v>
      </c>
      <c r="C1818" s="40">
        <v>1</v>
      </c>
      <c r="D1818" s="41">
        <v>50</v>
      </c>
      <c r="E1818" s="40">
        <v>100</v>
      </c>
      <c r="F1818" s="68">
        <f t="shared" si="135"/>
        <v>5000</v>
      </c>
      <c r="G1818" s="55">
        <v>0.5</v>
      </c>
      <c r="H1818" s="42">
        <f t="shared" si="136"/>
        <v>2500</v>
      </c>
    </row>
    <row r="1819" spans="1:8" ht="57.6" x14ac:dyDescent="0.3">
      <c r="A1819" s="40">
        <v>8</v>
      </c>
      <c r="B1819" s="144" t="s">
        <v>579</v>
      </c>
      <c r="C1819" s="40">
        <v>1</v>
      </c>
      <c r="D1819" s="41">
        <v>62.5</v>
      </c>
      <c r="E1819" s="40">
        <v>100</v>
      </c>
      <c r="F1819" s="68">
        <f t="shared" si="135"/>
        <v>6250</v>
      </c>
      <c r="G1819" s="55">
        <v>0.5</v>
      </c>
      <c r="H1819" s="42">
        <f t="shared" si="136"/>
        <v>3125</v>
      </c>
    </row>
    <row r="1820" spans="1:8" ht="43.2" x14ac:dyDescent="0.3">
      <c r="A1820" s="40">
        <v>9</v>
      </c>
      <c r="B1820" s="144" t="s">
        <v>580</v>
      </c>
      <c r="C1820" s="40">
        <v>1</v>
      </c>
      <c r="D1820" s="41">
        <v>45</v>
      </c>
      <c r="E1820" s="40">
        <v>50</v>
      </c>
      <c r="F1820" s="68">
        <f t="shared" si="135"/>
        <v>2250</v>
      </c>
      <c r="G1820" s="55">
        <v>0.5</v>
      </c>
      <c r="H1820" s="42">
        <f t="shared" si="136"/>
        <v>1125</v>
      </c>
    </row>
    <row r="1821" spans="1:8" ht="43.2" x14ac:dyDescent="0.3">
      <c r="A1821" s="40">
        <v>10</v>
      </c>
      <c r="B1821" s="144" t="s">
        <v>581</v>
      </c>
      <c r="C1821" s="40">
        <v>1</v>
      </c>
      <c r="D1821" s="41">
        <v>196</v>
      </c>
      <c r="E1821" s="40">
        <v>50</v>
      </c>
      <c r="F1821" s="68">
        <f t="shared" si="135"/>
        <v>9800</v>
      </c>
      <c r="G1821" s="55">
        <v>0.5</v>
      </c>
      <c r="H1821" s="42">
        <f t="shared" si="136"/>
        <v>4900</v>
      </c>
    </row>
    <row r="1822" spans="1:8" s="3" customFormat="1" ht="43.2" x14ac:dyDescent="0.3">
      <c r="A1822" s="40">
        <v>11</v>
      </c>
      <c r="B1822" s="144" t="s">
        <v>549</v>
      </c>
      <c r="C1822" s="40">
        <v>1</v>
      </c>
      <c r="D1822" s="41">
        <v>104</v>
      </c>
      <c r="E1822" s="40">
        <v>40</v>
      </c>
      <c r="F1822" s="68">
        <f t="shared" si="135"/>
        <v>4160</v>
      </c>
      <c r="G1822" s="55">
        <v>0.5</v>
      </c>
      <c r="H1822" s="42">
        <f t="shared" si="136"/>
        <v>2080</v>
      </c>
    </row>
    <row r="1823" spans="1:8" ht="57.6" x14ac:dyDescent="0.3">
      <c r="A1823" s="40">
        <v>12</v>
      </c>
      <c r="B1823" s="144" t="s">
        <v>1441</v>
      </c>
      <c r="C1823" s="40">
        <v>1</v>
      </c>
      <c r="D1823" s="41">
        <v>32</v>
      </c>
      <c r="E1823" s="40">
        <v>60</v>
      </c>
      <c r="F1823" s="68">
        <f t="shared" si="135"/>
        <v>1920</v>
      </c>
      <c r="G1823" s="55">
        <v>0.5</v>
      </c>
      <c r="H1823" s="42">
        <f t="shared" si="136"/>
        <v>960</v>
      </c>
    </row>
    <row r="1824" spans="1:8" ht="28.8" x14ac:dyDescent="0.3">
      <c r="A1824" s="53">
        <v>13</v>
      </c>
      <c r="B1824" s="144" t="s">
        <v>582</v>
      </c>
      <c r="C1824" s="40">
        <v>1</v>
      </c>
      <c r="D1824" s="54">
        <f>87.6*4</f>
        <v>350.4</v>
      </c>
      <c r="E1824" s="40">
        <v>22</v>
      </c>
      <c r="F1824" s="68">
        <f>C1824*D1824*E1824</f>
        <v>7708.7999999999993</v>
      </c>
      <c r="G1824" s="74">
        <v>0.5</v>
      </c>
      <c r="H1824" s="42">
        <f>F1824*(1-G1824)</f>
        <v>3854.3999999999996</v>
      </c>
    </row>
    <row r="1825" spans="1:8" x14ac:dyDescent="0.3">
      <c r="A1825" s="53"/>
      <c r="B1825" s="70" t="s">
        <v>7</v>
      </c>
      <c r="C1825" s="40"/>
      <c r="D1825" s="54"/>
      <c r="E1825" s="40"/>
      <c r="F1825" s="68"/>
      <c r="G1825" s="55"/>
      <c r="H1825" s="58">
        <f>SUM(H1812:H1824)</f>
        <v>417374.4</v>
      </c>
    </row>
    <row r="1826" spans="1:8" x14ac:dyDescent="0.3">
      <c r="A1826" s="53">
        <v>14</v>
      </c>
      <c r="B1826" s="70" t="s">
        <v>8</v>
      </c>
      <c r="C1826" s="40">
        <v>1</v>
      </c>
      <c r="D1826" s="54">
        <v>7675</v>
      </c>
      <c r="E1826" s="40">
        <v>5</v>
      </c>
      <c r="F1826" s="68">
        <f>C1826*D1826*E1826</f>
        <v>38375</v>
      </c>
      <c r="G1826" s="55">
        <v>0</v>
      </c>
      <c r="H1826" s="58">
        <f>(1-G1826)*F1826</f>
        <v>38375</v>
      </c>
    </row>
    <row r="1827" spans="1:8" x14ac:dyDescent="0.3">
      <c r="A1827" s="53"/>
      <c r="B1827" s="70" t="s">
        <v>9</v>
      </c>
      <c r="C1827" s="39"/>
      <c r="D1827" s="59"/>
      <c r="E1827" s="39"/>
      <c r="F1827" s="71"/>
      <c r="G1827" s="39"/>
      <c r="H1827" s="58">
        <f>H1825+H1826</f>
        <v>455749.4</v>
      </c>
    </row>
    <row r="1828" spans="1:8" x14ac:dyDescent="0.3">
      <c r="A1828" s="53"/>
      <c r="B1828" s="70"/>
      <c r="C1828" s="39"/>
      <c r="D1828" s="59"/>
      <c r="E1828" s="39"/>
      <c r="F1828" s="71"/>
      <c r="G1828" s="39"/>
      <c r="H1828" s="58"/>
    </row>
    <row r="1829" spans="1:8" x14ac:dyDescent="0.3">
      <c r="A1829" s="43"/>
      <c r="B1829" s="72" t="s">
        <v>1535</v>
      </c>
      <c r="C1829" s="44" t="s">
        <v>486</v>
      </c>
      <c r="D1829" s="111"/>
      <c r="E1829" s="44" t="s">
        <v>487</v>
      </c>
      <c r="F1829" s="63"/>
      <c r="G1829" s="60"/>
      <c r="H1829" s="48"/>
    </row>
    <row r="1830" spans="1:8" x14ac:dyDescent="0.3">
      <c r="A1830" s="39"/>
      <c r="B1830" s="147" t="s">
        <v>10</v>
      </c>
      <c r="C1830" s="107" t="s">
        <v>1</v>
      </c>
      <c r="D1830" s="121" t="s">
        <v>2</v>
      </c>
      <c r="E1830" s="109" t="s">
        <v>3</v>
      </c>
      <c r="F1830" s="122" t="s">
        <v>4</v>
      </c>
      <c r="G1830" s="109" t="s">
        <v>5</v>
      </c>
      <c r="H1830" s="106" t="s">
        <v>6</v>
      </c>
    </row>
    <row r="1831" spans="1:8" ht="86.4" x14ac:dyDescent="0.3">
      <c r="A1831" s="40">
        <v>1</v>
      </c>
      <c r="B1831" s="64" t="s">
        <v>488</v>
      </c>
      <c r="C1831" s="40">
        <v>1</v>
      </c>
      <c r="D1831" s="41">
        <v>280</v>
      </c>
      <c r="E1831" s="40">
        <v>400</v>
      </c>
      <c r="F1831" s="68">
        <f t="shared" ref="F1831:F1836" si="137">D1831*E1831</f>
        <v>112000</v>
      </c>
      <c r="G1831" s="55">
        <v>0.5</v>
      </c>
      <c r="H1831" s="42">
        <f t="shared" ref="H1831:H1837" si="138">F1831*(1-G1831)</f>
        <v>56000</v>
      </c>
    </row>
    <row r="1832" spans="1:8" ht="72" x14ac:dyDescent="0.3">
      <c r="A1832" s="40">
        <v>2</v>
      </c>
      <c r="B1832" s="64" t="s">
        <v>1500</v>
      </c>
      <c r="C1832" s="40">
        <v>1</v>
      </c>
      <c r="D1832" s="41">
        <v>1242</v>
      </c>
      <c r="E1832" s="40">
        <v>400</v>
      </c>
      <c r="F1832" s="68">
        <f t="shared" si="137"/>
        <v>496800</v>
      </c>
      <c r="G1832" s="55">
        <v>0.5</v>
      </c>
      <c r="H1832" s="42">
        <f t="shared" si="138"/>
        <v>248400</v>
      </c>
    </row>
    <row r="1833" spans="1:8" ht="43.2" x14ac:dyDescent="0.3">
      <c r="A1833" s="40">
        <v>3</v>
      </c>
      <c r="B1833" s="64" t="s">
        <v>489</v>
      </c>
      <c r="C1833" s="40">
        <v>1</v>
      </c>
      <c r="D1833" s="41">
        <v>191</v>
      </c>
      <c r="E1833" s="40">
        <v>50</v>
      </c>
      <c r="F1833" s="68">
        <f t="shared" si="137"/>
        <v>9550</v>
      </c>
      <c r="G1833" s="55">
        <v>0.5</v>
      </c>
      <c r="H1833" s="42">
        <f t="shared" si="138"/>
        <v>4775</v>
      </c>
    </row>
    <row r="1834" spans="1:8" ht="57.6" x14ac:dyDescent="0.3">
      <c r="A1834" s="40">
        <v>4</v>
      </c>
      <c r="B1834" s="64" t="s">
        <v>490</v>
      </c>
      <c r="C1834" s="40">
        <v>1</v>
      </c>
      <c r="D1834" s="41">
        <v>172</v>
      </c>
      <c r="E1834" s="40">
        <v>100</v>
      </c>
      <c r="F1834" s="68">
        <f t="shared" si="137"/>
        <v>17200</v>
      </c>
      <c r="G1834" s="55">
        <v>0.5</v>
      </c>
      <c r="H1834" s="42">
        <f t="shared" si="138"/>
        <v>8600</v>
      </c>
    </row>
    <row r="1835" spans="1:8" ht="57.6" x14ac:dyDescent="0.3">
      <c r="A1835" s="40">
        <v>5</v>
      </c>
      <c r="B1835" s="64" t="s">
        <v>491</v>
      </c>
      <c r="C1835" s="40">
        <v>1</v>
      </c>
      <c r="D1835" s="41">
        <v>35</v>
      </c>
      <c r="E1835" s="40">
        <v>100</v>
      </c>
      <c r="F1835" s="68">
        <f t="shared" si="137"/>
        <v>3500</v>
      </c>
      <c r="G1835" s="55">
        <v>0.5</v>
      </c>
      <c r="H1835" s="42">
        <f t="shared" si="138"/>
        <v>1750</v>
      </c>
    </row>
    <row r="1836" spans="1:8" ht="57.6" x14ac:dyDescent="0.3">
      <c r="A1836" s="40">
        <v>6</v>
      </c>
      <c r="B1836" s="64" t="s">
        <v>492</v>
      </c>
      <c r="C1836" s="40">
        <v>1</v>
      </c>
      <c r="D1836" s="41">
        <v>24.5</v>
      </c>
      <c r="E1836" s="40">
        <v>100</v>
      </c>
      <c r="F1836" s="68">
        <f t="shared" si="137"/>
        <v>2450</v>
      </c>
      <c r="G1836" s="55">
        <v>0.5</v>
      </c>
      <c r="H1836" s="42">
        <f t="shared" si="138"/>
        <v>1225</v>
      </c>
    </row>
    <row r="1837" spans="1:8" x14ac:dyDescent="0.3">
      <c r="A1837" s="40">
        <v>7</v>
      </c>
      <c r="B1837" s="64" t="s">
        <v>1534</v>
      </c>
      <c r="C1837" s="40">
        <v>1</v>
      </c>
      <c r="D1837" s="145">
        <f>152*4</f>
        <v>608</v>
      </c>
      <c r="E1837" s="40">
        <v>22</v>
      </c>
      <c r="F1837" s="68">
        <f>C1837*D1837*E1837</f>
        <v>13376</v>
      </c>
      <c r="G1837" s="55">
        <v>0.5</v>
      </c>
      <c r="H1837" s="42">
        <f t="shared" si="138"/>
        <v>6688</v>
      </c>
    </row>
    <row r="1838" spans="1:8" x14ac:dyDescent="0.3">
      <c r="A1838" s="40"/>
      <c r="B1838" s="70" t="s">
        <v>7</v>
      </c>
      <c r="C1838" s="40"/>
      <c r="D1838" s="145"/>
      <c r="E1838" s="40"/>
      <c r="F1838" s="68"/>
      <c r="G1838" s="55"/>
      <c r="H1838" s="58">
        <f>SUM(H1831:H1837)</f>
        <v>327438</v>
      </c>
    </row>
    <row r="1839" spans="1:8" x14ac:dyDescent="0.3">
      <c r="A1839" s="53">
        <v>8</v>
      </c>
      <c r="B1839" s="70" t="s">
        <v>405</v>
      </c>
      <c r="C1839" s="40">
        <v>1</v>
      </c>
      <c r="D1839" s="146">
        <v>23120</v>
      </c>
      <c r="E1839" s="40">
        <v>5</v>
      </c>
      <c r="F1839" s="68">
        <f>(10000*E1839)+(10000*E1839*0.75)+(3120*E1839*0.5)</f>
        <v>95300</v>
      </c>
      <c r="G1839" s="55">
        <v>0</v>
      </c>
      <c r="H1839" s="58">
        <f>(1-G1839)*F1839</f>
        <v>95300</v>
      </c>
    </row>
    <row r="1840" spans="1:8" x14ac:dyDescent="0.3">
      <c r="A1840" s="53"/>
      <c r="B1840" s="70" t="s">
        <v>9</v>
      </c>
      <c r="C1840" s="40"/>
      <c r="D1840" s="41"/>
      <c r="E1840" s="40"/>
      <c r="F1840" s="68"/>
      <c r="G1840" s="40"/>
      <c r="H1840" s="58">
        <f>SUM(H1838:H1839)</f>
        <v>422738</v>
      </c>
    </row>
    <row r="1841" spans="1:8" s="3" customFormat="1" x14ac:dyDescent="0.3">
      <c r="A1841" s="40"/>
      <c r="B1841" s="40"/>
      <c r="C1841" s="40"/>
      <c r="D1841" s="41"/>
      <c r="E1841" s="40"/>
      <c r="F1841" s="40"/>
      <c r="G1841" s="40"/>
      <c r="H1841" s="42"/>
    </row>
    <row r="1842" spans="1:8" x14ac:dyDescent="0.3">
      <c r="A1842" s="43"/>
      <c r="B1842" s="62">
        <v>5188</v>
      </c>
      <c r="C1842" s="47" t="s">
        <v>583</v>
      </c>
      <c r="D1842" s="45"/>
      <c r="E1842" s="46" t="s">
        <v>584</v>
      </c>
      <c r="F1842" s="63"/>
      <c r="G1842" s="60"/>
      <c r="H1842" s="48"/>
    </row>
    <row r="1843" spans="1:8" x14ac:dyDescent="0.3">
      <c r="A1843" s="39"/>
      <c r="B1843" s="147" t="s">
        <v>0</v>
      </c>
      <c r="C1843" s="107" t="s">
        <v>1</v>
      </c>
      <c r="D1843" s="108" t="s">
        <v>2</v>
      </c>
      <c r="E1843" s="109" t="s">
        <v>3</v>
      </c>
      <c r="F1843" s="122" t="s">
        <v>4</v>
      </c>
      <c r="G1843" s="109" t="s">
        <v>5</v>
      </c>
      <c r="H1843" s="106" t="s">
        <v>6</v>
      </c>
    </row>
    <row r="1844" spans="1:8" ht="72" x14ac:dyDescent="0.3">
      <c r="A1844" s="40">
        <v>1</v>
      </c>
      <c r="B1844" s="66" t="s">
        <v>1839</v>
      </c>
      <c r="C1844" s="40">
        <v>1</v>
      </c>
      <c r="D1844" s="67">
        <v>1740</v>
      </c>
      <c r="E1844" s="40">
        <v>400</v>
      </c>
      <c r="F1844" s="68">
        <f>C1844*D1844*E1844</f>
        <v>696000</v>
      </c>
      <c r="G1844" s="55">
        <v>0.5</v>
      </c>
      <c r="H1844" s="42">
        <f>F1844*(1-G1844)</f>
        <v>348000</v>
      </c>
    </row>
    <row r="1845" spans="1:8" x14ac:dyDescent="0.3">
      <c r="A1845" s="40"/>
      <c r="B1845" s="66" t="s">
        <v>1840</v>
      </c>
      <c r="C1845" s="40">
        <v>1</v>
      </c>
      <c r="D1845" s="67">
        <v>116.5</v>
      </c>
      <c r="E1845" s="40">
        <v>45</v>
      </c>
      <c r="F1845" s="68">
        <f>C1845*D1845*E1845</f>
        <v>5242.5</v>
      </c>
      <c r="G1845" s="55">
        <v>0.5</v>
      </c>
      <c r="H1845" s="42">
        <f>F1845*(1-G1845)</f>
        <v>2621.25</v>
      </c>
    </row>
    <row r="1846" spans="1:8" ht="28.8" x14ac:dyDescent="0.3">
      <c r="A1846" s="40">
        <v>2</v>
      </c>
      <c r="B1846" s="66" t="s">
        <v>1841</v>
      </c>
      <c r="C1846" s="40">
        <v>1</v>
      </c>
      <c r="D1846" s="67">
        <v>350</v>
      </c>
      <c r="E1846" s="40">
        <v>22</v>
      </c>
      <c r="F1846" s="68">
        <f>C1846*D1846*E1846</f>
        <v>7700</v>
      </c>
      <c r="G1846" s="55">
        <v>0.5</v>
      </c>
      <c r="H1846" s="42">
        <f>F1846*(1-G1846)</f>
        <v>3850</v>
      </c>
    </row>
    <row r="1847" spans="1:8" x14ac:dyDescent="0.3">
      <c r="A1847" s="40"/>
      <c r="B1847" s="144" t="s">
        <v>7</v>
      </c>
      <c r="C1847" s="40"/>
      <c r="D1847" s="54"/>
      <c r="E1847" s="40"/>
      <c r="F1847" s="68"/>
      <c r="G1847" s="55"/>
      <c r="H1847" s="58">
        <f>SUM(H1844:H1846)</f>
        <v>354471.25</v>
      </c>
    </row>
    <row r="1848" spans="1:8" x14ac:dyDescent="0.3">
      <c r="A1848" s="40">
        <v>3</v>
      </c>
      <c r="B1848" s="144" t="s">
        <v>8</v>
      </c>
      <c r="C1848" s="40">
        <v>1</v>
      </c>
      <c r="D1848" s="54">
        <v>13600</v>
      </c>
      <c r="E1848" s="40">
        <v>5</v>
      </c>
      <c r="F1848" s="68">
        <f>(10000*E1848)+(3600*E1848*0.75)</f>
        <v>63500</v>
      </c>
      <c r="G1848" s="55">
        <v>0</v>
      </c>
      <c r="H1848" s="58">
        <f>(1-G1848)*F1848</f>
        <v>63500</v>
      </c>
    </row>
    <row r="1849" spans="1:8" x14ac:dyDescent="0.3">
      <c r="A1849" s="51"/>
      <c r="B1849" s="144" t="s">
        <v>9</v>
      </c>
      <c r="C1849" s="39"/>
      <c r="D1849" s="59"/>
      <c r="E1849" s="39"/>
      <c r="F1849" s="71"/>
      <c r="G1849" s="39"/>
      <c r="H1849" s="58">
        <f>H1847+H1848</f>
        <v>417971.25</v>
      </c>
    </row>
    <row r="1850" spans="1:8" x14ac:dyDescent="0.3">
      <c r="A1850" s="43"/>
      <c r="B1850" s="62">
        <v>5189</v>
      </c>
      <c r="C1850" s="44" t="s">
        <v>585</v>
      </c>
      <c r="D1850" s="45"/>
      <c r="E1850" s="46" t="s">
        <v>586</v>
      </c>
      <c r="F1850" s="63"/>
      <c r="G1850" s="60"/>
      <c r="H1850" s="48"/>
    </row>
    <row r="1851" spans="1:8" x14ac:dyDescent="0.3">
      <c r="A1851" s="39"/>
      <c r="B1851" s="147" t="s">
        <v>0</v>
      </c>
      <c r="C1851" s="107" t="s">
        <v>1</v>
      </c>
      <c r="D1851" s="108" t="s">
        <v>2</v>
      </c>
      <c r="E1851" s="109" t="s">
        <v>3</v>
      </c>
      <c r="F1851" s="122" t="s">
        <v>4</v>
      </c>
      <c r="G1851" s="109" t="s">
        <v>5</v>
      </c>
      <c r="H1851" s="106" t="s">
        <v>6</v>
      </c>
    </row>
    <row r="1852" spans="1:8" ht="86.4" x14ac:dyDescent="0.3">
      <c r="A1852" s="40">
        <v>1</v>
      </c>
      <c r="B1852" s="66" t="s">
        <v>587</v>
      </c>
      <c r="C1852" s="40">
        <v>1</v>
      </c>
      <c r="D1852" s="67">
        <v>136</v>
      </c>
      <c r="E1852" s="40">
        <v>450</v>
      </c>
      <c r="F1852" s="68">
        <f>C1852*D1852*E1852</f>
        <v>61200</v>
      </c>
      <c r="G1852" s="55">
        <v>0.5</v>
      </c>
      <c r="H1852" s="42">
        <f>F1852*(1-G1852)</f>
        <v>30600</v>
      </c>
    </row>
    <row r="1853" spans="1:8" ht="86.4" x14ac:dyDescent="0.3">
      <c r="A1853" s="40">
        <v>2</v>
      </c>
      <c r="B1853" s="66" t="s">
        <v>588</v>
      </c>
      <c r="C1853" s="40">
        <v>1</v>
      </c>
      <c r="D1853" s="67">
        <v>681.5</v>
      </c>
      <c r="E1853" s="40">
        <v>550</v>
      </c>
      <c r="F1853" s="68">
        <f>C1853*D1853*E1853</f>
        <v>374825</v>
      </c>
      <c r="G1853" s="55">
        <v>0.5</v>
      </c>
      <c r="H1853" s="42">
        <f>F1853*(1-G1853)</f>
        <v>187412.5</v>
      </c>
    </row>
    <row r="1854" spans="1:8" s="3" customFormat="1" ht="72" x14ac:dyDescent="0.3">
      <c r="A1854" s="40">
        <v>2</v>
      </c>
      <c r="B1854" s="66" t="s">
        <v>1408</v>
      </c>
      <c r="C1854" s="40">
        <v>1</v>
      </c>
      <c r="D1854" s="67">
        <v>228</v>
      </c>
      <c r="E1854" s="40">
        <v>450</v>
      </c>
      <c r="F1854" s="68">
        <f>C1854*D1854*E1854</f>
        <v>102600</v>
      </c>
      <c r="G1854" s="55">
        <v>0.5</v>
      </c>
      <c r="H1854" s="42">
        <f>F1854*(1-G1854)</f>
        <v>51300</v>
      </c>
    </row>
    <row r="1855" spans="1:8" ht="57.6" x14ac:dyDescent="0.3">
      <c r="A1855" s="40">
        <v>3</v>
      </c>
      <c r="B1855" s="66" t="s">
        <v>589</v>
      </c>
      <c r="C1855" s="40">
        <v>1</v>
      </c>
      <c r="D1855" s="67">
        <v>54</v>
      </c>
      <c r="E1855" s="40">
        <v>250</v>
      </c>
      <c r="F1855" s="68">
        <f t="shared" ref="F1855:F1861" si="139">C1855*D1855*E1855</f>
        <v>13500</v>
      </c>
      <c r="G1855" s="55">
        <v>0.5</v>
      </c>
      <c r="H1855" s="42">
        <f t="shared" ref="H1855:H1861" si="140">F1855*(1-G1855)</f>
        <v>6750</v>
      </c>
    </row>
    <row r="1856" spans="1:8" ht="57.6" x14ac:dyDescent="0.3">
      <c r="A1856" s="40">
        <v>4</v>
      </c>
      <c r="B1856" s="66" t="s">
        <v>590</v>
      </c>
      <c r="C1856" s="40">
        <v>1</v>
      </c>
      <c r="D1856" s="67">
        <v>21</v>
      </c>
      <c r="E1856" s="40">
        <v>250</v>
      </c>
      <c r="F1856" s="68">
        <f t="shared" si="139"/>
        <v>5250</v>
      </c>
      <c r="G1856" s="55">
        <v>0.5</v>
      </c>
      <c r="H1856" s="42">
        <f t="shared" si="140"/>
        <v>2625</v>
      </c>
    </row>
    <row r="1857" spans="1:8" ht="72" x14ac:dyDescent="0.3">
      <c r="A1857" s="40">
        <v>5</v>
      </c>
      <c r="B1857" s="66" t="s">
        <v>591</v>
      </c>
      <c r="C1857" s="40">
        <v>1</v>
      </c>
      <c r="D1857" s="67">
        <v>45</v>
      </c>
      <c r="E1857" s="40">
        <v>250</v>
      </c>
      <c r="F1857" s="68">
        <f t="shared" si="139"/>
        <v>11250</v>
      </c>
      <c r="G1857" s="55">
        <v>0.5</v>
      </c>
      <c r="H1857" s="42">
        <f t="shared" si="140"/>
        <v>5625</v>
      </c>
    </row>
    <row r="1858" spans="1:8" ht="43.2" x14ac:dyDescent="0.3">
      <c r="A1858" s="40">
        <v>6</v>
      </c>
      <c r="B1858" s="66" t="s">
        <v>592</v>
      </c>
      <c r="C1858" s="40">
        <v>1</v>
      </c>
      <c r="D1858" s="67">
        <v>208</v>
      </c>
      <c r="E1858" s="40">
        <v>150</v>
      </c>
      <c r="F1858" s="68">
        <f t="shared" si="139"/>
        <v>31200</v>
      </c>
      <c r="G1858" s="55">
        <v>0.5</v>
      </c>
      <c r="H1858" s="42">
        <f t="shared" si="140"/>
        <v>15600</v>
      </c>
    </row>
    <row r="1859" spans="1:8" ht="57.6" x14ac:dyDescent="0.3">
      <c r="A1859" s="40">
        <v>7</v>
      </c>
      <c r="B1859" s="66" t="s">
        <v>593</v>
      </c>
      <c r="C1859" s="40">
        <v>1</v>
      </c>
      <c r="D1859" s="67">
        <v>9</v>
      </c>
      <c r="E1859" s="40">
        <v>150</v>
      </c>
      <c r="F1859" s="68">
        <f t="shared" si="139"/>
        <v>1350</v>
      </c>
      <c r="G1859" s="55">
        <v>0.5</v>
      </c>
      <c r="H1859" s="42">
        <f t="shared" si="140"/>
        <v>675</v>
      </c>
    </row>
    <row r="1860" spans="1:8" ht="57.6" x14ac:dyDescent="0.3">
      <c r="A1860" s="40">
        <v>8</v>
      </c>
      <c r="B1860" s="66" t="s">
        <v>594</v>
      </c>
      <c r="C1860" s="40">
        <v>1</v>
      </c>
      <c r="D1860" s="67">
        <v>21</v>
      </c>
      <c r="E1860" s="40">
        <v>150</v>
      </c>
      <c r="F1860" s="68">
        <f t="shared" si="139"/>
        <v>3150</v>
      </c>
      <c r="G1860" s="55">
        <v>0.5</v>
      </c>
      <c r="H1860" s="42">
        <f t="shared" si="140"/>
        <v>1575</v>
      </c>
    </row>
    <row r="1861" spans="1:8" ht="43.2" x14ac:dyDescent="0.3">
      <c r="A1861" s="40">
        <v>9</v>
      </c>
      <c r="B1861" s="66" t="s">
        <v>595</v>
      </c>
      <c r="C1861" s="40">
        <v>1</v>
      </c>
      <c r="D1861" s="67">
        <v>96.25</v>
      </c>
      <c r="E1861" s="40">
        <v>150</v>
      </c>
      <c r="F1861" s="68">
        <f t="shared" si="139"/>
        <v>14437.5</v>
      </c>
      <c r="G1861" s="55">
        <v>0.5</v>
      </c>
      <c r="H1861" s="42">
        <f t="shared" si="140"/>
        <v>7218.75</v>
      </c>
    </row>
    <row r="1862" spans="1:8" s="3" customFormat="1" ht="72" x14ac:dyDescent="0.3">
      <c r="A1862" s="40">
        <v>10</v>
      </c>
      <c r="B1862" s="66" t="s">
        <v>596</v>
      </c>
      <c r="C1862" s="40">
        <v>1</v>
      </c>
      <c r="D1862" s="67">
        <v>14</v>
      </c>
      <c r="E1862" s="40">
        <v>150</v>
      </c>
      <c r="F1862" s="68">
        <f>C1862*D1862*E1862</f>
        <v>2100</v>
      </c>
      <c r="G1862" s="55">
        <v>0.5</v>
      </c>
      <c r="H1862" s="42">
        <f>F1862*(1-G1862)</f>
        <v>1050</v>
      </c>
    </row>
    <row r="1863" spans="1:8" ht="28.8" x14ac:dyDescent="0.3">
      <c r="A1863" s="40">
        <v>11</v>
      </c>
      <c r="B1863" s="66" t="s">
        <v>1442</v>
      </c>
      <c r="C1863" s="40">
        <v>1</v>
      </c>
      <c r="D1863" s="67">
        <f>242*4</f>
        <v>968</v>
      </c>
      <c r="E1863" s="40">
        <v>45</v>
      </c>
      <c r="F1863" s="68">
        <f>C1863*D1863*E1863</f>
        <v>43560</v>
      </c>
      <c r="G1863" s="55">
        <v>0.5</v>
      </c>
      <c r="H1863" s="42">
        <f>F1863*(1-G1863)</f>
        <v>21780</v>
      </c>
    </row>
    <row r="1864" spans="1:8" x14ac:dyDescent="0.3">
      <c r="A1864" s="40"/>
      <c r="B1864" s="70" t="s">
        <v>7</v>
      </c>
      <c r="C1864" s="40"/>
      <c r="D1864" s="54"/>
      <c r="E1864" s="40"/>
      <c r="F1864" s="68"/>
      <c r="G1864" s="55"/>
      <c r="H1864" s="58">
        <f>SUM(H1852:H1863)</f>
        <v>332211.25</v>
      </c>
    </row>
    <row r="1865" spans="1:8" x14ac:dyDescent="0.3">
      <c r="A1865" s="40">
        <v>12</v>
      </c>
      <c r="B1865" s="70" t="s">
        <v>8</v>
      </c>
      <c r="C1865" s="40">
        <v>1</v>
      </c>
      <c r="D1865" s="54">
        <v>58684</v>
      </c>
      <c r="E1865" s="40">
        <v>5</v>
      </c>
      <c r="F1865" s="68">
        <f>(10000*E1865)+(10000*E1865*0.75)+(10000*E1865*0.5)+(28684*E1865*0.25)</f>
        <v>148355</v>
      </c>
      <c r="G1865" s="55">
        <v>0</v>
      </c>
      <c r="H1865" s="58">
        <f>(1-G1865)*F1865</f>
        <v>148355</v>
      </c>
    </row>
    <row r="1866" spans="1:8" x14ac:dyDescent="0.3">
      <c r="A1866" s="51"/>
      <c r="B1866" s="70" t="s">
        <v>9</v>
      </c>
      <c r="C1866" s="39"/>
      <c r="D1866" s="59"/>
      <c r="E1866" s="39"/>
      <c r="F1866" s="71"/>
      <c r="G1866" s="39"/>
      <c r="H1866" s="58">
        <f>H1864+H1865</f>
        <v>480566.25</v>
      </c>
    </row>
    <row r="1867" spans="1:8" x14ac:dyDescent="0.3">
      <c r="A1867" s="43"/>
      <c r="B1867" s="62" t="s">
        <v>597</v>
      </c>
      <c r="C1867" s="44" t="s">
        <v>583</v>
      </c>
      <c r="D1867" s="45"/>
      <c r="E1867" s="46" t="s">
        <v>598</v>
      </c>
      <c r="F1867" s="63"/>
      <c r="G1867" s="60"/>
      <c r="H1867" s="48"/>
    </row>
    <row r="1868" spans="1:8" x14ac:dyDescent="0.3">
      <c r="A1868" s="39"/>
      <c r="B1868" s="147" t="s">
        <v>0</v>
      </c>
      <c r="C1868" s="107" t="s">
        <v>1</v>
      </c>
      <c r="D1868" s="108" t="s">
        <v>2</v>
      </c>
      <c r="E1868" s="109" t="s">
        <v>3</v>
      </c>
      <c r="F1868" s="122" t="s">
        <v>4</v>
      </c>
      <c r="G1868" s="109" t="s">
        <v>5</v>
      </c>
      <c r="H1868" s="106" t="s">
        <v>6</v>
      </c>
    </row>
    <row r="1869" spans="1:8" ht="86.4" x14ac:dyDescent="0.3">
      <c r="A1869" s="40">
        <v>1</v>
      </c>
      <c r="B1869" s="66" t="s">
        <v>599</v>
      </c>
      <c r="C1869" s="40">
        <v>1</v>
      </c>
      <c r="D1869" s="67">
        <v>300</v>
      </c>
      <c r="E1869" s="40">
        <v>400</v>
      </c>
      <c r="F1869" s="68">
        <f>C1869*D1869*E1869</f>
        <v>120000</v>
      </c>
      <c r="G1869" s="55">
        <v>0.5</v>
      </c>
      <c r="H1869" s="42">
        <f>F1869*(1-G1869)</f>
        <v>60000</v>
      </c>
    </row>
    <row r="1870" spans="1:8" ht="57.6" x14ac:dyDescent="0.3">
      <c r="A1870" s="40">
        <v>2</v>
      </c>
      <c r="B1870" s="66" t="s">
        <v>600</v>
      </c>
      <c r="C1870" s="40">
        <v>1</v>
      </c>
      <c r="D1870" s="67">
        <v>297</v>
      </c>
      <c r="E1870" s="40">
        <v>100</v>
      </c>
      <c r="F1870" s="68">
        <f>C1870*D1870*E1870</f>
        <v>29700</v>
      </c>
      <c r="G1870" s="55">
        <v>0.5</v>
      </c>
      <c r="H1870" s="42">
        <f>F1870*(1-G1870)</f>
        <v>14850</v>
      </c>
    </row>
    <row r="1871" spans="1:8" ht="57.6" x14ac:dyDescent="0.3">
      <c r="A1871" s="40">
        <v>3</v>
      </c>
      <c r="B1871" s="66" t="s">
        <v>1409</v>
      </c>
      <c r="C1871" s="40">
        <v>1</v>
      </c>
      <c r="D1871" s="67">
        <v>4360</v>
      </c>
      <c r="E1871" s="40">
        <v>400</v>
      </c>
      <c r="F1871" s="68">
        <f>C1871*D1871*E1871</f>
        <v>1744000</v>
      </c>
      <c r="G1871" s="55">
        <v>0.5</v>
      </c>
      <c r="H1871" s="42">
        <f>F1871*(1-G1871)</f>
        <v>872000</v>
      </c>
    </row>
    <row r="1872" spans="1:8" ht="86.4" x14ac:dyDescent="0.3">
      <c r="A1872" s="40">
        <v>4</v>
      </c>
      <c r="B1872" s="66" t="s">
        <v>1525</v>
      </c>
      <c r="C1872" s="40">
        <v>1</v>
      </c>
      <c r="D1872" s="67">
        <v>572</v>
      </c>
      <c r="E1872" s="40">
        <v>600</v>
      </c>
      <c r="F1872" s="68">
        <f>C1872*D1872*E1872</f>
        <v>343200</v>
      </c>
      <c r="G1872" s="55">
        <v>0.5</v>
      </c>
      <c r="H1872" s="42">
        <f>F1872*(1-G1872)</f>
        <v>171600</v>
      </c>
    </row>
    <row r="1873" spans="1:8" ht="28.8" x14ac:dyDescent="0.3">
      <c r="A1873" s="40"/>
      <c r="B1873" s="66" t="s">
        <v>419</v>
      </c>
      <c r="C1873" s="40">
        <v>1</v>
      </c>
      <c r="D1873" s="67">
        <f>184*4</f>
        <v>736</v>
      </c>
      <c r="E1873" s="40">
        <v>22</v>
      </c>
      <c r="F1873" s="68">
        <f>C1873*D1873*E1873</f>
        <v>16192</v>
      </c>
      <c r="G1873" s="55">
        <v>0.5</v>
      </c>
      <c r="H1873" s="42">
        <f>F1873*(1-G1873)</f>
        <v>8096</v>
      </c>
    </row>
    <row r="1874" spans="1:8" x14ac:dyDescent="0.3">
      <c r="A1874" s="40"/>
      <c r="B1874" s="70" t="s">
        <v>7</v>
      </c>
      <c r="C1874" s="40"/>
      <c r="D1874" s="54"/>
      <c r="E1874" s="40"/>
      <c r="F1874" s="68"/>
      <c r="G1874" s="55"/>
      <c r="H1874" s="58">
        <f>SUM(H1869:H1873)</f>
        <v>1126546</v>
      </c>
    </row>
    <row r="1875" spans="1:8" x14ac:dyDescent="0.3">
      <c r="A1875" s="40">
        <v>5</v>
      </c>
      <c r="B1875" s="70" t="s">
        <v>8</v>
      </c>
      <c r="C1875" s="40">
        <v>1</v>
      </c>
      <c r="D1875" s="54">
        <v>33974</v>
      </c>
      <c r="E1875" s="40">
        <v>5</v>
      </c>
      <c r="F1875" s="68">
        <f>(10000*E1875)+(10000*E1875*0.75)+(10000*E1875*0.5)+(3974*E1875*0.25)</f>
        <v>117467.5</v>
      </c>
      <c r="G1875" s="55">
        <v>0</v>
      </c>
      <c r="H1875" s="58">
        <f>(1-G1875)*F1875</f>
        <v>117467.5</v>
      </c>
    </row>
    <row r="1876" spans="1:8" x14ac:dyDescent="0.3">
      <c r="A1876" s="51"/>
      <c r="B1876" s="70" t="s">
        <v>9</v>
      </c>
      <c r="C1876" s="39"/>
      <c r="D1876" s="59"/>
      <c r="E1876" s="39"/>
      <c r="F1876" s="71"/>
      <c r="G1876" s="39"/>
      <c r="H1876" s="58">
        <f>H1874+H1875</f>
        <v>1244013.5</v>
      </c>
    </row>
    <row r="1877" spans="1:8" x14ac:dyDescent="0.3">
      <c r="A1877" s="51"/>
      <c r="B1877" s="70"/>
      <c r="C1877" s="39"/>
      <c r="D1877" s="59"/>
      <c r="E1877" s="39"/>
      <c r="F1877" s="71"/>
      <c r="G1877" s="39"/>
      <c r="H1877" s="58"/>
    </row>
    <row r="1878" spans="1:8" s="31" customFormat="1" x14ac:dyDescent="0.3">
      <c r="A1878" s="43"/>
      <c r="B1878" s="62" t="s">
        <v>1030</v>
      </c>
      <c r="C1878" s="44"/>
      <c r="D1878" s="73"/>
      <c r="E1878" s="44"/>
      <c r="F1878" s="47" t="s">
        <v>1031</v>
      </c>
      <c r="G1878" s="60"/>
      <c r="H1878" s="48"/>
    </row>
    <row r="1879" spans="1:8" s="3" customFormat="1" x14ac:dyDescent="0.3">
      <c r="A1879" s="39"/>
      <c r="B1879" s="107" t="s">
        <v>10</v>
      </c>
      <c r="C1879" s="107" t="s">
        <v>1</v>
      </c>
      <c r="D1879" s="108" t="s">
        <v>2</v>
      </c>
      <c r="E1879" s="109" t="s">
        <v>3</v>
      </c>
      <c r="F1879" s="109" t="s">
        <v>4</v>
      </c>
      <c r="G1879" s="109" t="s">
        <v>5</v>
      </c>
      <c r="H1879" s="106" t="s">
        <v>6</v>
      </c>
    </row>
    <row r="1880" spans="1:8" ht="86.4" x14ac:dyDescent="0.3">
      <c r="A1880" s="53">
        <v>1</v>
      </c>
      <c r="B1880" s="53" t="s">
        <v>1660</v>
      </c>
      <c r="C1880" s="40">
        <v>1</v>
      </c>
      <c r="D1880" s="91">
        <v>2100</v>
      </c>
      <c r="E1880" s="40">
        <v>450</v>
      </c>
      <c r="F1880" s="40">
        <f>C1880*D1880*E1880</f>
        <v>945000</v>
      </c>
      <c r="G1880" s="55">
        <v>0.3</v>
      </c>
      <c r="H1880" s="42">
        <f>F1880*(1-G1880)</f>
        <v>661500</v>
      </c>
    </row>
    <row r="1881" spans="1:8" ht="86.4" x14ac:dyDescent="0.3">
      <c r="A1881" s="53">
        <v>2</v>
      </c>
      <c r="B1881" s="53" t="s">
        <v>1613</v>
      </c>
      <c r="C1881" s="40">
        <v>1</v>
      </c>
      <c r="D1881" s="91">
        <v>396</v>
      </c>
      <c r="E1881" s="40">
        <v>400</v>
      </c>
      <c r="F1881" s="40">
        <f>C1881*D1881*E1881</f>
        <v>158400</v>
      </c>
      <c r="G1881" s="55">
        <v>0.4</v>
      </c>
      <c r="H1881" s="42">
        <f>F1881*(1-G1881)</f>
        <v>95040</v>
      </c>
    </row>
    <row r="1882" spans="1:8" ht="86.4" x14ac:dyDescent="0.3">
      <c r="A1882" s="53">
        <v>3</v>
      </c>
      <c r="B1882" s="53" t="s">
        <v>1842</v>
      </c>
      <c r="C1882" s="40">
        <v>2</v>
      </c>
      <c r="D1882" s="91">
        <v>47.7</v>
      </c>
      <c r="E1882" s="40">
        <v>600</v>
      </c>
      <c r="F1882" s="40">
        <f>C1882*D1882*E1882</f>
        <v>57240</v>
      </c>
      <c r="G1882" s="55">
        <v>0.4</v>
      </c>
      <c r="H1882" s="42">
        <f>F1882*(1-G1882)</f>
        <v>34344</v>
      </c>
    </row>
    <row r="1883" spans="1:8" ht="72" x14ac:dyDescent="0.3">
      <c r="A1883" s="53">
        <v>4</v>
      </c>
      <c r="B1883" s="53" t="s">
        <v>1614</v>
      </c>
      <c r="C1883" s="40">
        <v>1</v>
      </c>
      <c r="D1883" s="91">
        <v>73</v>
      </c>
      <c r="E1883" s="40">
        <v>300</v>
      </c>
      <c r="F1883" s="40">
        <f>C1883*D1883*E1883</f>
        <v>21900</v>
      </c>
      <c r="G1883" s="55">
        <v>0.5</v>
      </c>
      <c r="H1883" s="42">
        <f>F1883*(1-G1883)</f>
        <v>10950</v>
      </c>
    </row>
    <row r="1884" spans="1:8" x14ac:dyDescent="0.3">
      <c r="A1884" s="53"/>
      <c r="B1884" s="57" t="s">
        <v>7</v>
      </c>
      <c r="C1884" s="40"/>
      <c r="D1884" s="54"/>
      <c r="E1884" s="40"/>
      <c r="F1884" s="40"/>
      <c r="G1884" s="55"/>
      <c r="H1884" s="58">
        <f>SUM(H1880:H1883)</f>
        <v>801834</v>
      </c>
    </row>
    <row r="1885" spans="1:8" x14ac:dyDescent="0.3">
      <c r="A1885" s="53">
        <v>5</v>
      </c>
      <c r="B1885" s="57" t="s">
        <v>8</v>
      </c>
      <c r="C1885" s="40">
        <v>1</v>
      </c>
      <c r="D1885" s="54">
        <f>8305+13163</f>
        <v>21468</v>
      </c>
      <c r="E1885" s="40">
        <v>5</v>
      </c>
      <c r="F1885" s="40">
        <f>10000*E1885+10000*0.75*E1885+1468*0.5*E1885</f>
        <v>91170</v>
      </c>
      <c r="G1885" s="55">
        <v>0</v>
      </c>
      <c r="H1885" s="58">
        <f>(1-G1885)*F1885</f>
        <v>91170</v>
      </c>
    </row>
    <row r="1886" spans="1:8" x14ac:dyDescent="0.3">
      <c r="A1886" s="53"/>
      <c r="B1886" s="57" t="s">
        <v>9</v>
      </c>
      <c r="C1886" s="39"/>
      <c r="D1886" s="59"/>
      <c r="E1886" s="39"/>
      <c r="F1886" s="39"/>
      <c r="G1886" s="39"/>
      <c r="H1886" s="58">
        <f>H1884+H1885</f>
        <v>893004</v>
      </c>
    </row>
    <row r="1887" spans="1:8" x14ac:dyDescent="0.3">
      <c r="A1887" s="43"/>
      <c r="B1887" s="62">
        <v>5194</v>
      </c>
      <c r="C1887" s="44" t="s">
        <v>1032</v>
      </c>
      <c r="D1887" s="73"/>
      <c r="E1887" s="44"/>
      <c r="F1887" s="47" t="s">
        <v>1940</v>
      </c>
      <c r="G1887" s="60"/>
      <c r="H1887" s="48"/>
    </row>
    <row r="1888" spans="1:8" x14ac:dyDescent="0.3">
      <c r="A1888" s="40"/>
      <c r="B1888" s="49" t="s">
        <v>10</v>
      </c>
      <c r="C1888" s="49" t="s">
        <v>1</v>
      </c>
      <c r="D1888" s="50" t="s">
        <v>2</v>
      </c>
      <c r="E1888" s="51" t="s">
        <v>3</v>
      </c>
      <c r="F1888" s="51" t="s">
        <v>4</v>
      </c>
      <c r="G1888" s="51" t="s">
        <v>5</v>
      </c>
      <c r="H1888" s="52" t="s">
        <v>6</v>
      </c>
    </row>
    <row r="1889" spans="1:8" s="31" customFormat="1" x14ac:dyDescent="0.3">
      <c r="A1889" s="53">
        <v>1</v>
      </c>
      <c r="B1889" s="53" t="s">
        <v>15</v>
      </c>
      <c r="C1889" s="40"/>
      <c r="D1889" s="91"/>
      <c r="E1889" s="40"/>
      <c r="F1889" s="40"/>
      <c r="G1889" s="55"/>
      <c r="H1889" s="42"/>
    </row>
    <row r="1890" spans="1:8" s="3" customFormat="1" x14ac:dyDescent="0.3">
      <c r="A1890" s="53">
        <v>2</v>
      </c>
      <c r="B1890" s="57" t="s">
        <v>8</v>
      </c>
      <c r="C1890" s="40">
        <v>1</v>
      </c>
      <c r="D1890" s="54">
        <v>43030</v>
      </c>
      <c r="E1890" s="40">
        <v>5</v>
      </c>
      <c r="F1890" s="68">
        <f>(10000*E1890)+(10000*E1890*0.75)+(10000*E1890*0.5)+(13030*E1890*0.25)</f>
        <v>128787.5</v>
      </c>
      <c r="G1890" s="55">
        <v>0</v>
      </c>
      <c r="H1890" s="58">
        <f>(1-G1890)*F1890</f>
        <v>128787.5</v>
      </c>
    </row>
    <row r="1891" spans="1:8" x14ac:dyDescent="0.3">
      <c r="A1891" s="53"/>
      <c r="B1891" s="57" t="s">
        <v>9</v>
      </c>
      <c r="C1891" s="39"/>
      <c r="D1891" s="59"/>
      <c r="E1891" s="39"/>
      <c r="F1891" s="39"/>
      <c r="G1891" s="39"/>
      <c r="H1891" s="58">
        <f>H1890</f>
        <v>128787.5</v>
      </c>
    </row>
    <row r="1892" spans="1:8" x14ac:dyDescent="0.3">
      <c r="A1892" s="43"/>
      <c r="B1892" s="62">
        <v>5195</v>
      </c>
      <c r="C1892" s="44" t="s">
        <v>1033</v>
      </c>
      <c r="D1892" s="73"/>
      <c r="E1892" s="44"/>
      <c r="F1892" s="47" t="s">
        <v>1941</v>
      </c>
      <c r="G1892" s="60"/>
      <c r="H1892" s="48"/>
    </row>
    <row r="1893" spans="1:8" x14ac:dyDescent="0.3">
      <c r="A1893" s="39"/>
      <c r="B1893" s="107" t="s">
        <v>10</v>
      </c>
      <c r="C1893" s="107" t="s">
        <v>1</v>
      </c>
      <c r="D1893" s="108" t="s">
        <v>2</v>
      </c>
      <c r="E1893" s="109" t="s">
        <v>3</v>
      </c>
      <c r="F1893" s="109" t="s">
        <v>4</v>
      </c>
      <c r="G1893" s="109" t="s">
        <v>5</v>
      </c>
      <c r="H1893" s="106" t="s">
        <v>6</v>
      </c>
    </row>
    <row r="1894" spans="1:8" ht="86.4" x14ac:dyDescent="0.3">
      <c r="A1894" s="53">
        <v>1</v>
      </c>
      <c r="B1894" s="53" t="s">
        <v>1843</v>
      </c>
      <c r="C1894" s="40">
        <v>1</v>
      </c>
      <c r="D1894" s="91">
        <v>308</v>
      </c>
      <c r="E1894" s="40">
        <v>450</v>
      </c>
      <c r="F1894" s="40">
        <f>C1894*D1894*E1894</f>
        <v>138600</v>
      </c>
      <c r="G1894" s="55">
        <v>0.4</v>
      </c>
      <c r="H1894" s="42">
        <f>F1894*(1-G1894)</f>
        <v>83160</v>
      </c>
    </row>
    <row r="1895" spans="1:8" ht="86.4" x14ac:dyDescent="0.3">
      <c r="A1895" s="53">
        <v>2</v>
      </c>
      <c r="B1895" s="53" t="s">
        <v>1844</v>
      </c>
      <c r="C1895" s="40">
        <v>2</v>
      </c>
      <c r="D1895" s="91">
        <v>58.5</v>
      </c>
      <c r="E1895" s="40">
        <v>200</v>
      </c>
      <c r="F1895" s="40">
        <f>C1895*D1895*E1895</f>
        <v>23400</v>
      </c>
      <c r="G1895" s="55">
        <v>0.4</v>
      </c>
      <c r="H1895" s="42">
        <f>F1895*(1-G1895)</f>
        <v>14040</v>
      </c>
    </row>
    <row r="1896" spans="1:8" ht="28.8" x14ac:dyDescent="0.3">
      <c r="A1896" s="53">
        <v>3</v>
      </c>
      <c r="B1896" s="53" t="s">
        <v>992</v>
      </c>
      <c r="C1896" s="40">
        <v>1</v>
      </c>
      <c r="D1896" s="91">
        <v>400</v>
      </c>
      <c r="E1896" s="40">
        <v>25</v>
      </c>
      <c r="F1896" s="40">
        <f>C1896*D1896*E1896</f>
        <v>10000</v>
      </c>
      <c r="G1896" s="55">
        <v>0.4</v>
      </c>
      <c r="H1896" s="42">
        <f>F1896*(1-G1896)</f>
        <v>6000</v>
      </c>
    </row>
    <row r="1897" spans="1:8" x14ac:dyDescent="0.3">
      <c r="A1897" s="53"/>
      <c r="B1897" s="57" t="s">
        <v>7</v>
      </c>
      <c r="C1897" s="40"/>
      <c r="D1897" s="54"/>
      <c r="E1897" s="40"/>
      <c r="F1897" s="40"/>
      <c r="G1897" s="55"/>
      <c r="H1897" s="58">
        <f>SUM(H1894:H1896)</f>
        <v>103200</v>
      </c>
    </row>
    <row r="1898" spans="1:8" x14ac:dyDescent="0.3">
      <c r="A1898" s="53">
        <v>4</v>
      </c>
      <c r="B1898" s="57" t="s">
        <v>8</v>
      </c>
      <c r="C1898" s="40">
        <v>1</v>
      </c>
      <c r="D1898" s="54">
        <v>39839</v>
      </c>
      <c r="E1898" s="40">
        <v>5</v>
      </c>
      <c r="F1898" s="40">
        <f>(10000*E1898)+(10000*3.75)+(10000*2.5)+(9839*1.25)</f>
        <v>124798.75</v>
      </c>
      <c r="G1898" s="55">
        <v>0</v>
      </c>
      <c r="H1898" s="58">
        <f>(1-G1898)*F1898</f>
        <v>124798.75</v>
      </c>
    </row>
    <row r="1899" spans="1:8" x14ac:dyDescent="0.3">
      <c r="A1899" s="53"/>
      <c r="B1899" s="57" t="s">
        <v>9</v>
      </c>
      <c r="C1899" s="39"/>
      <c r="D1899" s="59"/>
      <c r="E1899" s="39"/>
      <c r="F1899" s="39"/>
      <c r="G1899" s="39"/>
      <c r="H1899" s="58">
        <f>H1897+H1898</f>
        <v>227998.75</v>
      </c>
    </row>
    <row r="1900" spans="1:8" x14ac:dyDescent="0.3">
      <c r="A1900" s="43"/>
      <c r="B1900" s="62">
        <v>5196</v>
      </c>
      <c r="C1900" s="44" t="s">
        <v>1034</v>
      </c>
      <c r="D1900" s="73"/>
      <c r="E1900" s="44"/>
      <c r="F1900" s="47" t="s">
        <v>1942</v>
      </c>
      <c r="G1900" s="60"/>
      <c r="H1900" s="48"/>
    </row>
    <row r="1901" spans="1:8" x14ac:dyDescent="0.3">
      <c r="A1901" s="40"/>
      <c r="B1901" s="49" t="s">
        <v>10</v>
      </c>
      <c r="C1901" s="49" t="s">
        <v>1</v>
      </c>
      <c r="D1901" s="50" t="s">
        <v>2</v>
      </c>
      <c r="E1901" s="51" t="s">
        <v>3</v>
      </c>
      <c r="F1901" s="51" t="s">
        <v>4</v>
      </c>
      <c r="G1901" s="51" t="s">
        <v>5</v>
      </c>
      <c r="H1901" s="52" t="s">
        <v>6</v>
      </c>
    </row>
    <row r="1902" spans="1:8" ht="129.6" x14ac:dyDescent="0.3">
      <c r="A1902" s="53">
        <v>1</v>
      </c>
      <c r="B1902" s="53" t="s">
        <v>1845</v>
      </c>
      <c r="C1902" s="40">
        <v>1</v>
      </c>
      <c r="D1902" s="91">
        <v>646.79999999999995</v>
      </c>
      <c r="E1902" s="40">
        <v>500</v>
      </c>
      <c r="F1902" s="40">
        <f>C1902*D1902*E1902</f>
        <v>323400</v>
      </c>
      <c r="G1902" s="55">
        <v>0.3</v>
      </c>
      <c r="H1902" s="42">
        <f>F1902*(1-G1902)</f>
        <v>226380</v>
      </c>
    </row>
    <row r="1903" spans="1:8" ht="86.4" x14ac:dyDescent="0.3">
      <c r="A1903" s="53">
        <v>2</v>
      </c>
      <c r="B1903" s="53" t="s">
        <v>1846</v>
      </c>
      <c r="C1903" s="40">
        <v>2</v>
      </c>
      <c r="D1903" s="91">
        <v>479.26</v>
      </c>
      <c r="E1903" s="40">
        <v>250</v>
      </c>
      <c r="F1903" s="40">
        <f>C1903*D1903*E1903</f>
        <v>239630</v>
      </c>
      <c r="G1903" s="55">
        <v>0.5</v>
      </c>
      <c r="H1903" s="42">
        <f>F1903*(1-G1903)</f>
        <v>119815</v>
      </c>
    </row>
    <row r="1904" spans="1:8" s="3" customFormat="1" ht="86.4" x14ac:dyDescent="0.3">
      <c r="A1904" s="53">
        <v>3</v>
      </c>
      <c r="B1904" s="53" t="s">
        <v>1615</v>
      </c>
      <c r="C1904" s="40">
        <v>1</v>
      </c>
      <c r="D1904" s="91">
        <v>877.5</v>
      </c>
      <c r="E1904" s="40">
        <v>500</v>
      </c>
      <c r="F1904" s="40">
        <f>C1904*D1904*E1904</f>
        <v>438750</v>
      </c>
      <c r="G1904" s="55">
        <v>0.3</v>
      </c>
      <c r="H1904" s="42">
        <f>F1904*(1-G1904)</f>
        <v>307125</v>
      </c>
    </row>
    <row r="1905" spans="1:8" ht="100.8" x14ac:dyDescent="0.3">
      <c r="A1905" s="53">
        <v>4</v>
      </c>
      <c r="B1905" s="53" t="s">
        <v>1847</v>
      </c>
      <c r="C1905" s="40">
        <v>2</v>
      </c>
      <c r="D1905" s="91">
        <v>164.64</v>
      </c>
      <c r="E1905" s="40">
        <v>400</v>
      </c>
      <c r="F1905" s="40">
        <f>C1905*D1905*E1905</f>
        <v>131712</v>
      </c>
      <c r="G1905" s="55">
        <v>0.5</v>
      </c>
      <c r="H1905" s="42">
        <f>F1905*(1-G1905)</f>
        <v>65856</v>
      </c>
    </row>
    <row r="1906" spans="1:8" ht="28.8" x14ac:dyDescent="0.3">
      <c r="A1906" s="53">
        <v>5</v>
      </c>
      <c r="B1906" s="53" t="s">
        <v>1015</v>
      </c>
      <c r="C1906" s="40">
        <v>1</v>
      </c>
      <c r="D1906" s="91">
        <v>108.79</v>
      </c>
      <c r="E1906" s="40">
        <v>22</v>
      </c>
      <c r="F1906" s="40">
        <f>C1906*D1906*E1906</f>
        <v>2393.38</v>
      </c>
      <c r="G1906" s="55">
        <v>0.4</v>
      </c>
      <c r="H1906" s="42">
        <f>F1906*(1-G1906)</f>
        <v>1436.028</v>
      </c>
    </row>
    <row r="1907" spans="1:8" x14ac:dyDescent="0.3">
      <c r="A1907" s="53"/>
      <c r="B1907" s="57" t="s">
        <v>7</v>
      </c>
      <c r="C1907" s="40"/>
      <c r="D1907" s="54"/>
      <c r="E1907" s="40"/>
      <c r="F1907" s="40"/>
      <c r="G1907" s="55"/>
      <c r="H1907" s="58">
        <f>SUM(H1902:H1906)</f>
        <v>720612.02800000005</v>
      </c>
    </row>
    <row r="1908" spans="1:8" x14ac:dyDescent="0.3">
      <c r="A1908" s="53">
        <v>6</v>
      </c>
      <c r="B1908" s="57" t="s">
        <v>8</v>
      </c>
      <c r="C1908" s="40">
        <v>1</v>
      </c>
      <c r="D1908" s="54">
        <v>2959</v>
      </c>
      <c r="E1908" s="40">
        <v>5</v>
      </c>
      <c r="F1908" s="40">
        <f>C1908*D1908*E1908</f>
        <v>14795</v>
      </c>
      <c r="G1908" s="55">
        <v>0</v>
      </c>
      <c r="H1908" s="58">
        <f>(1-G1908)*F1908</f>
        <v>14795</v>
      </c>
    </row>
    <row r="1909" spans="1:8" x14ac:dyDescent="0.3">
      <c r="A1909" s="53"/>
      <c r="B1909" s="57" t="s">
        <v>9</v>
      </c>
      <c r="C1909" s="39"/>
      <c r="D1909" s="59"/>
      <c r="E1909" s="39"/>
      <c r="F1909" s="39"/>
      <c r="G1909" s="39"/>
      <c r="H1909" s="58">
        <f>H1907+H1908</f>
        <v>735407.02800000005</v>
      </c>
    </row>
    <row r="1910" spans="1:8" x14ac:dyDescent="0.3">
      <c r="A1910" s="51"/>
      <c r="B1910" s="57"/>
      <c r="C1910" s="39"/>
      <c r="D1910" s="59"/>
      <c r="E1910" s="39"/>
      <c r="F1910" s="39"/>
      <c r="G1910" s="39"/>
      <c r="H1910" s="58"/>
    </row>
    <row r="1911" spans="1:8" x14ac:dyDescent="0.3">
      <c r="A1911" s="44"/>
      <c r="B1911" s="86">
        <v>5192</v>
      </c>
      <c r="C1911" s="44" t="s">
        <v>237</v>
      </c>
      <c r="D1911" s="73"/>
      <c r="E1911" s="46" t="s">
        <v>238</v>
      </c>
      <c r="F1911" s="47"/>
      <c r="G1911" s="47"/>
      <c r="H1911" s="98"/>
    </row>
    <row r="1912" spans="1:8" x14ac:dyDescent="0.3">
      <c r="A1912" s="39"/>
      <c r="B1912" s="107" t="s">
        <v>0</v>
      </c>
      <c r="C1912" s="107" t="s">
        <v>1</v>
      </c>
      <c r="D1912" s="108" t="s">
        <v>2</v>
      </c>
      <c r="E1912" s="109" t="s">
        <v>3</v>
      </c>
      <c r="F1912" s="109" t="s">
        <v>4</v>
      </c>
      <c r="G1912" s="109" t="s">
        <v>5</v>
      </c>
      <c r="H1912" s="106" t="s">
        <v>6</v>
      </c>
    </row>
    <row r="1913" spans="1:8" ht="57.6" x14ac:dyDescent="0.3">
      <c r="A1913" s="40">
        <v>1</v>
      </c>
      <c r="B1913" s="110" t="s">
        <v>239</v>
      </c>
      <c r="C1913" s="40">
        <v>1</v>
      </c>
      <c r="D1913" s="54">
        <v>291</v>
      </c>
      <c r="E1913" s="40">
        <v>200</v>
      </c>
      <c r="F1913" s="40">
        <f>C1913*D1913*E1913</f>
        <v>58200</v>
      </c>
      <c r="G1913" s="55">
        <v>0.4</v>
      </c>
      <c r="H1913" s="42">
        <f>F1913*(1-G1913)</f>
        <v>34920</v>
      </c>
    </row>
    <row r="1914" spans="1:8" ht="72" x14ac:dyDescent="0.3">
      <c r="A1914" s="40">
        <v>2</v>
      </c>
      <c r="B1914" s="110" t="s">
        <v>240</v>
      </c>
      <c r="C1914" s="40">
        <v>1</v>
      </c>
      <c r="D1914" s="54">
        <v>102.9</v>
      </c>
      <c r="E1914" s="40">
        <v>100</v>
      </c>
      <c r="F1914" s="40">
        <f>C1914*D1914*E1914</f>
        <v>10290</v>
      </c>
      <c r="G1914" s="55">
        <v>0.4</v>
      </c>
      <c r="H1914" s="42">
        <f>F1914*(1-G1914)</f>
        <v>6174</v>
      </c>
    </row>
    <row r="1915" spans="1:8" ht="72" x14ac:dyDescent="0.3">
      <c r="A1915" s="40">
        <v>2</v>
      </c>
      <c r="B1915" s="110" t="s">
        <v>241</v>
      </c>
      <c r="C1915" s="40">
        <v>1</v>
      </c>
      <c r="D1915" s="54">
        <f>15*6</f>
        <v>90</v>
      </c>
      <c r="E1915" s="40">
        <v>100</v>
      </c>
      <c r="F1915" s="40">
        <f>C1915*D1915*E1915</f>
        <v>9000</v>
      </c>
      <c r="G1915" s="55">
        <v>0.4</v>
      </c>
      <c r="H1915" s="42">
        <f>F1915*(1-G1915)</f>
        <v>5400</v>
      </c>
    </row>
    <row r="1916" spans="1:8" x14ac:dyDescent="0.3">
      <c r="A1916" s="40">
        <v>3</v>
      </c>
      <c r="B1916" s="110" t="s">
        <v>1539</v>
      </c>
      <c r="C1916" s="40">
        <v>1</v>
      </c>
      <c r="D1916" s="54">
        <v>762</v>
      </c>
      <c r="E1916" s="40">
        <v>45</v>
      </c>
      <c r="F1916" s="40">
        <f>C1916*D1916*E1916</f>
        <v>34290</v>
      </c>
      <c r="G1916" s="55">
        <v>0.7</v>
      </c>
      <c r="H1916" s="42">
        <f>F1916*(1-G1916)</f>
        <v>10287.000000000002</v>
      </c>
    </row>
    <row r="1917" spans="1:8" x14ac:dyDescent="0.3">
      <c r="A1917" s="40"/>
      <c r="B1917" s="57" t="s">
        <v>7</v>
      </c>
      <c r="C1917" s="40"/>
      <c r="D1917" s="54"/>
      <c r="E1917" s="40"/>
      <c r="F1917" s="40"/>
      <c r="G1917" s="55"/>
      <c r="H1917" s="58">
        <f>SUM(H1913:H1916)</f>
        <v>56781</v>
      </c>
    </row>
    <row r="1918" spans="1:8" x14ac:dyDescent="0.3">
      <c r="A1918" s="40">
        <v>4</v>
      </c>
      <c r="B1918" s="57" t="s">
        <v>8</v>
      </c>
      <c r="C1918" s="40">
        <v>1</v>
      </c>
      <c r="D1918" s="54">
        <v>36222</v>
      </c>
      <c r="E1918" s="40">
        <v>5</v>
      </c>
      <c r="F1918" s="40">
        <f>(10000*5)+(10000*3.75)+(10000*2.5)+(6222*1.25)</f>
        <v>120277.5</v>
      </c>
      <c r="G1918" s="55">
        <v>0</v>
      </c>
      <c r="H1918" s="58">
        <f>(1-G1918)*F1918</f>
        <v>120277.5</v>
      </c>
    </row>
    <row r="1919" spans="1:8" x14ac:dyDescent="0.3">
      <c r="A1919" s="51"/>
      <c r="B1919" s="57" t="s">
        <v>9</v>
      </c>
      <c r="C1919" s="39"/>
      <c r="D1919" s="59"/>
      <c r="E1919" s="39"/>
      <c r="F1919" s="39"/>
      <c r="G1919" s="39"/>
      <c r="H1919" s="58">
        <f>H1917+H1918</f>
        <v>177058.5</v>
      </c>
    </row>
    <row r="1920" spans="1:8" x14ac:dyDescent="0.3">
      <c r="A1920" s="40"/>
      <c r="B1920" s="40"/>
      <c r="C1920" s="40"/>
      <c r="D1920" s="41"/>
      <c r="E1920" s="40"/>
      <c r="F1920" s="40"/>
      <c r="G1920" s="40"/>
      <c r="H1920" s="42"/>
    </row>
    <row r="1921" spans="1:8" x14ac:dyDescent="0.3">
      <c r="A1921" s="44"/>
      <c r="B1921" s="86">
        <v>5193</v>
      </c>
      <c r="C1921" s="44" t="s">
        <v>237</v>
      </c>
      <c r="D1921" s="73"/>
      <c r="E1921" s="46" t="s">
        <v>242</v>
      </c>
      <c r="F1921" s="47"/>
      <c r="G1921" s="47"/>
      <c r="H1921" s="98"/>
    </row>
    <row r="1922" spans="1:8" x14ac:dyDescent="0.3">
      <c r="A1922" s="39"/>
      <c r="B1922" s="107" t="s">
        <v>0</v>
      </c>
      <c r="C1922" s="107" t="s">
        <v>1</v>
      </c>
      <c r="D1922" s="108" t="s">
        <v>2</v>
      </c>
      <c r="E1922" s="109" t="s">
        <v>3</v>
      </c>
      <c r="F1922" s="109" t="s">
        <v>4</v>
      </c>
      <c r="G1922" s="109" t="s">
        <v>5</v>
      </c>
      <c r="H1922" s="106" t="s">
        <v>6</v>
      </c>
    </row>
    <row r="1923" spans="1:8" ht="72" x14ac:dyDescent="0.3">
      <c r="A1923" s="40">
        <v>1</v>
      </c>
      <c r="B1923" s="110" t="s">
        <v>243</v>
      </c>
      <c r="C1923" s="40">
        <v>1</v>
      </c>
      <c r="D1923" s="54">
        <v>14.85</v>
      </c>
      <c r="E1923" s="40">
        <v>100</v>
      </c>
      <c r="F1923" s="40">
        <f>C1923*D1923*E1923</f>
        <v>1485</v>
      </c>
      <c r="G1923" s="55">
        <v>0.5</v>
      </c>
      <c r="H1923" s="42">
        <f>F1923*(1-G1923)</f>
        <v>742.5</v>
      </c>
    </row>
    <row r="1924" spans="1:8" x14ac:dyDescent="0.3">
      <c r="A1924" s="40">
        <v>2</v>
      </c>
      <c r="B1924" s="110" t="s">
        <v>1539</v>
      </c>
      <c r="C1924" s="40">
        <v>1</v>
      </c>
      <c r="D1924" s="54">
        <v>531.67999999999995</v>
      </c>
      <c r="E1924" s="40">
        <v>45</v>
      </c>
      <c r="F1924" s="40">
        <f>C1924*D1924*E1924</f>
        <v>23925.599999999999</v>
      </c>
      <c r="G1924" s="55">
        <v>0.7</v>
      </c>
      <c r="H1924" s="42">
        <f>F1924*(1-G1924)</f>
        <v>7177.68</v>
      </c>
    </row>
    <row r="1925" spans="1:8" x14ac:dyDescent="0.3">
      <c r="A1925" s="40"/>
      <c r="B1925" s="57" t="s">
        <v>7</v>
      </c>
      <c r="C1925" s="40"/>
      <c r="D1925" s="54"/>
      <c r="E1925" s="40"/>
      <c r="F1925" s="40"/>
      <c r="G1925" s="55"/>
      <c r="H1925" s="58">
        <f>SUM(H1923:H1924)</f>
        <v>7920.18</v>
      </c>
    </row>
    <row r="1926" spans="1:8" x14ac:dyDescent="0.3">
      <c r="A1926" s="40">
        <v>3</v>
      </c>
      <c r="B1926" s="57" t="s">
        <v>8</v>
      </c>
      <c r="C1926" s="40">
        <v>1</v>
      </c>
      <c r="D1926" s="54">
        <v>17668</v>
      </c>
      <c r="E1926" s="40">
        <v>5</v>
      </c>
      <c r="F1926" s="40">
        <f>(10000*5)+(7668*3.75)</f>
        <v>78755</v>
      </c>
      <c r="G1926" s="55">
        <v>0</v>
      </c>
      <c r="H1926" s="58">
        <f>(1-G1926)*F1926</f>
        <v>78755</v>
      </c>
    </row>
    <row r="1927" spans="1:8" x14ac:dyDescent="0.3">
      <c r="A1927" s="51"/>
      <c r="B1927" s="57" t="s">
        <v>9</v>
      </c>
      <c r="C1927" s="39"/>
      <c r="D1927" s="59"/>
      <c r="E1927" s="39"/>
      <c r="F1927" s="39"/>
      <c r="G1927" s="39"/>
      <c r="H1927" s="58">
        <f>H1925+H1926</f>
        <v>86675.18</v>
      </c>
    </row>
    <row r="1928" spans="1:8" x14ac:dyDescent="0.3">
      <c r="A1928" s="51"/>
      <c r="B1928" s="57"/>
      <c r="C1928" s="39"/>
      <c r="D1928" s="59"/>
      <c r="E1928" s="39"/>
      <c r="F1928" s="39"/>
      <c r="G1928" s="39"/>
      <c r="H1928" s="58"/>
    </row>
    <row r="1929" spans="1:8" x14ac:dyDescent="0.3">
      <c r="A1929" s="44"/>
      <c r="B1929" s="86">
        <v>5272</v>
      </c>
      <c r="C1929" s="44" t="s">
        <v>179</v>
      </c>
      <c r="D1929" s="73"/>
      <c r="E1929" s="46" t="s">
        <v>194</v>
      </c>
      <c r="F1929" s="47"/>
      <c r="G1929" s="47"/>
      <c r="H1929" s="98"/>
    </row>
    <row r="1930" spans="1:8" x14ac:dyDescent="0.3">
      <c r="A1930" s="39"/>
      <c r="B1930" s="107" t="s">
        <v>0</v>
      </c>
      <c r="C1930" s="107" t="s">
        <v>1</v>
      </c>
      <c r="D1930" s="108" t="s">
        <v>2</v>
      </c>
      <c r="E1930" s="109" t="s">
        <v>3</v>
      </c>
      <c r="F1930" s="109" t="s">
        <v>4</v>
      </c>
      <c r="G1930" s="109" t="s">
        <v>5</v>
      </c>
      <c r="H1930" s="106" t="s">
        <v>6</v>
      </c>
    </row>
    <row r="1931" spans="1:8" ht="57.6" x14ac:dyDescent="0.3">
      <c r="A1931" s="40">
        <v>1</v>
      </c>
      <c r="B1931" s="110" t="s">
        <v>199</v>
      </c>
      <c r="C1931" s="40">
        <v>1</v>
      </c>
      <c r="D1931" s="54">
        <f>30.5*10</f>
        <v>305</v>
      </c>
      <c r="E1931" s="40">
        <v>450</v>
      </c>
      <c r="F1931" s="40">
        <f t="shared" ref="F1931:F1941" si="141">C1931*D1931*E1931</f>
        <v>137250</v>
      </c>
      <c r="G1931" s="55">
        <v>0.5</v>
      </c>
      <c r="H1931" s="42">
        <f>F1931*(1-G1931)</f>
        <v>68625</v>
      </c>
    </row>
    <row r="1932" spans="1:8" ht="72" x14ac:dyDescent="0.3">
      <c r="A1932" s="40">
        <v>2</v>
      </c>
      <c r="B1932" s="110" t="s">
        <v>1848</v>
      </c>
      <c r="C1932" s="40">
        <v>1</v>
      </c>
      <c r="D1932" s="54">
        <f>25.6*6.5</f>
        <v>166.4</v>
      </c>
      <c r="E1932" s="40">
        <v>450</v>
      </c>
      <c r="F1932" s="40">
        <f t="shared" si="141"/>
        <v>74880</v>
      </c>
      <c r="G1932" s="55">
        <v>0.5</v>
      </c>
      <c r="H1932" s="42">
        <f>F1932*(1-G1932)</f>
        <v>37440</v>
      </c>
    </row>
    <row r="1933" spans="1:8" ht="43.2" x14ac:dyDescent="0.3">
      <c r="A1933" s="40">
        <v>3</v>
      </c>
      <c r="B1933" s="53" t="s">
        <v>195</v>
      </c>
      <c r="C1933" s="40">
        <v>1</v>
      </c>
      <c r="D1933" s="41">
        <f>45.5*6.5</f>
        <v>295.75</v>
      </c>
      <c r="E1933" s="40">
        <v>80</v>
      </c>
      <c r="F1933" s="40">
        <f t="shared" si="141"/>
        <v>23660</v>
      </c>
      <c r="G1933" s="55">
        <v>0.5</v>
      </c>
      <c r="H1933" s="42">
        <f>(1-G1933)*F1933</f>
        <v>11830</v>
      </c>
    </row>
    <row r="1934" spans="1:8" ht="57.6" x14ac:dyDescent="0.3">
      <c r="A1934" s="40">
        <v>4</v>
      </c>
      <c r="B1934" s="110" t="s">
        <v>196</v>
      </c>
      <c r="C1934" s="40">
        <v>1</v>
      </c>
      <c r="D1934" s="54">
        <f>23.5*45.3</f>
        <v>1064.55</v>
      </c>
      <c r="E1934" s="40">
        <v>350</v>
      </c>
      <c r="F1934" s="40">
        <f t="shared" si="141"/>
        <v>372592.5</v>
      </c>
      <c r="G1934" s="55">
        <v>0.4</v>
      </c>
      <c r="H1934" s="42">
        <f>F1934*(1-G1934)</f>
        <v>223555.5</v>
      </c>
    </row>
    <row r="1935" spans="1:8" ht="43.2" x14ac:dyDescent="0.3">
      <c r="A1935" s="40">
        <v>5</v>
      </c>
      <c r="B1935" s="53" t="s">
        <v>197</v>
      </c>
      <c r="C1935" s="40">
        <v>1</v>
      </c>
      <c r="D1935" s="41">
        <v>31.05</v>
      </c>
      <c r="E1935" s="40">
        <v>80</v>
      </c>
      <c r="F1935" s="40">
        <f t="shared" si="141"/>
        <v>2484</v>
      </c>
      <c r="G1935" s="55">
        <v>0.4</v>
      </c>
      <c r="H1935" s="42">
        <f>(1-G1935)*F1935</f>
        <v>1490.3999999999999</v>
      </c>
    </row>
    <row r="1936" spans="1:8" ht="43.2" x14ac:dyDescent="0.3">
      <c r="A1936" s="40">
        <v>6</v>
      </c>
      <c r="B1936" s="53" t="s">
        <v>198</v>
      </c>
      <c r="C1936" s="40">
        <v>1</v>
      </c>
      <c r="D1936" s="41">
        <v>70</v>
      </c>
      <c r="E1936" s="40">
        <v>80</v>
      </c>
      <c r="F1936" s="40">
        <f t="shared" si="141"/>
        <v>5600</v>
      </c>
      <c r="G1936" s="55">
        <v>0.4</v>
      </c>
      <c r="H1936" s="42">
        <f>(1-G1936)*F1936</f>
        <v>3360</v>
      </c>
    </row>
    <row r="1937" spans="1:8" ht="72" x14ac:dyDescent="0.3">
      <c r="A1937" s="40">
        <v>7</v>
      </c>
      <c r="B1937" s="110" t="s">
        <v>200</v>
      </c>
      <c r="C1937" s="40">
        <v>1</v>
      </c>
      <c r="D1937" s="54">
        <v>182.6</v>
      </c>
      <c r="E1937" s="40">
        <v>400</v>
      </c>
      <c r="F1937" s="40">
        <f t="shared" si="141"/>
        <v>73040</v>
      </c>
      <c r="G1937" s="55">
        <v>0.5</v>
      </c>
      <c r="H1937" s="42">
        <f>F1937*(1-G1937)</f>
        <v>36520</v>
      </c>
    </row>
    <row r="1938" spans="1:8" ht="72" x14ac:dyDescent="0.3">
      <c r="A1938" s="40">
        <v>8</v>
      </c>
      <c r="B1938" s="110" t="s">
        <v>1616</v>
      </c>
      <c r="C1938" s="40">
        <v>1</v>
      </c>
      <c r="D1938" s="54">
        <f>(9.7*25.6)+(20*35.6)</f>
        <v>960.31999999999994</v>
      </c>
      <c r="E1938" s="40">
        <v>350</v>
      </c>
      <c r="F1938" s="40">
        <f t="shared" si="141"/>
        <v>336112</v>
      </c>
      <c r="G1938" s="55">
        <v>0.4</v>
      </c>
      <c r="H1938" s="42">
        <f>F1938*(1-G1938)</f>
        <v>201667.19999999998</v>
      </c>
    </row>
    <row r="1939" spans="1:8" ht="72" x14ac:dyDescent="0.3">
      <c r="A1939" s="40">
        <v>9</v>
      </c>
      <c r="B1939" s="110" t="s">
        <v>1617</v>
      </c>
      <c r="C1939" s="40">
        <v>1</v>
      </c>
      <c r="D1939" s="54">
        <v>18</v>
      </c>
      <c r="E1939" s="40">
        <v>100</v>
      </c>
      <c r="F1939" s="40">
        <f t="shared" si="141"/>
        <v>1800</v>
      </c>
      <c r="G1939" s="55">
        <v>0.4</v>
      </c>
      <c r="H1939" s="42">
        <f>F1939*(1-G1939)</f>
        <v>1080</v>
      </c>
    </row>
    <row r="1940" spans="1:8" ht="57.6" x14ac:dyDescent="0.3">
      <c r="A1940" s="40">
        <v>10</v>
      </c>
      <c r="B1940" s="110" t="s">
        <v>1618</v>
      </c>
      <c r="C1940" s="40">
        <v>1</v>
      </c>
      <c r="D1940" s="54">
        <v>18.55</v>
      </c>
      <c r="E1940" s="40">
        <v>100</v>
      </c>
      <c r="F1940" s="40">
        <f t="shared" si="141"/>
        <v>1855</v>
      </c>
      <c r="G1940" s="55">
        <v>0.4</v>
      </c>
      <c r="H1940" s="42">
        <f>F1940*(1-G1940)</f>
        <v>1113</v>
      </c>
    </row>
    <row r="1941" spans="1:8" ht="28.8" x14ac:dyDescent="0.3">
      <c r="A1941" s="40">
        <v>11</v>
      </c>
      <c r="B1941" s="110" t="s">
        <v>207</v>
      </c>
      <c r="C1941" s="40">
        <v>1</v>
      </c>
      <c r="D1941" s="54">
        <v>283</v>
      </c>
      <c r="E1941" s="40">
        <v>30</v>
      </c>
      <c r="F1941" s="40">
        <f t="shared" si="141"/>
        <v>8490</v>
      </c>
      <c r="G1941" s="55">
        <v>0.4</v>
      </c>
      <c r="H1941" s="42">
        <f>F1941*(1-G1941)</f>
        <v>5094</v>
      </c>
    </row>
    <row r="1942" spans="1:8" x14ac:dyDescent="0.3">
      <c r="A1942" s="40"/>
      <c r="B1942" s="57" t="s">
        <v>7</v>
      </c>
      <c r="C1942" s="40"/>
      <c r="D1942" s="54"/>
      <c r="E1942" s="40"/>
      <c r="F1942" s="40"/>
      <c r="G1942" s="55"/>
      <c r="H1942" s="58">
        <f>SUM(H1931:H1941)</f>
        <v>591775.1</v>
      </c>
    </row>
    <row r="1943" spans="1:8" x14ac:dyDescent="0.3">
      <c r="A1943" s="40">
        <v>12</v>
      </c>
      <c r="B1943" s="57" t="s">
        <v>8</v>
      </c>
      <c r="C1943" s="40">
        <v>1</v>
      </c>
      <c r="D1943" s="54">
        <v>5000</v>
      </c>
      <c r="E1943" s="40">
        <v>5</v>
      </c>
      <c r="F1943" s="40">
        <f>C1943*D1943*E1943</f>
        <v>25000</v>
      </c>
      <c r="G1943" s="55">
        <v>0</v>
      </c>
      <c r="H1943" s="58">
        <f>(1-G1943)*F1943</f>
        <v>25000</v>
      </c>
    </row>
    <row r="1944" spans="1:8" x14ac:dyDescent="0.3">
      <c r="A1944" s="51"/>
      <c r="B1944" s="57" t="s">
        <v>9</v>
      </c>
      <c r="C1944" s="39"/>
      <c r="D1944" s="59"/>
      <c r="E1944" s="39"/>
      <c r="F1944" s="39"/>
      <c r="G1944" s="39"/>
      <c r="H1944" s="58">
        <f>H1942+H1943</f>
        <v>616775.1</v>
      </c>
    </row>
    <row r="1945" spans="1:8" ht="86.4" x14ac:dyDescent="0.3">
      <c r="A1945" s="43"/>
      <c r="B1945" s="72" t="s">
        <v>1232</v>
      </c>
      <c r="C1945" s="86" t="s">
        <v>1233</v>
      </c>
      <c r="D1945" s="73"/>
      <c r="E1945" s="47" t="s">
        <v>1234</v>
      </c>
      <c r="F1945" s="60"/>
      <c r="G1945" s="60"/>
      <c r="H1945" s="48"/>
    </row>
    <row r="1946" spans="1:8" x14ac:dyDescent="0.3">
      <c r="A1946" s="39"/>
      <c r="B1946" s="107" t="s">
        <v>10</v>
      </c>
      <c r="C1946" s="107"/>
      <c r="D1946" s="108" t="s">
        <v>2</v>
      </c>
      <c r="E1946" s="109" t="s">
        <v>3</v>
      </c>
      <c r="F1946" s="109" t="s">
        <v>4</v>
      </c>
      <c r="G1946" s="109" t="s">
        <v>5</v>
      </c>
      <c r="H1946" s="106" t="s">
        <v>6</v>
      </c>
    </row>
    <row r="1947" spans="1:8" ht="86.4" x14ac:dyDescent="0.3">
      <c r="A1947" s="53">
        <v>1</v>
      </c>
      <c r="B1947" s="53" t="s">
        <v>1619</v>
      </c>
      <c r="C1947" s="40">
        <v>1</v>
      </c>
      <c r="D1947" s="91">
        <v>24.6</v>
      </c>
      <c r="E1947" s="40">
        <v>100</v>
      </c>
      <c r="F1947" s="40">
        <f>C1947*D1947*E1947</f>
        <v>2460</v>
      </c>
      <c r="G1947" s="55">
        <v>0.5</v>
      </c>
      <c r="H1947" s="42">
        <f>F1947*(1-G1947)</f>
        <v>1230</v>
      </c>
    </row>
    <row r="1948" spans="1:8" ht="57.6" x14ac:dyDescent="0.3">
      <c r="A1948" s="53">
        <v>2</v>
      </c>
      <c r="B1948" s="53" t="s">
        <v>1318</v>
      </c>
      <c r="C1948" s="40">
        <v>1</v>
      </c>
      <c r="D1948" s="91">
        <v>52.52</v>
      </c>
      <c r="E1948" s="40">
        <v>80</v>
      </c>
      <c r="F1948" s="40">
        <f>C1948*D1948*E1948</f>
        <v>4201.6000000000004</v>
      </c>
      <c r="G1948" s="55">
        <v>0.5</v>
      </c>
      <c r="H1948" s="42">
        <f>F1948*(1-G1948)</f>
        <v>2100.8000000000002</v>
      </c>
    </row>
    <row r="1949" spans="1:8" x14ac:dyDescent="0.3">
      <c r="A1949" s="53"/>
      <c r="B1949" s="57" t="s">
        <v>7</v>
      </c>
      <c r="C1949" s="40"/>
      <c r="D1949" s="54"/>
      <c r="E1949" s="40"/>
      <c r="F1949" s="40"/>
      <c r="G1949" s="55"/>
      <c r="H1949" s="58">
        <f>SUM(H1947:H1948)</f>
        <v>3330.8</v>
      </c>
    </row>
    <row r="1950" spans="1:8" x14ac:dyDescent="0.3">
      <c r="A1950" s="53">
        <v>3</v>
      </c>
      <c r="B1950" s="57" t="s">
        <v>8</v>
      </c>
      <c r="C1950" s="40">
        <v>1</v>
      </c>
      <c r="D1950" s="54">
        <v>0</v>
      </c>
      <c r="E1950" s="40">
        <v>5</v>
      </c>
      <c r="F1950" s="40">
        <f>C1950*D1950*E1950</f>
        <v>0</v>
      </c>
      <c r="G1950" s="55">
        <v>0</v>
      </c>
      <c r="H1950" s="58">
        <f>(1-G1950)*F1950</f>
        <v>0</v>
      </c>
    </row>
    <row r="1951" spans="1:8" x14ac:dyDescent="0.3">
      <c r="A1951" s="53"/>
      <c r="B1951" s="57" t="s">
        <v>9</v>
      </c>
      <c r="C1951" s="39"/>
      <c r="D1951" s="59"/>
      <c r="E1951" s="39"/>
      <c r="F1951" s="39"/>
      <c r="G1951" s="39"/>
      <c r="H1951" s="58">
        <f>H1949+H1950</f>
        <v>3330.8</v>
      </c>
    </row>
    <row r="1952" spans="1:8" x14ac:dyDescent="0.3">
      <c r="A1952" s="43"/>
      <c r="B1952" s="79">
        <v>5636</v>
      </c>
      <c r="C1952" s="47" t="s">
        <v>877</v>
      </c>
      <c r="D1952" s="156"/>
      <c r="E1952" s="47" t="s">
        <v>878</v>
      </c>
      <c r="F1952" s="47"/>
      <c r="G1952" s="60"/>
      <c r="H1952" s="48"/>
    </row>
    <row r="1953" spans="1:8" x14ac:dyDescent="0.3">
      <c r="A1953" s="39"/>
      <c r="B1953" s="165" t="s">
        <v>10</v>
      </c>
      <c r="C1953" s="166" t="s">
        <v>1</v>
      </c>
      <c r="D1953" s="167" t="s">
        <v>2</v>
      </c>
      <c r="E1953" s="165" t="s">
        <v>3</v>
      </c>
      <c r="F1953" s="165" t="s">
        <v>4</v>
      </c>
      <c r="G1953" s="165" t="s">
        <v>5</v>
      </c>
      <c r="H1953" s="168" t="s">
        <v>6</v>
      </c>
    </row>
    <row r="1954" spans="1:8" ht="86.4" x14ac:dyDescent="0.3">
      <c r="A1954" s="40">
        <v>1</v>
      </c>
      <c r="B1954" s="53" t="s">
        <v>1526</v>
      </c>
      <c r="C1954" s="40">
        <v>1</v>
      </c>
      <c r="D1954" s="41">
        <v>212.47</v>
      </c>
      <c r="E1954" s="40">
        <v>550</v>
      </c>
      <c r="F1954" s="40">
        <f>C1954*D1954*E1954</f>
        <v>116858.5</v>
      </c>
      <c r="G1954" s="55">
        <v>0.6</v>
      </c>
      <c r="H1954" s="42">
        <f>(1-G1954)*F1954</f>
        <v>46743.4</v>
      </c>
    </row>
    <row r="1955" spans="1:8" ht="72" x14ac:dyDescent="0.3">
      <c r="A1955" s="40">
        <v>2</v>
      </c>
      <c r="B1955" s="53" t="s">
        <v>879</v>
      </c>
      <c r="C1955" s="40">
        <v>1</v>
      </c>
      <c r="D1955" s="54">
        <v>146.56</v>
      </c>
      <c r="E1955" s="40">
        <v>450</v>
      </c>
      <c r="F1955" s="40">
        <f>C1955*D1955*E1955</f>
        <v>65952</v>
      </c>
      <c r="G1955" s="55">
        <v>0.5</v>
      </c>
      <c r="H1955" s="42">
        <f>F1955*(1-G1955)</f>
        <v>32976</v>
      </c>
    </row>
    <row r="1956" spans="1:8" ht="72" x14ac:dyDescent="0.3">
      <c r="A1956" s="40">
        <v>3</v>
      </c>
      <c r="B1956" s="53" t="s">
        <v>1527</v>
      </c>
      <c r="C1956" s="40">
        <v>1</v>
      </c>
      <c r="D1956" s="54">
        <v>500.37</v>
      </c>
      <c r="E1956" s="40">
        <v>550</v>
      </c>
      <c r="F1956" s="40">
        <f>C1956*D1956*E1956</f>
        <v>275203.5</v>
      </c>
      <c r="G1956" s="55">
        <v>0.6</v>
      </c>
      <c r="H1956" s="42">
        <f>F1956*(1-G1956)</f>
        <v>110081.40000000001</v>
      </c>
    </row>
    <row r="1957" spans="1:8" s="3" customFormat="1" ht="57.6" x14ac:dyDescent="0.3">
      <c r="A1957" s="40">
        <v>4</v>
      </c>
      <c r="B1957" s="53" t="s">
        <v>880</v>
      </c>
      <c r="C1957" s="40">
        <v>1</v>
      </c>
      <c r="D1957" s="54">
        <v>135</v>
      </c>
      <c r="E1957" s="40">
        <v>150</v>
      </c>
      <c r="F1957" s="40">
        <f>C1957*D1957*E1957</f>
        <v>20250</v>
      </c>
      <c r="G1957" s="55">
        <v>0.7</v>
      </c>
      <c r="H1957" s="42">
        <f>F1957*(1-G1957)</f>
        <v>6075.0000000000009</v>
      </c>
    </row>
    <row r="1958" spans="1:8" ht="43.2" x14ac:dyDescent="0.3">
      <c r="A1958" s="40">
        <v>5</v>
      </c>
      <c r="B1958" s="53" t="s">
        <v>1319</v>
      </c>
      <c r="C1958" s="40">
        <v>1</v>
      </c>
      <c r="D1958" s="54">
        <v>87.3</v>
      </c>
      <c r="E1958" s="40">
        <v>80</v>
      </c>
      <c r="F1958" s="40">
        <f>C1958*D1958*E1958</f>
        <v>6984</v>
      </c>
      <c r="G1958" s="55">
        <v>0.6</v>
      </c>
      <c r="H1958" s="42">
        <f>F1958*(1-G1958)</f>
        <v>2793.6000000000004</v>
      </c>
    </row>
    <row r="1959" spans="1:8" x14ac:dyDescent="0.3">
      <c r="A1959" s="40"/>
      <c r="B1959" s="40" t="s">
        <v>11</v>
      </c>
      <c r="C1959" s="57"/>
      <c r="D1959" s="105"/>
      <c r="E1959" s="39"/>
      <c r="F1959" s="39"/>
      <c r="G1959" s="39"/>
      <c r="H1959" s="58">
        <f>SUM(H1954:H1958)</f>
        <v>198669.4</v>
      </c>
    </row>
    <row r="1960" spans="1:8" x14ac:dyDescent="0.3">
      <c r="A1960" s="40">
        <v>6</v>
      </c>
      <c r="B1960" s="40" t="s">
        <v>8</v>
      </c>
      <c r="C1960" s="40">
        <v>1</v>
      </c>
      <c r="D1960" s="146">
        <v>9375</v>
      </c>
      <c r="E1960" s="40">
        <v>5</v>
      </c>
      <c r="F1960" s="169">
        <f>C1960*D1960*E1960</f>
        <v>46875</v>
      </c>
      <c r="G1960" s="55">
        <v>0</v>
      </c>
      <c r="H1960" s="42">
        <f>(1-G1960)*F1960</f>
        <v>46875</v>
      </c>
    </row>
    <row r="1961" spans="1:8" x14ac:dyDescent="0.3">
      <c r="A1961" s="40"/>
      <c r="B1961" s="39" t="s">
        <v>9</v>
      </c>
      <c r="C1961" s="39"/>
      <c r="D1961" s="105"/>
      <c r="E1961" s="39"/>
      <c r="F1961" s="170"/>
      <c r="G1961" s="39"/>
      <c r="H1961" s="58">
        <f>H1959+H1960</f>
        <v>245544.4</v>
      </c>
    </row>
    <row r="1962" spans="1:8" x14ac:dyDescent="0.3">
      <c r="A1962" s="40"/>
      <c r="B1962" s="40"/>
      <c r="C1962" s="40"/>
      <c r="D1962" s="41"/>
      <c r="E1962" s="40"/>
      <c r="F1962" s="40"/>
      <c r="G1962" s="40"/>
      <c r="H1962" s="42"/>
    </row>
    <row r="1963" spans="1:8" x14ac:dyDescent="0.3">
      <c r="A1963" s="44"/>
      <c r="B1963" s="62">
        <v>5637</v>
      </c>
      <c r="C1963" s="44" t="s">
        <v>153</v>
      </c>
      <c r="D1963" s="73"/>
      <c r="E1963" s="46" t="s">
        <v>460</v>
      </c>
      <c r="F1963" s="47" t="s">
        <v>1943</v>
      </c>
      <c r="G1963" s="47"/>
      <c r="H1963" s="98"/>
    </row>
    <row r="1964" spans="1:8" x14ac:dyDescent="0.3">
      <c r="A1964" s="39"/>
      <c r="B1964" s="107" t="s">
        <v>0</v>
      </c>
      <c r="C1964" s="107" t="s">
        <v>1</v>
      </c>
      <c r="D1964" s="108" t="s">
        <v>2</v>
      </c>
      <c r="E1964" s="109" t="s">
        <v>3</v>
      </c>
      <c r="F1964" s="109" t="s">
        <v>4</v>
      </c>
      <c r="G1964" s="109" t="s">
        <v>5</v>
      </c>
      <c r="H1964" s="106" t="s">
        <v>6</v>
      </c>
    </row>
    <row r="1965" spans="1:8" x14ac:dyDescent="0.3">
      <c r="A1965" s="40">
        <v>1</v>
      </c>
      <c r="B1965" s="110" t="s">
        <v>295</v>
      </c>
      <c r="C1965" s="40">
        <v>1</v>
      </c>
      <c r="D1965" s="54">
        <v>323.72000000000003</v>
      </c>
      <c r="E1965" s="40">
        <v>45</v>
      </c>
      <c r="F1965" s="40">
        <f>C1965*D1965*E1965</f>
        <v>14567.400000000001</v>
      </c>
      <c r="G1965" s="55">
        <v>0.4</v>
      </c>
      <c r="H1965" s="42">
        <f>F1965*(1-G1965)</f>
        <v>8740.44</v>
      </c>
    </row>
    <row r="1966" spans="1:8" x14ac:dyDescent="0.3">
      <c r="A1966" s="40"/>
      <c r="B1966" s="57" t="s">
        <v>7</v>
      </c>
      <c r="C1966" s="40"/>
      <c r="D1966" s="54"/>
      <c r="E1966" s="40"/>
      <c r="F1966" s="40"/>
      <c r="G1966" s="55"/>
      <c r="H1966" s="58">
        <f>SUM(H1965)</f>
        <v>8740.44</v>
      </c>
    </row>
    <row r="1967" spans="1:8" x14ac:dyDescent="0.3">
      <c r="A1967" s="40">
        <v>7</v>
      </c>
      <c r="B1967" s="57" t="s">
        <v>8</v>
      </c>
      <c r="C1967" s="40">
        <v>1</v>
      </c>
      <c r="D1967" s="54">
        <v>6550</v>
      </c>
      <c r="E1967" s="40">
        <v>5</v>
      </c>
      <c r="F1967" s="40">
        <f>C1967*D1967*E1967</f>
        <v>32750</v>
      </c>
      <c r="G1967" s="55">
        <v>0</v>
      </c>
      <c r="H1967" s="58">
        <f>(1-G1967)*F1967</f>
        <v>32750</v>
      </c>
    </row>
    <row r="1968" spans="1:8" x14ac:dyDescent="0.3">
      <c r="A1968" s="51"/>
      <c r="B1968" s="57" t="s">
        <v>9</v>
      </c>
      <c r="C1968" s="39"/>
      <c r="D1968" s="59"/>
      <c r="E1968" s="39"/>
      <c r="F1968" s="39"/>
      <c r="G1968" s="39"/>
      <c r="H1968" s="58">
        <f>H1966+H1967</f>
        <v>41490.44</v>
      </c>
    </row>
    <row r="1969" spans="1:12" x14ac:dyDescent="0.3">
      <c r="A1969" s="40"/>
      <c r="B1969" s="40"/>
      <c r="C1969" s="40"/>
      <c r="D1969" s="41"/>
      <c r="E1969" s="40"/>
      <c r="F1969" s="40"/>
      <c r="G1969" s="40"/>
      <c r="H1969" s="42"/>
    </row>
    <row r="1970" spans="1:12" x14ac:dyDescent="0.3">
      <c r="A1970" s="44"/>
      <c r="B1970" s="62">
        <v>5638</v>
      </c>
      <c r="C1970" s="44" t="s">
        <v>154</v>
      </c>
      <c r="D1970" s="73"/>
      <c r="E1970" s="46" t="s">
        <v>155</v>
      </c>
      <c r="F1970" s="47"/>
      <c r="G1970" s="47"/>
      <c r="H1970" s="98"/>
    </row>
    <row r="1971" spans="1:12" x14ac:dyDescent="0.3">
      <c r="A1971" s="39"/>
      <c r="B1971" s="107" t="s">
        <v>0</v>
      </c>
      <c r="C1971" s="107" t="s">
        <v>1</v>
      </c>
      <c r="D1971" s="108" t="s">
        <v>2</v>
      </c>
      <c r="E1971" s="109" t="s">
        <v>3</v>
      </c>
      <c r="F1971" s="109" t="s">
        <v>4</v>
      </c>
      <c r="G1971" s="109" t="s">
        <v>5</v>
      </c>
      <c r="H1971" s="106" t="s">
        <v>6</v>
      </c>
    </row>
    <row r="1972" spans="1:12" ht="86.4" x14ac:dyDescent="0.3">
      <c r="A1972" s="40">
        <v>1</v>
      </c>
      <c r="B1972" s="110" t="s">
        <v>1620</v>
      </c>
      <c r="C1972" s="40">
        <v>1</v>
      </c>
      <c r="D1972" s="54">
        <v>2464</v>
      </c>
      <c r="E1972" s="40">
        <v>300</v>
      </c>
      <c r="F1972" s="40">
        <f>C1972*D1972*E1972</f>
        <v>739200</v>
      </c>
      <c r="G1972" s="55">
        <v>0.5</v>
      </c>
      <c r="H1972" s="42">
        <f>F1972*(1-G1972)</f>
        <v>369600</v>
      </c>
    </row>
    <row r="1973" spans="1:12" ht="72" x14ac:dyDescent="0.3">
      <c r="A1973" s="40">
        <v>2</v>
      </c>
      <c r="B1973" s="110" t="s">
        <v>157</v>
      </c>
      <c r="C1973" s="40">
        <v>1</v>
      </c>
      <c r="D1973" s="54">
        <v>35</v>
      </c>
      <c r="E1973" s="40">
        <v>100</v>
      </c>
      <c r="F1973" s="40">
        <f>C1973*D1973*E1973</f>
        <v>3500</v>
      </c>
      <c r="G1973" s="55">
        <v>0.2</v>
      </c>
      <c r="H1973" s="42">
        <f>F1973*(1-G1973)</f>
        <v>2800</v>
      </c>
    </row>
    <row r="1974" spans="1:12" ht="72" x14ac:dyDescent="0.3">
      <c r="A1974" s="40">
        <v>3</v>
      </c>
      <c r="B1974" s="110" t="s">
        <v>156</v>
      </c>
      <c r="C1974" s="40">
        <v>1</v>
      </c>
      <c r="D1974" s="54">
        <v>13.5</v>
      </c>
      <c r="E1974" s="40">
        <v>100</v>
      </c>
      <c r="F1974" s="40">
        <f>C1974*D1974*E1974</f>
        <v>1350</v>
      </c>
      <c r="G1974" s="55">
        <v>0.2</v>
      </c>
      <c r="H1974" s="42">
        <f>F1974*(1-G1974)</f>
        <v>1080</v>
      </c>
      <c r="I1974" s="186"/>
      <c r="J1974" s="186"/>
      <c r="K1974" s="186"/>
      <c r="L1974" s="186"/>
    </row>
    <row r="1975" spans="1:12" x14ac:dyDescent="0.3">
      <c r="A1975" s="40"/>
      <c r="B1975" s="57" t="s">
        <v>7</v>
      </c>
      <c r="C1975" s="40"/>
      <c r="D1975" s="54"/>
      <c r="E1975" s="40"/>
      <c r="F1975" s="40"/>
      <c r="G1975" s="55"/>
      <c r="H1975" s="58">
        <f>SUM(H1972:H1974)</f>
        <v>373480</v>
      </c>
    </row>
    <row r="1976" spans="1:12" x14ac:dyDescent="0.3">
      <c r="A1976" s="40">
        <v>4</v>
      </c>
      <c r="B1976" s="57" t="s">
        <v>8</v>
      </c>
      <c r="C1976" s="40">
        <v>1</v>
      </c>
      <c r="D1976" s="54">
        <v>6000</v>
      </c>
      <c r="E1976" s="40">
        <v>5</v>
      </c>
      <c r="F1976" s="40">
        <f>C1976*D1976*E1976</f>
        <v>30000</v>
      </c>
      <c r="G1976" s="55">
        <v>0</v>
      </c>
      <c r="H1976" s="58">
        <f>(1-G1976)*F1976</f>
        <v>30000</v>
      </c>
    </row>
    <row r="1977" spans="1:12" x14ac:dyDescent="0.3">
      <c r="A1977" s="51"/>
      <c r="B1977" s="57" t="s">
        <v>9</v>
      </c>
      <c r="C1977" s="39"/>
      <c r="D1977" s="59"/>
      <c r="E1977" s="39"/>
      <c r="F1977" s="39"/>
      <c r="G1977" s="39"/>
      <c r="H1977" s="58">
        <f>H1975+H1976</f>
        <v>403480</v>
      </c>
    </row>
    <row r="1978" spans="1:12" x14ac:dyDescent="0.3">
      <c r="A1978" s="40"/>
      <c r="B1978" s="40"/>
      <c r="C1978" s="40"/>
      <c r="D1978" s="41"/>
      <c r="E1978" s="40"/>
      <c r="F1978" s="40"/>
      <c r="G1978" s="40"/>
      <c r="H1978" s="42"/>
    </row>
    <row r="1979" spans="1:12" x14ac:dyDescent="0.3">
      <c r="A1979" s="44"/>
      <c r="B1979" s="86">
        <v>5639</v>
      </c>
      <c r="C1979" s="44" t="s">
        <v>154</v>
      </c>
      <c r="D1979" s="73"/>
      <c r="E1979" s="46" t="s">
        <v>158</v>
      </c>
      <c r="F1979" s="47"/>
      <c r="G1979" s="47"/>
      <c r="H1979" s="98"/>
    </row>
    <row r="1980" spans="1:12" x14ac:dyDescent="0.3">
      <c r="A1980" s="39"/>
      <c r="B1980" s="107" t="s">
        <v>0</v>
      </c>
      <c r="C1980" s="107" t="s">
        <v>1</v>
      </c>
      <c r="D1980" s="108" t="s">
        <v>2</v>
      </c>
      <c r="E1980" s="109" t="s">
        <v>3</v>
      </c>
      <c r="F1980" s="109" t="s">
        <v>4</v>
      </c>
      <c r="G1980" s="109" t="s">
        <v>5</v>
      </c>
      <c r="H1980" s="106" t="s">
        <v>6</v>
      </c>
    </row>
    <row r="1981" spans="1:12" ht="57.6" x14ac:dyDescent="0.3">
      <c r="A1981" s="40">
        <v>1</v>
      </c>
      <c r="B1981" s="110" t="s">
        <v>160</v>
      </c>
      <c r="C1981" s="40">
        <v>1</v>
      </c>
      <c r="D1981" s="54">
        <v>15</v>
      </c>
      <c r="E1981" s="40">
        <v>100</v>
      </c>
      <c r="F1981" s="40">
        <f>C1981*D1981*E1981</f>
        <v>1500</v>
      </c>
      <c r="G1981" s="55">
        <v>0.4</v>
      </c>
      <c r="H1981" s="42">
        <f>F1981*(1-G1981)</f>
        <v>900</v>
      </c>
    </row>
    <row r="1982" spans="1:12" x14ac:dyDescent="0.3">
      <c r="A1982" s="40">
        <v>2</v>
      </c>
      <c r="B1982" s="110" t="s">
        <v>1849</v>
      </c>
      <c r="C1982" s="40">
        <v>1</v>
      </c>
      <c r="D1982" s="54">
        <v>323</v>
      </c>
      <c r="E1982" s="40">
        <v>30</v>
      </c>
      <c r="F1982" s="40">
        <f>C1982*D1982*E1982</f>
        <v>9690</v>
      </c>
      <c r="G1982" s="55">
        <v>0.4</v>
      </c>
      <c r="H1982" s="42">
        <f>F1982*(1-G1982)</f>
        <v>5814</v>
      </c>
    </row>
    <row r="1983" spans="1:12" x14ac:dyDescent="0.3">
      <c r="A1983" s="40"/>
      <c r="B1983" s="57" t="s">
        <v>7</v>
      </c>
      <c r="C1983" s="40"/>
      <c r="D1983" s="54"/>
      <c r="E1983" s="40"/>
      <c r="F1983" s="40"/>
      <c r="G1983" s="55"/>
      <c r="H1983" s="58">
        <f>SUM(H1981:H1982)</f>
        <v>6714</v>
      </c>
    </row>
    <row r="1984" spans="1:12" x14ac:dyDescent="0.3">
      <c r="A1984" s="40">
        <v>3</v>
      </c>
      <c r="B1984" s="57" t="s">
        <v>8</v>
      </c>
      <c r="C1984" s="40">
        <v>1</v>
      </c>
      <c r="D1984" s="54">
        <v>6500</v>
      </c>
      <c r="E1984" s="40">
        <v>5</v>
      </c>
      <c r="F1984" s="40">
        <f>C1984*D1984*E1984</f>
        <v>32500</v>
      </c>
      <c r="G1984" s="55">
        <v>0</v>
      </c>
      <c r="H1984" s="58">
        <f>(1-G1984)*F1984</f>
        <v>32500</v>
      </c>
    </row>
    <row r="1985" spans="1:8" x14ac:dyDescent="0.3">
      <c r="A1985" s="51"/>
      <c r="B1985" s="57" t="s">
        <v>9</v>
      </c>
      <c r="C1985" s="39"/>
      <c r="D1985" s="59"/>
      <c r="E1985" s="39"/>
      <c r="F1985" s="39"/>
      <c r="G1985" s="39"/>
      <c r="H1985" s="58">
        <f>H1983+H1984</f>
        <v>39214</v>
      </c>
    </row>
    <row r="1986" spans="1:8" x14ac:dyDescent="0.3">
      <c r="A1986" s="40"/>
      <c r="B1986" s="40"/>
      <c r="C1986" s="40"/>
      <c r="D1986" s="41"/>
      <c r="E1986" s="40"/>
      <c r="F1986" s="40"/>
      <c r="G1986" s="40"/>
      <c r="H1986" s="42"/>
    </row>
    <row r="1987" spans="1:8" x14ac:dyDescent="0.3">
      <c r="A1987" s="44"/>
      <c r="B1987" s="86">
        <v>5640</v>
      </c>
      <c r="C1987" s="44" t="s">
        <v>154</v>
      </c>
      <c r="D1987" s="73"/>
      <c r="E1987" s="46" t="s">
        <v>159</v>
      </c>
      <c r="F1987" s="47"/>
      <c r="G1987" s="47"/>
      <c r="H1987" s="98"/>
    </row>
    <row r="1988" spans="1:8" x14ac:dyDescent="0.3">
      <c r="A1988" s="39"/>
      <c r="B1988" s="107" t="s">
        <v>0</v>
      </c>
      <c r="C1988" s="107" t="s">
        <v>1</v>
      </c>
      <c r="D1988" s="108" t="s">
        <v>2</v>
      </c>
      <c r="E1988" s="109" t="s">
        <v>3</v>
      </c>
      <c r="F1988" s="109" t="s">
        <v>4</v>
      </c>
      <c r="G1988" s="109" t="s">
        <v>5</v>
      </c>
      <c r="H1988" s="106" t="s">
        <v>6</v>
      </c>
    </row>
    <row r="1989" spans="1:8" ht="72" x14ac:dyDescent="0.3">
      <c r="A1989" s="40">
        <v>1</v>
      </c>
      <c r="B1989" s="110" t="s">
        <v>164</v>
      </c>
      <c r="C1989" s="40">
        <v>1</v>
      </c>
      <c r="D1989" s="54">
        <v>92</v>
      </c>
      <c r="E1989" s="40">
        <v>150</v>
      </c>
      <c r="F1989" s="40">
        <f t="shared" ref="F1989:F1994" si="142">C1989*D1989*E1989</f>
        <v>13800</v>
      </c>
      <c r="G1989" s="55">
        <v>0.5</v>
      </c>
      <c r="H1989" s="42">
        <f>F1989*(1-G1989)</f>
        <v>6900</v>
      </c>
    </row>
    <row r="1990" spans="1:8" ht="72" x14ac:dyDescent="0.3">
      <c r="A1990" s="40">
        <v>2</v>
      </c>
      <c r="B1990" s="110" t="s">
        <v>161</v>
      </c>
      <c r="C1990" s="40">
        <v>1</v>
      </c>
      <c r="D1990" s="54">
        <v>35</v>
      </c>
      <c r="E1990" s="40">
        <v>100</v>
      </c>
      <c r="F1990" s="40">
        <f t="shared" si="142"/>
        <v>3500</v>
      </c>
      <c r="G1990" s="55">
        <v>0.2</v>
      </c>
      <c r="H1990" s="42">
        <f>F1990*(1-G1990)</f>
        <v>2800</v>
      </c>
    </row>
    <row r="1991" spans="1:8" ht="57.6" x14ac:dyDescent="0.3">
      <c r="A1991" s="40">
        <v>3</v>
      </c>
      <c r="B1991" s="110" t="s">
        <v>1850</v>
      </c>
      <c r="C1991" s="40">
        <v>1</v>
      </c>
      <c r="D1991" s="54">
        <v>35</v>
      </c>
      <c r="E1991" s="40">
        <v>150</v>
      </c>
      <c r="F1991" s="40">
        <f t="shared" si="142"/>
        <v>5250</v>
      </c>
      <c r="G1991" s="55">
        <v>0.2</v>
      </c>
      <c r="H1991" s="42">
        <f>F1991*(1-G1991)</f>
        <v>4200</v>
      </c>
    </row>
    <row r="1992" spans="1:8" ht="57.6" x14ac:dyDescent="0.3">
      <c r="A1992" s="40">
        <v>4</v>
      </c>
      <c r="B1992" s="110" t="s">
        <v>162</v>
      </c>
      <c r="C1992" s="40">
        <v>1</v>
      </c>
      <c r="D1992" s="54">
        <v>18</v>
      </c>
      <c r="E1992" s="40">
        <v>100</v>
      </c>
      <c r="F1992" s="40">
        <f t="shared" si="142"/>
        <v>1800</v>
      </c>
      <c r="G1992" s="55">
        <v>0.4</v>
      </c>
      <c r="H1992" s="42">
        <f>F1992*(1-G1992)</f>
        <v>1080</v>
      </c>
    </row>
    <row r="1993" spans="1:8" ht="43.2" x14ac:dyDescent="0.3">
      <c r="A1993" s="40">
        <v>5</v>
      </c>
      <c r="B1993" s="53" t="s">
        <v>163</v>
      </c>
      <c r="C1993" s="40">
        <v>1</v>
      </c>
      <c r="D1993" s="41">
        <v>30</v>
      </c>
      <c r="E1993" s="40">
        <v>50</v>
      </c>
      <c r="F1993" s="40">
        <f t="shared" si="142"/>
        <v>1500</v>
      </c>
      <c r="G1993" s="55">
        <v>0.4</v>
      </c>
      <c r="H1993" s="42">
        <f>(1-G1993)*F1993</f>
        <v>900</v>
      </c>
    </row>
    <row r="1994" spans="1:8" x14ac:dyDescent="0.3">
      <c r="A1994" s="40">
        <v>6</v>
      </c>
      <c r="B1994" s="110" t="s">
        <v>1849</v>
      </c>
      <c r="C1994" s="40">
        <v>1</v>
      </c>
      <c r="D1994" s="54">
        <v>436</v>
      </c>
      <c r="E1994" s="40">
        <v>30</v>
      </c>
      <c r="F1994" s="40">
        <f t="shared" si="142"/>
        <v>13080</v>
      </c>
      <c r="G1994" s="55">
        <v>0.4</v>
      </c>
      <c r="H1994" s="42">
        <f>F1994*(1-G1994)</f>
        <v>7848</v>
      </c>
    </row>
    <row r="1995" spans="1:8" x14ac:dyDescent="0.3">
      <c r="A1995" s="40"/>
      <c r="B1995" s="57" t="s">
        <v>7</v>
      </c>
      <c r="C1995" s="40"/>
      <c r="D1995" s="54"/>
      <c r="E1995" s="40"/>
      <c r="F1995" s="40"/>
      <c r="G1995" s="55"/>
      <c r="H1995" s="58">
        <f>SUM(H1989:H1994)</f>
        <v>23728</v>
      </c>
    </row>
    <row r="1996" spans="1:8" x14ac:dyDescent="0.3">
      <c r="A1996" s="40">
        <v>7</v>
      </c>
      <c r="B1996" s="57" t="s">
        <v>8</v>
      </c>
      <c r="C1996" s="40">
        <v>1</v>
      </c>
      <c r="D1996" s="54">
        <v>11875</v>
      </c>
      <c r="E1996" s="40">
        <v>5</v>
      </c>
      <c r="F1996" s="40">
        <f>(10000*5)+(1875*3.75)</f>
        <v>57031.25</v>
      </c>
      <c r="G1996" s="55">
        <v>0</v>
      </c>
      <c r="H1996" s="58">
        <f>(1-G1996)*F1996</f>
        <v>57031.25</v>
      </c>
    </row>
    <row r="1997" spans="1:8" x14ac:dyDescent="0.3">
      <c r="A1997" s="51"/>
      <c r="B1997" s="57" t="s">
        <v>9</v>
      </c>
      <c r="C1997" s="39"/>
      <c r="D1997" s="59"/>
      <c r="E1997" s="39"/>
      <c r="F1997" s="39"/>
      <c r="G1997" s="39"/>
      <c r="H1997" s="58">
        <f>H1995+H1996</f>
        <v>80759.25</v>
      </c>
    </row>
    <row r="1998" spans="1:8" x14ac:dyDescent="0.3">
      <c r="A1998" s="40"/>
      <c r="B1998" s="40"/>
      <c r="C1998" s="40"/>
      <c r="D1998" s="41"/>
      <c r="E1998" s="40"/>
      <c r="F1998" s="40"/>
      <c r="G1998" s="40"/>
      <c r="H1998" s="42"/>
    </row>
    <row r="1999" spans="1:8" x14ac:dyDescent="0.3">
      <c r="A1999" s="44"/>
      <c r="B1999" s="86">
        <v>5642</v>
      </c>
      <c r="C1999" s="44" t="s">
        <v>154</v>
      </c>
      <c r="D1999" s="73"/>
      <c r="E1999" s="46" t="s">
        <v>173</v>
      </c>
      <c r="F1999" s="47"/>
      <c r="G1999" s="47"/>
      <c r="H1999" s="98"/>
    </row>
    <row r="2000" spans="1:8" x14ac:dyDescent="0.3">
      <c r="A2000" s="39"/>
      <c r="B2000" s="107" t="s">
        <v>0</v>
      </c>
      <c r="C2000" s="107" t="s">
        <v>1</v>
      </c>
      <c r="D2000" s="108" t="s">
        <v>2</v>
      </c>
      <c r="E2000" s="109" t="s">
        <v>3</v>
      </c>
      <c r="F2000" s="109" t="s">
        <v>4</v>
      </c>
      <c r="G2000" s="109" t="s">
        <v>5</v>
      </c>
      <c r="H2000" s="106" t="s">
        <v>6</v>
      </c>
    </row>
    <row r="2001" spans="1:8" ht="72" x14ac:dyDescent="0.3">
      <c r="A2001" s="40">
        <v>1</v>
      </c>
      <c r="B2001" s="110" t="s">
        <v>174</v>
      </c>
      <c r="C2001" s="40">
        <v>1</v>
      </c>
      <c r="D2001" s="54">
        <v>260.5</v>
      </c>
      <c r="E2001" s="40">
        <v>200</v>
      </c>
      <c r="F2001" s="40">
        <f>C2001*D2001*E2001</f>
        <v>52100</v>
      </c>
      <c r="G2001" s="55">
        <v>0.5</v>
      </c>
      <c r="H2001" s="42">
        <f>F2001*(1-G2001)</f>
        <v>26050</v>
      </c>
    </row>
    <row r="2002" spans="1:8" ht="28.8" x14ac:dyDescent="0.3">
      <c r="A2002" s="40">
        <v>2</v>
      </c>
      <c r="B2002" s="110" t="s">
        <v>1476</v>
      </c>
      <c r="C2002" s="40">
        <v>1</v>
      </c>
      <c r="D2002" s="54">
        <v>392</v>
      </c>
      <c r="E2002" s="40">
        <v>45</v>
      </c>
      <c r="F2002" s="40">
        <f>C2002*D2002*E2002</f>
        <v>17640</v>
      </c>
      <c r="G2002" s="55">
        <v>0.4</v>
      </c>
      <c r="H2002" s="42">
        <f>F2002*(1-G2002)</f>
        <v>10584</v>
      </c>
    </row>
    <row r="2003" spans="1:8" x14ac:dyDescent="0.3">
      <c r="A2003" s="40"/>
      <c r="B2003" s="57" t="s">
        <v>7</v>
      </c>
      <c r="C2003" s="40"/>
      <c r="D2003" s="54"/>
      <c r="E2003" s="40"/>
      <c r="F2003" s="40"/>
      <c r="G2003" s="55"/>
      <c r="H2003" s="58">
        <f>SUM(H2001:H2002)</f>
        <v>36634</v>
      </c>
    </row>
    <row r="2004" spans="1:8" x14ac:dyDescent="0.3">
      <c r="A2004" s="40">
        <v>3</v>
      </c>
      <c r="B2004" s="57" t="s">
        <v>8</v>
      </c>
      <c r="C2004" s="40">
        <v>1</v>
      </c>
      <c r="D2004" s="54">
        <v>9600</v>
      </c>
      <c r="E2004" s="40">
        <v>5</v>
      </c>
      <c r="F2004" s="40">
        <f>C2004*D2004*E2004</f>
        <v>48000</v>
      </c>
      <c r="G2004" s="55">
        <v>0</v>
      </c>
      <c r="H2004" s="58">
        <f>(1-G2004)*F2004</f>
        <v>48000</v>
      </c>
    </row>
    <row r="2005" spans="1:8" x14ac:dyDescent="0.3">
      <c r="A2005" s="51"/>
      <c r="B2005" s="57" t="s">
        <v>9</v>
      </c>
      <c r="C2005" s="39"/>
      <c r="D2005" s="59"/>
      <c r="E2005" s="39"/>
      <c r="F2005" s="39"/>
      <c r="G2005" s="39"/>
      <c r="H2005" s="58">
        <f>H2003+H2004</f>
        <v>84634</v>
      </c>
    </row>
    <row r="2006" spans="1:8" x14ac:dyDescent="0.3">
      <c r="A2006" s="40"/>
      <c r="B2006" s="40"/>
      <c r="C2006" s="40"/>
      <c r="D2006" s="41"/>
      <c r="E2006" s="40"/>
      <c r="F2006" s="40"/>
      <c r="G2006" s="40"/>
      <c r="H2006" s="42"/>
    </row>
    <row r="2007" spans="1:8" x14ac:dyDescent="0.3">
      <c r="A2007" s="44"/>
      <c r="B2007" s="86">
        <v>5643</v>
      </c>
      <c r="C2007" s="44" t="s">
        <v>154</v>
      </c>
      <c r="D2007" s="73"/>
      <c r="E2007" s="46" t="s">
        <v>1944</v>
      </c>
      <c r="F2007" s="47"/>
      <c r="G2007" s="47"/>
      <c r="H2007" s="98"/>
    </row>
    <row r="2008" spans="1:8" x14ac:dyDescent="0.3">
      <c r="A2008" s="39"/>
      <c r="B2008" s="107" t="s">
        <v>0</v>
      </c>
      <c r="C2008" s="107" t="s">
        <v>1</v>
      </c>
      <c r="D2008" s="108" t="s">
        <v>2</v>
      </c>
      <c r="E2008" s="109" t="s">
        <v>3</v>
      </c>
      <c r="F2008" s="109" t="s">
        <v>4</v>
      </c>
      <c r="G2008" s="109" t="s">
        <v>5</v>
      </c>
      <c r="H2008" s="106" t="s">
        <v>6</v>
      </c>
    </row>
    <row r="2009" spans="1:8" ht="86.4" x14ac:dyDescent="0.3">
      <c r="A2009" s="40">
        <v>1</v>
      </c>
      <c r="B2009" s="110" t="s">
        <v>175</v>
      </c>
      <c r="C2009" s="40">
        <v>1</v>
      </c>
      <c r="D2009" s="54">
        <v>600</v>
      </c>
      <c r="E2009" s="40">
        <v>400</v>
      </c>
      <c r="F2009" s="40">
        <f>C2009*D2009*E2009</f>
        <v>240000</v>
      </c>
      <c r="G2009" s="55">
        <v>0.3</v>
      </c>
      <c r="H2009" s="42">
        <f>F2009*(1-G2009)</f>
        <v>168000</v>
      </c>
    </row>
    <row r="2010" spans="1:8" ht="72" x14ac:dyDescent="0.3">
      <c r="A2010" s="40">
        <v>2</v>
      </c>
      <c r="B2010" s="110" t="s">
        <v>1621</v>
      </c>
      <c r="C2010" s="40">
        <v>1</v>
      </c>
      <c r="D2010" s="54">
        <v>306</v>
      </c>
      <c r="E2010" s="40">
        <v>200</v>
      </c>
      <c r="F2010" s="40">
        <f>C2010*D2010*E2010</f>
        <v>61200</v>
      </c>
      <c r="G2010" s="55">
        <v>0.3</v>
      </c>
      <c r="H2010" s="42">
        <f>F2010*(1-G2010)</f>
        <v>42840</v>
      </c>
    </row>
    <row r="2011" spans="1:8" ht="57.6" x14ac:dyDescent="0.3">
      <c r="A2011" s="40">
        <v>3</v>
      </c>
      <c r="B2011" s="110" t="s">
        <v>176</v>
      </c>
      <c r="C2011" s="40">
        <v>1</v>
      </c>
      <c r="D2011" s="54">
        <v>33.25</v>
      </c>
      <c r="E2011" s="40">
        <v>100</v>
      </c>
      <c r="F2011" s="40">
        <f>C2011*D2011*E2011</f>
        <v>3325</v>
      </c>
      <c r="G2011" s="55">
        <v>0.3</v>
      </c>
      <c r="H2011" s="42">
        <f>F2011*(1-G2011)</f>
        <v>2327.5</v>
      </c>
    </row>
    <row r="2012" spans="1:8" x14ac:dyDescent="0.3">
      <c r="A2012" s="40">
        <v>4</v>
      </c>
      <c r="B2012" s="110" t="s">
        <v>1849</v>
      </c>
      <c r="C2012" s="40">
        <v>1</v>
      </c>
      <c r="D2012" s="54">
        <v>283</v>
      </c>
      <c r="E2012" s="40">
        <v>35</v>
      </c>
      <c r="F2012" s="40">
        <f>C2012*D2012*E2012</f>
        <v>9905</v>
      </c>
      <c r="G2012" s="55">
        <v>0.4</v>
      </c>
      <c r="H2012" s="42">
        <f>F2012*(1-G2012)</f>
        <v>5943</v>
      </c>
    </row>
    <row r="2013" spans="1:8" x14ac:dyDescent="0.3">
      <c r="A2013" s="40"/>
      <c r="B2013" s="57" t="s">
        <v>7</v>
      </c>
      <c r="C2013" s="40"/>
      <c r="D2013" s="54"/>
      <c r="E2013" s="40"/>
      <c r="F2013" s="40"/>
      <c r="G2013" s="55"/>
      <c r="H2013" s="58">
        <f>SUM(H2009:H2012)</f>
        <v>219110.5</v>
      </c>
    </row>
    <row r="2014" spans="1:8" x14ac:dyDescent="0.3">
      <c r="A2014" s="40">
        <v>5</v>
      </c>
      <c r="B2014" s="57" t="s">
        <v>8</v>
      </c>
      <c r="C2014" s="40">
        <v>1</v>
      </c>
      <c r="D2014" s="54">
        <v>9600</v>
      </c>
      <c r="E2014" s="40">
        <v>5</v>
      </c>
      <c r="F2014" s="40">
        <f>C2014*D2014*E2014</f>
        <v>48000</v>
      </c>
      <c r="G2014" s="55">
        <v>0</v>
      </c>
      <c r="H2014" s="58">
        <f>(1-G2014)*F2014</f>
        <v>48000</v>
      </c>
    </row>
    <row r="2015" spans="1:8" x14ac:dyDescent="0.3">
      <c r="A2015" s="51"/>
      <c r="B2015" s="57" t="s">
        <v>9</v>
      </c>
      <c r="C2015" s="39"/>
      <c r="D2015" s="59"/>
      <c r="E2015" s="39"/>
      <c r="F2015" s="39"/>
      <c r="G2015" s="39"/>
      <c r="H2015" s="58">
        <f>H2013+H2014</f>
        <v>267110.5</v>
      </c>
    </row>
    <row r="2016" spans="1:8" x14ac:dyDescent="0.3">
      <c r="A2016" s="40"/>
      <c r="B2016" s="40"/>
      <c r="C2016" s="40"/>
      <c r="D2016" s="41"/>
      <c r="E2016" s="40"/>
      <c r="F2016" s="40"/>
      <c r="G2016" s="40"/>
      <c r="H2016" s="42"/>
    </row>
    <row r="2017" spans="1:8" x14ac:dyDescent="0.3">
      <c r="A2017" s="44"/>
      <c r="B2017" s="86">
        <v>5644</v>
      </c>
      <c r="C2017" s="44" t="s">
        <v>154</v>
      </c>
      <c r="D2017" s="73"/>
      <c r="E2017" s="46"/>
      <c r="F2017" s="47" t="s">
        <v>1945</v>
      </c>
      <c r="G2017" s="47"/>
      <c r="H2017" s="98"/>
    </row>
    <row r="2018" spans="1:8" x14ac:dyDescent="0.3">
      <c r="A2018" s="39"/>
      <c r="B2018" s="107" t="s">
        <v>0</v>
      </c>
      <c r="C2018" s="107" t="s">
        <v>1</v>
      </c>
      <c r="D2018" s="108" t="s">
        <v>2</v>
      </c>
      <c r="E2018" s="109" t="s">
        <v>3</v>
      </c>
      <c r="F2018" s="109" t="s">
        <v>4</v>
      </c>
      <c r="G2018" s="109" t="s">
        <v>5</v>
      </c>
      <c r="H2018" s="106" t="s">
        <v>6</v>
      </c>
    </row>
    <row r="2019" spans="1:8" ht="86.4" x14ac:dyDescent="0.3">
      <c r="A2019" s="40">
        <v>1</v>
      </c>
      <c r="B2019" s="110" t="s">
        <v>178</v>
      </c>
      <c r="C2019" s="40">
        <v>1</v>
      </c>
      <c r="D2019" s="54">
        <v>306</v>
      </c>
      <c r="E2019" s="40">
        <v>400</v>
      </c>
      <c r="F2019" s="40">
        <f>C2019*D2019*E2019</f>
        <v>122400</v>
      </c>
      <c r="G2019" s="55">
        <v>0.3</v>
      </c>
      <c r="H2019" s="42">
        <f>F2019*(1-G2019)</f>
        <v>85680</v>
      </c>
    </row>
    <row r="2020" spans="1:8" ht="72" x14ac:dyDescent="0.3">
      <c r="A2020" s="40">
        <v>2</v>
      </c>
      <c r="B2020" s="110" t="s">
        <v>1622</v>
      </c>
      <c r="C2020" s="40">
        <v>1</v>
      </c>
      <c r="D2020" s="54">
        <f>124+64</f>
        <v>188</v>
      </c>
      <c r="E2020" s="40">
        <v>200</v>
      </c>
      <c r="F2020" s="40">
        <f>C2020*D2020*E2020</f>
        <v>37600</v>
      </c>
      <c r="G2020" s="55">
        <v>0.3</v>
      </c>
      <c r="H2020" s="42">
        <f>F2020*(1-G2020)</f>
        <v>26320</v>
      </c>
    </row>
    <row r="2021" spans="1:8" ht="57.6" x14ac:dyDescent="0.3">
      <c r="A2021" s="40">
        <v>3</v>
      </c>
      <c r="B2021" s="110" t="s">
        <v>176</v>
      </c>
      <c r="C2021" s="40">
        <v>1</v>
      </c>
      <c r="D2021" s="54">
        <v>33.25</v>
      </c>
      <c r="E2021" s="40">
        <v>100</v>
      </c>
      <c r="F2021" s="40">
        <f>C2021*D2021*E2021</f>
        <v>3325</v>
      </c>
      <c r="G2021" s="55">
        <v>0.3</v>
      </c>
      <c r="H2021" s="42">
        <f>F2021*(1-G2021)</f>
        <v>2327.5</v>
      </c>
    </row>
    <row r="2022" spans="1:8" ht="57.6" x14ac:dyDescent="0.3">
      <c r="A2022" s="40">
        <v>4</v>
      </c>
      <c r="B2022" s="110" t="s">
        <v>177</v>
      </c>
      <c r="C2022" s="40">
        <v>1</v>
      </c>
      <c r="D2022" s="54">
        <v>15</v>
      </c>
      <c r="E2022" s="40">
        <v>100</v>
      </c>
      <c r="F2022" s="40">
        <f>C2022*D2022*E2022</f>
        <v>1500</v>
      </c>
      <c r="G2022" s="55">
        <v>0.3</v>
      </c>
      <c r="H2022" s="42">
        <f>F2022*(1-G2022)</f>
        <v>1050</v>
      </c>
    </row>
    <row r="2023" spans="1:8" x14ac:dyDescent="0.3">
      <c r="A2023" s="40">
        <v>5</v>
      </c>
      <c r="B2023" s="110" t="s">
        <v>1849</v>
      </c>
      <c r="C2023" s="40">
        <v>1</v>
      </c>
      <c r="D2023" s="54">
        <v>283</v>
      </c>
      <c r="E2023" s="40">
        <v>35</v>
      </c>
      <c r="F2023" s="40">
        <f>C2023*D2023*E2023</f>
        <v>9905</v>
      </c>
      <c r="G2023" s="55">
        <v>0.4</v>
      </c>
      <c r="H2023" s="42">
        <f>F2023*(1-G2023)</f>
        <v>5943</v>
      </c>
    </row>
    <row r="2024" spans="1:8" x14ac:dyDescent="0.3">
      <c r="A2024" s="40"/>
      <c r="B2024" s="57" t="s">
        <v>7</v>
      </c>
      <c r="C2024" s="40"/>
      <c r="D2024" s="54"/>
      <c r="E2024" s="40"/>
      <c r="F2024" s="40"/>
      <c r="G2024" s="55"/>
      <c r="H2024" s="58">
        <f>SUM(H2019:H2023)</f>
        <v>121320.5</v>
      </c>
    </row>
    <row r="2025" spans="1:8" x14ac:dyDescent="0.3">
      <c r="A2025" s="40">
        <v>6</v>
      </c>
      <c r="B2025" s="57" t="s">
        <v>8</v>
      </c>
      <c r="C2025" s="40">
        <v>1</v>
      </c>
      <c r="D2025" s="54">
        <v>11262</v>
      </c>
      <c r="E2025" s="40">
        <v>5</v>
      </c>
      <c r="F2025" s="40">
        <f>(10000*5)+(1262*3.75)</f>
        <v>54732.5</v>
      </c>
      <c r="G2025" s="55">
        <v>0</v>
      </c>
      <c r="H2025" s="58">
        <f>(1-G2025)*F2025</f>
        <v>54732.5</v>
      </c>
    </row>
    <row r="2026" spans="1:8" x14ac:dyDescent="0.3">
      <c r="A2026" s="51"/>
      <c r="B2026" s="57" t="s">
        <v>9</v>
      </c>
      <c r="C2026" s="39"/>
      <c r="D2026" s="59"/>
      <c r="E2026" s="39"/>
      <c r="F2026" s="40"/>
      <c r="G2026" s="39"/>
      <c r="H2026" s="58">
        <f>H2024+H2025</f>
        <v>176053</v>
      </c>
    </row>
    <row r="2027" spans="1:8" x14ac:dyDescent="0.3">
      <c r="A2027" s="51"/>
      <c r="B2027" s="57"/>
      <c r="C2027" s="39"/>
      <c r="D2027" s="59"/>
      <c r="E2027" s="39"/>
      <c r="F2027" s="40"/>
      <c r="G2027" s="39"/>
      <c r="H2027" s="58"/>
    </row>
    <row r="2028" spans="1:8" x14ac:dyDescent="0.3">
      <c r="A2028" s="51"/>
      <c r="B2028" s="57"/>
      <c r="C2028" s="39"/>
      <c r="D2028" s="59"/>
      <c r="E2028" s="39"/>
      <c r="F2028" s="40"/>
      <c r="G2028" s="39"/>
      <c r="H2028" s="58"/>
    </row>
    <row r="2029" spans="1:8" s="31" customFormat="1" x14ac:dyDescent="0.3">
      <c r="A2029" s="43"/>
      <c r="B2029" s="62">
        <v>5645</v>
      </c>
      <c r="C2029" s="47" t="s">
        <v>601</v>
      </c>
      <c r="D2029" s="45"/>
      <c r="E2029" s="46" t="s">
        <v>602</v>
      </c>
      <c r="F2029" s="63"/>
      <c r="G2029" s="60"/>
      <c r="H2029" s="48"/>
    </row>
    <row r="2030" spans="1:8" s="3" customFormat="1" x14ac:dyDescent="0.3">
      <c r="A2030" s="40"/>
      <c r="B2030" s="64" t="s">
        <v>0</v>
      </c>
      <c r="C2030" s="49" t="s">
        <v>1</v>
      </c>
      <c r="D2030" s="50" t="s">
        <v>2</v>
      </c>
      <c r="E2030" s="51" t="s">
        <v>3</v>
      </c>
      <c r="F2030" s="65" t="s">
        <v>4</v>
      </c>
      <c r="G2030" s="51" t="s">
        <v>5</v>
      </c>
      <c r="H2030" s="52" t="s">
        <v>6</v>
      </c>
    </row>
    <row r="2031" spans="1:8" ht="86.4" x14ac:dyDescent="0.3">
      <c r="A2031" s="40">
        <v>1</v>
      </c>
      <c r="B2031" s="66" t="s">
        <v>1410</v>
      </c>
      <c r="C2031" s="40">
        <v>1</v>
      </c>
      <c r="D2031" s="67">
        <v>450</v>
      </c>
      <c r="E2031" s="40">
        <v>500</v>
      </c>
      <c r="F2031" s="68">
        <f>C2031*D2031*E2031</f>
        <v>225000</v>
      </c>
      <c r="G2031" s="55">
        <v>0.5</v>
      </c>
      <c r="H2031" s="42">
        <f>F2031*(1-G2031)</f>
        <v>112500</v>
      </c>
    </row>
    <row r="2032" spans="1:8" ht="72" x14ac:dyDescent="0.3">
      <c r="A2032" s="40">
        <v>2</v>
      </c>
      <c r="B2032" s="66" t="s">
        <v>603</v>
      </c>
      <c r="C2032" s="40">
        <v>1</v>
      </c>
      <c r="D2032" s="67">
        <v>120</v>
      </c>
      <c r="E2032" s="40">
        <v>200</v>
      </c>
      <c r="F2032" s="68">
        <f>C2032*D2032*E2032</f>
        <v>24000</v>
      </c>
      <c r="G2032" s="55">
        <v>0.5</v>
      </c>
      <c r="H2032" s="42">
        <f>F2032*(1-G2032)</f>
        <v>12000</v>
      </c>
    </row>
    <row r="2033" spans="1:8" ht="72" x14ac:dyDescent="0.3">
      <c r="A2033" s="40">
        <v>3</v>
      </c>
      <c r="B2033" s="66" t="s">
        <v>604</v>
      </c>
      <c r="C2033" s="40">
        <v>1</v>
      </c>
      <c r="D2033" s="67">
        <v>95</v>
      </c>
      <c r="E2033" s="40">
        <v>200</v>
      </c>
      <c r="F2033" s="68">
        <f>C2033*D2033*E2033</f>
        <v>19000</v>
      </c>
      <c r="G2033" s="55">
        <v>0.5</v>
      </c>
      <c r="H2033" s="42">
        <f>F2033*(1-G2033)</f>
        <v>9500</v>
      </c>
    </row>
    <row r="2034" spans="1:8" ht="43.2" x14ac:dyDescent="0.3">
      <c r="A2034" s="40">
        <v>4</v>
      </c>
      <c r="B2034" s="66" t="s">
        <v>605</v>
      </c>
      <c r="C2034" s="40">
        <v>1</v>
      </c>
      <c r="D2034" s="67">
        <v>250</v>
      </c>
      <c r="E2034" s="40">
        <v>50</v>
      </c>
      <c r="F2034" s="68">
        <f>C2034*D2034*E2034</f>
        <v>12500</v>
      </c>
      <c r="G2034" s="55">
        <v>0.5</v>
      </c>
      <c r="H2034" s="42">
        <f>F2034*(1-G2034)</f>
        <v>6250</v>
      </c>
    </row>
    <row r="2035" spans="1:8" ht="28.8" x14ac:dyDescent="0.3">
      <c r="A2035" s="40">
        <v>5</v>
      </c>
      <c r="B2035" s="66" t="s">
        <v>606</v>
      </c>
      <c r="C2035" s="40">
        <v>1</v>
      </c>
      <c r="D2035" s="67">
        <f>107.7*4</f>
        <v>430.8</v>
      </c>
      <c r="E2035" s="40">
        <v>22</v>
      </c>
      <c r="F2035" s="68">
        <f>C2035*D2035*E2035</f>
        <v>9477.6</v>
      </c>
      <c r="G2035" s="55">
        <v>0.5</v>
      </c>
      <c r="H2035" s="42">
        <f>F2035*(1-G2035)</f>
        <v>4738.8</v>
      </c>
    </row>
    <row r="2036" spans="1:8" x14ac:dyDescent="0.3">
      <c r="A2036" s="40"/>
      <c r="B2036" s="70" t="s">
        <v>7</v>
      </c>
      <c r="C2036" s="40"/>
      <c r="D2036" s="54"/>
      <c r="E2036" s="40"/>
      <c r="F2036" s="68"/>
      <c r="G2036" s="55"/>
      <c r="H2036" s="58">
        <f>SUM(H2031:H2035)</f>
        <v>144988.79999999999</v>
      </c>
    </row>
    <row r="2037" spans="1:8" x14ac:dyDescent="0.3">
      <c r="A2037" s="40">
        <v>6</v>
      </c>
      <c r="B2037" s="70" t="s">
        <v>8</v>
      </c>
      <c r="C2037" s="40">
        <v>1</v>
      </c>
      <c r="D2037" s="54">
        <v>11600</v>
      </c>
      <c r="E2037" s="40">
        <v>5</v>
      </c>
      <c r="F2037" s="68">
        <f>(10000*E2037)+(1600*E2037*0.75)</f>
        <v>56000</v>
      </c>
      <c r="G2037" s="55">
        <v>0</v>
      </c>
      <c r="H2037" s="58">
        <f>(1-G2037)*F2037</f>
        <v>56000</v>
      </c>
    </row>
    <row r="2038" spans="1:8" x14ac:dyDescent="0.3">
      <c r="A2038" s="51"/>
      <c r="B2038" s="70" t="s">
        <v>9</v>
      </c>
      <c r="C2038" s="39"/>
      <c r="D2038" s="59"/>
      <c r="E2038" s="39"/>
      <c r="F2038" s="71"/>
      <c r="G2038" s="39"/>
      <c r="H2038" s="58">
        <f>H2036+H2037</f>
        <v>200988.79999999999</v>
      </c>
    </row>
    <row r="2039" spans="1:8" x14ac:dyDescent="0.3">
      <c r="A2039" s="51"/>
      <c r="B2039" s="70"/>
      <c r="C2039" s="39"/>
      <c r="D2039" s="59"/>
      <c r="E2039" s="39"/>
      <c r="F2039" s="71"/>
      <c r="G2039" s="39"/>
      <c r="H2039" s="58"/>
    </row>
    <row r="2040" spans="1:8" ht="28.8" x14ac:dyDescent="0.3">
      <c r="A2040" s="43"/>
      <c r="B2040" s="62">
        <v>5646</v>
      </c>
      <c r="C2040" s="86" t="s">
        <v>601</v>
      </c>
      <c r="D2040" s="73" t="s">
        <v>607</v>
      </c>
      <c r="E2040" s="46"/>
      <c r="F2040" s="63"/>
      <c r="G2040" s="47"/>
      <c r="H2040" s="48"/>
    </row>
    <row r="2041" spans="1:8" x14ac:dyDescent="0.3">
      <c r="A2041" s="39"/>
      <c r="B2041" s="147" t="s">
        <v>0</v>
      </c>
      <c r="C2041" s="107" t="s">
        <v>1</v>
      </c>
      <c r="D2041" s="108" t="s">
        <v>2</v>
      </c>
      <c r="E2041" s="109" t="s">
        <v>3</v>
      </c>
      <c r="F2041" s="122" t="s">
        <v>4</v>
      </c>
      <c r="G2041" s="109" t="s">
        <v>5</v>
      </c>
      <c r="H2041" s="106" t="s">
        <v>6</v>
      </c>
    </row>
    <row r="2042" spans="1:8" ht="72" x14ac:dyDescent="0.3">
      <c r="A2042" s="40">
        <v>1</v>
      </c>
      <c r="B2042" s="144" t="s">
        <v>1411</v>
      </c>
      <c r="C2042" s="40">
        <v>1</v>
      </c>
      <c r="D2042" s="54">
        <v>400</v>
      </c>
      <c r="E2042" s="40">
        <v>450</v>
      </c>
      <c r="F2042" s="68">
        <f t="shared" ref="F2042:F2048" si="143">C2042*D2042*E2042</f>
        <v>180000</v>
      </c>
      <c r="G2042" s="55">
        <v>0.5</v>
      </c>
      <c r="H2042" s="42">
        <f t="shared" ref="H2042:H2048" si="144">F2042*(1-G2042)</f>
        <v>90000</v>
      </c>
    </row>
    <row r="2043" spans="1:8" ht="72" x14ac:dyDescent="0.3">
      <c r="A2043" s="40">
        <v>2</v>
      </c>
      <c r="B2043" s="144" t="s">
        <v>608</v>
      </c>
      <c r="C2043" s="40">
        <v>1</v>
      </c>
      <c r="D2043" s="54">
        <v>53</v>
      </c>
      <c r="E2043" s="40">
        <v>250</v>
      </c>
      <c r="F2043" s="68">
        <f t="shared" si="143"/>
        <v>13250</v>
      </c>
      <c r="G2043" s="55">
        <v>0.55000000000000004</v>
      </c>
      <c r="H2043" s="42">
        <f t="shared" si="144"/>
        <v>5962.4999999999991</v>
      </c>
    </row>
    <row r="2044" spans="1:8" ht="28.8" x14ac:dyDescent="0.3">
      <c r="A2044" s="40">
        <v>3</v>
      </c>
      <c r="B2044" s="144" t="s">
        <v>609</v>
      </c>
      <c r="C2044" s="40">
        <v>1</v>
      </c>
      <c r="D2044" s="54">
        <v>98</v>
      </c>
      <c r="E2044" s="40">
        <v>200</v>
      </c>
      <c r="F2044" s="68">
        <f t="shared" si="143"/>
        <v>19600</v>
      </c>
      <c r="G2044" s="55">
        <v>0.75</v>
      </c>
      <c r="H2044" s="42">
        <f t="shared" si="144"/>
        <v>4900</v>
      </c>
    </row>
    <row r="2045" spans="1:8" ht="43.2" x14ac:dyDescent="0.3">
      <c r="A2045" s="40">
        <v>4</v>
      </c>
      <c r="B2045" s="144" t="s">
        <v>610</v>
      </c>
      <c r="C2045" s="40">
        <v>1</v>
      </c>
      <c r="D2045" s="54">
        <v>86</v>
      </c>
      <c r="E2045" s="40">
        <v>50</v>
      </c>
      <c r="F2045" s="68">
        <f t="shared" si="143"/>
        <v>4300</v>
      </c>
      <c r="G2045" s="55">
        <v>0.5</v>
      </c>
      <c r="H2045" s="42">
        <f t="shared" si="144"/>
        <v>2150</v>
      </c>
    </row>
    <row r="2046" spans="1:8" ht="72" x14ac:dyDescent="0.3">
      <c r="A2046" s="40">
        <v>5</v>
      </c>
      <c r="B2046" s="144" t="s">
        <v>611</v>
      </c>
      <c r="C2046" s="40">
        <v>1</v>
      </c>
      <c r="D2046" s="54">
        <v>20</v>
      </c>
      <c r="E2046" s="40">
        <v>150</v>
      </c>
      <c r="F2046" s="68">
        <f t="shared" si="143"/>
        <v>3000</v>
      </c>
      <c r="G2046" s="55">
        <v>0.5</v>
      </c>
      <c r="H2046" s="42">
        <f t="shared" si="144"/>
        <v>1500</v>
      </c>
    </row>
    <row r="2047" spans="1:8" x14ac:dyDescent="0.3">
      <c r="A2047" s="40">
        <v>6</v>
      </c>
      <c r="B2047" s="144" t="s">
        <v>1840</v>
      </c>
      <c r="C2047" s="40">
        <v>1</v>
      </c>
      <c r="D2047" s="54">
        <v>98.9</v>
      </c>
      <c r="E2047" s="40">
        <v>45</v>
      </c>
      <c r="F2047" s="68">
        <f t="shared" si="143"/>
        <v>4450.5</v>
      </c>
      <c r="G2047" s="55">
        <v>0.5</v>
      </c>
      <c r="H2047" s="42">
        <f t="shared" si="144"/>
        <v>2225.25</v>
      </c>
    </row>
    <row r="2048" spans="1:8" ht="28.8" x14ac:dyDescent="0.3">
      <c r="A2048" s="40">
        <v>7</v>
      </c>
      <c r="B2048" s="144" t="s">
        <v>1841</v>
      </c>
      <c r="C2048" s="40">
        <v>1</v>
      </c>
      <c r="D2048" s="54">
        <v>296.89999999999998</v>
      </c>
      <c r="E2048" s="40">
        <v>22</v>
      </c>
      <c r="F2048" s="68">
        <f t="shared" si="143"/>
        <v>6531.7999999999993</v>
      </c>
      <c r="G2048" s="55">
        <v>0.5</v>
      </c>
      <c r="H2048" s="42">
        <f t="shared" si="144"/>
        <v>3265.8999999999996</v>
      </c>
    </row>
    <row r="2049" spans="1:8" x14ac:dyDescent="0.3">
      <c r="A2049" s="40"/>
      <c r="B2049" s="70" t="s">
        <v>7</v>
      </c>
      <c r="C2049" s="40"/>
      <c r="D2049" s="54"/>
      <c r="E2049" s="40"/>
      <c r="F2049" s="68"/>
      <c r="G2049" s="55"/>
      <c r="H2049" s="58">
        <f>SUM(H2042:H2048)</f>
        <v>110003.65</v>
      </c>
    </row>
    <row r="2050" spans="1:8" x14ac:dyDescent="0.3">
      <c r="A2050" s="40">
        <v>8</v>
      </c>
      <c r="B2050" s="70" t="s">
        <v>8</v>
      </c>
      <c r="C2050" s="40">
        <v>1</v>
      </c>
      <c r="D2050" s="54">
        <v>9800</v>
      </c>
      <c r="E2050" s="40">
        <v>5</v>
      </c>
      <c r="F2050" s="68">
        <f>C2050*D2050*E2050</f>
        <v>49000</v>
      </c>
      <c r="G2050" s="55">
        <v>0</v>
      </c>
      <c r="H2050" s="58">
        <f>(1-G2050)*F2050</f>
        <v>49000</v>
      </c>
    </row>
    <row r="2051" spans="1:8" x14ac:dyDescent="0.3">
      <c r="A2051" s="51"/>
      <c r="B2051" s="70" t="s">
        <v>9</v>
      </c>
      <c r="C2051" s="39"/>
      <c r="D2051" s="59"/>
      <c r="E2051" s="39"/>
      <c r="F2051" s="71"/>
      <c r="G2051" s="39"/>
      <c r="H2051" s="58">
        <f>H2049+H2050</f>
        <v>159003.65</v>
      </c>
    </row>
    <row r="2052" spans="1:8" s="3" customFormat="1" x14ac:dyDescent="0.3">
      <c r="A2052" s="43"/>
      <c r="B2052" s="62">
        <v>5647</v>
      </c>
      <c r="C2052" s="44" t="s">
        <v>601</v>
      </c>
      <c r="D2052" s="45"/>
      <c r="E2052" s="46" t="s">
        <v>460</v>
      </c>
      <c r="F2052" s="63"/>
      <c r="G2052" s="60"/>
      <c r="H2052" s="48"/>
    </row>
    <row r="2053" spans="1:8" x14ac:dyDescent="0.3">
      <c r="A2053" s="40"/>
      <c r="B2053" s="64" t="s">
        <v>0</v>
      </c>
      <c r="C2053" s="49" t="s">
        <v>1</v>
      </c>
      <c r="D2053" s="50" t="s">
        <v>2</v>
      </c>
      <c r="E2053" s="51" t="s">
        <v>3</v>
      </c>
      <c r="F2053" s="65" t="s">
        <v>4</v>
      </c>
      <c r="G2053" s="51" t="s">
        <v>5</v>
      </c>
      <c r="H2053" s="52" t="s">
        <v>6</v>
      </c>
    </row>
    <row r="2054" spans="1:8" ht="72" x14ac:dyDescent="0.3">
      <c r="A2054" s="40">
        <v>1</v>
      </c>
      <c r="B2054" s="66" t="s">
        <v>612</v>
      </c>
      <c r="C2054" s="40">
        <v>1</v>
      </c>
      <c r="D2054" s="67">
        <v>111</v>
      </c>
      <c r="E2054" s="40">
        <v>450</v>
      </c>
      <c r="F2054" s="68">
        <f>C2054*D2054*E2054</f>
        <v>49950</v>
      </c>
      <c r="G2054" s="55">
        <v>0.5</v>
      </c>
      <c r="H2054" s="42">
        <f>F2054*(1-G2054)</f>
        <v>24975</v>
      </c>
    </row>
    <row r="2055" spans="1:8" ht="43.2" x14ac:dyDescent="0.3">
      <c r="A2055" s="40">
        <v>2</v>
      </c>
      <c r="B2055" s="66" t="s">
        <v>613</v>
      </c>
      <c r="C2055" s="40">
        <v>1</v>
      </c>
      <c r="D2055" s="67">
        <v>196</v>
      </c>
      <c r="E2055" s="40">
        <v>50</v>
      </c>
      <c r="F2055" s="68">
        <f>C2055*D2055*E2055</f>
        <v>9800</v>
      </c>
      <c r="G2055" s="55">
        <v>0.5</v>
      </c>
      <c r="H2055" s="42">
        <f>F2055*(1-G2055)</f>
        <v>4900</v>
      </c>
    </row>
    <row r="2056" spans="1:8" ht="57.6" x14ac:dyDescent="0.3">
      <c r="A2056" s="40">
        <v>3</v>
      </c>
      <c r="B2056" s="66" t="s">
        <v>614</v>
      </c>
      <c r="C2056" s="40">
        <v>1</v>
      </c>
      <c r="D2056" s="67">
        <v>4</v>
      </c>
      <c r="E2056" s="40">
        <v>100</v>
      </c>
      <c r="F2056" s="68">
        <f>C2056*D2056*E2056</f>
        <v>400</v>
      </c>
      <c r="G2056" s="55">
        <v>0.5</v>
      </c>
      <c r="H2056" s="42">
        <f>F2056*(1-G2056)</f>
        <v>200</v>
      </c>
    </row>
    <row r="2057" spans="1:8" ht="28.8" x14ac:dyDescent="0.3">
      <c r="A2057" s="40">
        <v>4</v>
      </c>
      <c r="B2057" s="66" t="s">
        <v>1443</v>
      </c>
      <c r="C2057" s="40">
        <v>1</v>
      </c>
      <c r="D2057" s="67">
        <f>65.5*4</f>
        <v>262</v>
      </c>
      <c r="E2057" s="40">
        <v>45</v>
      </c>
      <c r="F2057" s="68">
        <f>C2057*D2057*E2057</f>
        <v>11790</v>
      </c>
      <c r="G2057" s="55">
        <v>0.5</v>
      </c>
      <c r="H2057" s="42">
        <f>F2057*(1-G2057)</f>
        <v>5895</v>
      </c>
    </row>
    <row r="2058" spans="1:8" x14ac:dyDescent="0.3">
      <c r="A2058" s="40"/>
      <c r="B2058" s="70" t="s">
        <v>7</v>
      </c>
      <c r="C2058" s="40"/>
      <c r="D2058" s="54"/>
      <c r="E2058" s="40"/>
      <c r="F2058" s="68"/>
      <c r="G2058" s="55"/>
      <c r="H2058" s="58">
        <f>SUM(H2054:H2057)</f>
        <v>35970</v>
      </c>
    </row>
    <row r="2059" spans="1:8" x14ac:dyDescent="0.3">
      <c r="A2059" s="40">
        <v>5</v>
      </c>
      <c r="B2059" s="70" t="s">
        <v>8</v>
      </c>
      <c r="C2059" s="40">
        <v>1</v>
      </c>
      <c r="D2059" s="54">
        <v>14300</v>
      </c>
      <c r="E2059" s="40">
        <v>5</v>
      </c>
      <c r="F2059" s="68">
        <f>(10000*E2059)+(4300*E2059*0.75)</f>
        <v>66125</v>
      </c>
      <c r="G2059" s="55">
        <v>0</v>
      </c>
      <c r="H2059" s="58">
        <f>(1-G2059)*F2059</f>
        <v>66125</v>
      </c>
    </row>
    <row r="2060" spans="1:8" x14ac:dyDescent="0.3">
      <c r="A2060" s="51"/>
      <c r="B2060" s="70" t="s">
        <v>9</v>
      </c>
      <c r="C2060" s="39"/>
      <c r="D2060" s="59"/>
      <c r="E2060" s="39"/>
      <c r="F2060" s="71"/>
      <c r="G2060" s="39"/>
      <c r="H2060" s="58">
        <f>H2058+H2059</f>
        <v>102095</v>
      </c>
    </row>
    <row r="2061" spans="1:8" x14ac:dyDescent="0.3">
      <c r="A2061" s="51"/>
      <c r="B2061" s="57"/>
      <c r="C2061" s="39"/>
      <c r="D2061" s="59"/>
      <c r="E2061" s="39"/>
      <c r="F2061" s="40"/>
      <c r="G2061" s="39"/>
      <c r="H2061" s="58"/>
    </row>
    <row r="2062" spans="1:8" x14ac:dyDescent="0.3">
      <c r="A2062" s="44"/>
      <c r="B2062" s="86">
        <v>5647</v>
      </c>
      <c r="C2062" s="44" t="s">
        <v>223</v>
      </c>
      <c r="D2062" s="73"/>
      <c r="E2062" s="46" t="s">
        <v>233</v>
      </c>
      <c r="F2062" s="47"/>
      <c r="G2062" s="47"/>
      <c r="H2062" s="98"/>
    </row>
    <row r="2063" spans="1:8" x14ac:dyDescent="0.3">
      <c r="A2063" s="39"/>
      <c r="B2063" s="107" t="s">
        <v>0</v>
      </c>
      <c r="C2063" s="107" t="s">
        <v>1</v>
      </c>
      <c r="D2063" s="108" t="s">
        <v>2</v>
      </c>
      <c r="E2063" s="109" t="s">
        <v>3</v>
      </c>
      <c r="F2063" s="109" t="s">
        <v>4</v>
      </c>
      <c r="G2063" s="109" t="s">
        <v>5</v>
      </c>
      <c r="H2063" s="106" t="s">
        <v>6</v>
      </c>
    </row>
    <row r="2064" spans="1:8" ht="57.6" x14ac:dyDescent="0.3">
      <c r="A2064" s="40">
        <v>1</v>
      </c>
      <c r="B2064" s="110" t="s">
        <v>234</v>
      </c>
      <c r="C2064" s="40">
        <v>1</v>
      </c>
      <c r="D2064" s="54">
        <v>330.75</v>
      </c>
      <c r="E2064" s="40">
        <v>250</v>
      </c>
      <c r="F2064" s="40">
        <f>C2064*D2064*E2064</f>
        <v>82687.5</v>
      </c>
      <c r="G2064" s="55">
        <v>0.4</v>
      </c>
      <c r="H2064" s="42">
        <f>F2064*(1-G2064)</f>
        <v>49612.5</v>
      </c>
    </row>
    <row r="2065" spans="1:8" ht="72" x14ac:dyDescent="0.3">
      <c r="A2065" s="40">
        <v>2</v>
      </c>
      <c r="B2065" s="110" t="s">
        <v>235</v>
      </c>
      <c r="C2065" s="40">
        <v>1</v>
      </c>
      <c r="D2065" s="54">
        <v>62.1</v>
      </c>
      <c r="E2065" s="40">
        <v>100</v>
      </c>
      <c r="F2065" s="40">
        <f>C2065*D2065*E2065</f>
        <v>6210</v>
      </c>
      <c r="G2065" s="55">
        <v>0.4</v>
      </c>
      <c r="H2065" s="42">
        <f>F2065*(1-G2065)</f>
        <v>3726</v>
      </c>
    </row>
    <row r="2066" spans="1:8" x14ac:dyDescent="0.3">
      <c r="A2066" s="40">
        <v>3</v>
      </c>
      <c r="B2066" s="110" t="s">
        <v>236</v>
      </c>
      <c r="C2066" s="40">
        <v>1</v>
      </c>
      <c r="D2066" s="54">
        <v>478</v>
      </c>
      <c r="E2066" s="40">
        <v>30</v>
      </c>
      <c r="F2066" s="40">
        <f>C2066*D2066*E2066</f>
        <v>14340</v>
      </c>
      <c r="G2066" s="55">
        <v>0.4</v>
      </c>
      <c r="H2066" s="42">
        <f>F2066*(1-G2066)</f>
        <v>8604</v>
      </c>
    </row>
    <row r="2067" spans="1:8" x14ac:dyDescent="0.3">
      <c r="A2067" s="40"/>
      <c r="B2067" s="57" t="s">
        <v>7</v>
      </c>
      <c r="C2067" s="40"/>
      <c r="D2067" s="54"/>
      <c r="E2067" s="40"/>
      <c r="F2067" s="40"/>
      <c r="G2067" s="55"/>
      <c r="H2067" s="58">
        <f>SUM(H2064:H2066)</f>
        <v>61942.5</v>
      </c>
    </row>
    <row r="2068" spans="1:8" x14ac:dyDescent="0.3">
      <c r="A2068" s="40">
        <v>4</v>
      </c>
      <c r="B2068" s="57" t="s">
        <v>8</v>
      </c>
      <c r="C2068" s="40">
        <v>1</v>
      </c>
      <c r="D2068" s="54">
        <v>14300</v>
      </c>
      <c r="E2068" s="40">
        <v>5</v>
      </c>
      <c r="F2068" s="40">
        <f>(10000*5)+(4300*3.75)</f>
        <v>66125</v>
      </c>
      <c r="G2068" s="55">
        <v>0</v>
      </c>
      <c r="H2068" s="58">
        <f>(1-G2068)*F2068</f>
        <v>66125</v>
      </c>
    </row>
    <row r="2069" spans="1:8" x14ac:dyDescent="0.3">
      <c r="A2069" s="51"/>
      <c r="B2069" s="57" t="s">
        <v>9</v>
      </c>
      <c r="C2069" s="39"/>
      <c r="D2069" s="59"/>
      <c r="E2069" s="39"/>
      <c r="F2069" s="39"/>
      <c r="G2069" s="39"/>
      <c r="H2069" s="58">
        <f>H2067+H2068</f>
        <v>128067.5</v>
      </c>
    </row>
    <row r="2070" spans="1:8" x14ac:dyDescent="0.3">
      <c r="A2070" s="40"/>
      <c r="B2070" s="40"/>
      <c r="C2070" s="40"/>
      <c r="D2070" s="41"/>
      <c r="E2070" s="40"/>
      <c r="F2070" s="40"/>
      <c r="G2070" s="40"/>
      <c r="H2070" s="42"/>
    </row>
    <row r="2071" spans="1:8" x14ac:dyDescent="0.3">
      <c r="A2071" s="44"/>
      <c r="B2071" s="86">
        <v>5648</v>
      </c>
      <c r="C2071" s="44" t="s">
        <v>223</v>
      </c>
      <c r="D2071" s="73"/>
      <c r="E2071" s="46" t="s">
        <v>226</v>
      </c>
      <c r="F2071" s="47"/>
      <c r="G2071" s="47"/>
      <c r="H2071" s="98"/>
    </row>
    <row r="2072" spans="1:8" x14ac:dyDescent="0.3">
      <c r="A2072" s="39"/>
      <c r="B2072" s="107" t="s">
        <v>0</v>
      </c>
      <c r="C2072" s="107" t="s">
        <v>1</v>
      </c>
      <c r="D2072" s="108" t="s">
        <v>2</v>
      </c>
      <c r="E2072" s="109" t="s">
        <v>3</v>
      </c>
      <c r="F2072" s="109" t="s">
        <v>4</v>
      </c>
      <c r="G2072" s="109" t="s">
        <v>5</v>
      </c>
      <c r="H2072" s="106" t="s">
        <v>6</v>
      </c>
    </row>
    <row r="2073" spans="1:8" ht="43.2" x14ac:dyDescent="0.3">
      <c r="A2073" s="40">
        <v>1</v>
      </c>
      <c r="B2073" s="53" t="s">
        <v>227</v>
      </c>
      <c r="C2073" s="40">
        <v>1</v>
      </c>
      <c r="D2073" s="54">
        <v>54</v>
      </c>
      <c r="E2073" s="40">
        <v>50</v>
      </c>
      <c r="F2073" s="40">
        <f>C2073*D2073*E2073</f>
        <v>2700</v>
      </c>
      <c r="G2073" s="55">
        <v>0.4</v>
      </c>
      <c r="H2073" s="42">
        <f>F2073*(1-G2073)</f>
        <v>1620</v>
      </c>
    </row>
    <row r="2074" spans="1:8" ht="43.2" x14ac:dyDescent="0.3">
      <c r="A2074" s="40">
        <v>2</v>
      </c>
      <c r="B2074" s="53" t="s">
        <v>228</v>
      </c>
      <c r="C2074" s="40">
        <v>1</v>
      </c>
      <c r="D2074" s="54">
        <f>5*7.2</f>
        <v>36</v>
      </c>
      <c r="E2074" s="40">
        <v>50</v>
      </c>
      <c r="F2074" s="40">
        <f>C2074*D2074*E2074</f>
        <v>1800</v>
      </c>
      <c r="G2074" s="55">
        <v>0.4</v>
      </c>
      <c r="H2074" s="42">
        <f>F2074*(1-G2074)</f>
        <v>1080</v>
      </c>
    </row>
    <row r="2075" spans="1:8" ht="57.6" x14ac:dyDescent="0.3">
      <c r="A2075" s="40">
        <v>3</v>
      </c>
      <c r="B2075" s="53" t="s">
        <v>229</v>
      </c>
      <c r="C2075" s="40">
        <v>1</v>
      </c>
      <c r="D2075" s="54">
        <v>23.1</v>
      </c>
      <c r="E2075" s="40">
        <v>80</v>
      </c>
      <c r="F2075" s="40">
        <f>C2075*D2075*E2075</f>
        <v>1848</v>
      </c>
      <c r="G2075" s="55">
        <v>0.4</v>
      </c>
      <c r="H2075" s="42">
        <f>F2075*(1-G2075)</f>
        <v>1108.8</v>
      </c>
    </row>
    <row r="2076" spans="1:8" x14ac:dyDescent="0.3">
      <c r="A2076" s="40">
        <v>4</v>
      </c>
      <c r="B2076" s="110" t="s">
        <v>1539</v>
      </c>
      <c r="C2076" s="40">
        <v>1</v>
      </c>
      <c r="D2076" s="54">
        <v>380</v>
      </c>
      <c r="E2076" s="40">
        <v>45</v>
      </c>
      <c r="F2076" s="40">
        <f>C2076*D2076*E2076</f>
        <v>17100</v>
      </c>
      <c r="G2076" s="55">
        <v>0.7</v>
      </c>
      <c r="H2076" s="42">
        <f>F2076*(1-G2076)</f>
        <v>5130.0000000000009</v>
      </c>
    </row>
    <row r="2077" spans="1:8" x14ac:dyDescent="0.3">
      <c r="A2077" s="40"/>
      <c r="B2077" s="57" t="s">
        <v>7</v>
      </c>
      <c r="C2077" s="40"/>
      <c r="D2077" s="54"/>
      <c r="E2077" s="40"/>
      <c r="F2077" s="40"/>
      <c r="G2077" s="55"/>
      <c r="H2077" s="58">
        <f>SUM(H2073:H2076)</f>
        <v>8938.8000000000011</v>
      </c>
    </row>
    <row r="2078" spans="1:8" x14ac:dyDescent="0.3">
      <c r="A2078" s="40">
        <v>5</v>
      </c>
      <c r="B2078" s="57" t="s">
        <v>8</v>
      </c>
      <c r="C2078" s="40">
        <v>1</v>
      </c>
      <c r="D2078" s="54">
        <v>9000</v>
      </c>
      <c r="E2078" s="40">
        <v>5</v>
      </c>
      <c r="F2078" s="40">
        <f>C2078*D2078*E2078</f>
        <v>45000</v>
      </c>
      <c r="G2078" s="55">
        <v>0</v>
      </c>
      <c r="H2078" s="58">
        <f>(1-G2078)*F2078</f>
        <v>45000</v>
      </c>
    </row>
    <row r="2079" spans="1:8" x14ac:dyDescent="0.3">
      <c r="A2079" s="51"/>
      <c r="B2079" s="57" t="s">
        <v>9</v>
      </c>
      <c r="C2079" s="39"/>
      <c r="D2079" s="59"/>
      <c r="E2079" s="39"/>
      <c r="F2079" s="39"/>
      <c r="G2079" s="39"/>
      <c r="H2079" s="58">
        <f>H2077+H2078</f>
        <v>53938.8</v>
      </c>
    </row>
    <row r="2080" spans="1:8" x14ac:dyDescent="0.3">
      <c r="A2080" s="40"/>
      <c r="B2080" s="40"/>
      <c r="C2080" s="40"/>
      <c r="D2080" s="41"/>
      <c r="E2080" s="40"/>
      <c r="F2080" s="40"/>
      <c r="G2080" s="40"/>
      <c r="H2080" s="42"/>
    </row>
    <row r="2081" spans="1:8" x14ac:dyDescent="0.3">
      <c r="A2081" s="40"/>
      <c r="B2081" s="40"/>
      <c r="C2081" s="40"/>
      <c r="D2081" s="41"/>
      <c r="E2081" s="40"/>
      <c r="F2081" s="40"/>
      <c r="G2081" s="40"/>
      <c r="H2081" s="42"/>
    </row>
    <row r="2082" spans="1:8" x14ac:dyDescent="0.3">
      <c r="A2082" s="44"/>
      <c r="B2082" s="86">
        <v>7552</v>
      </c>
      <c r="C2082" s="44" t="s">
        <v>223</v>
      </c>
      <c r="D2082" s="73"/>
      <c r="E2082" s="46" t="s">
        <v>224</v>
      </c>
      <c r="F2082" s="47"/>
      <c r="G2082" s="47"/>
      <c r="H2082" s="98"/>
    </row>
    <row r="2083" spans="1:8" x14ac:dyDescent="0.3">
      <c r="A2083" s="39"/>
      <c r="B2083" s="107" t="s">
        <v>0</v>
      </c>
      <c r="C2083" s="107" t="s">
        <v>1</v>
      </c>
      <c r="D2083" s="108" t="s">
        <v>2</v>
      </c>
      <c r="E2083" s="109" t="s">
        <v>3</v>
      </c>
      <c r="F2083" s="109" t="s">
        <v>4</v>
      </c>
      <c r="G2083" s="109" t="s">
        <v>5</v>
      </c>
      <c r="H2083" s="106" t="s">
        <v>6</v>
      </c>
    </row>
    <row r="2084" spans="1:8" ht="57.6" x14ac:dyDescent="0.3">
      <c r="A2084" s="40">
        <v>1</v>
      </c>
      <c r="B2084" s="110" t="s">
        <v>1796</v>
      </c>
      <c r="C2084" s="40">
        <v>1</v>
      </c>
      <c r="D2084" s="54">
        <v>411.5</v>
      </c>
      <c r="E2084" s="40">
        <v>200</v>
      </c>
      <c r="F2084" s="40">
        <f>C2084*D2084*E2084</f>
        <v>82300</v>
      </c>
      <c r="G2084" s="55">
        <v>0.4</v>
      </c>
      <c r="H2084" s="42">
        <f>F2084*(1-G2084)</f>
        <v>49380</v>
      </c>
    </row>
    <row r="2085" spans="1:8" ht="57.6" x14ac:dyDescent="0.3">
      <c r="A2085" s="40">
        <v>2</v>
      </c>
      <c r="B2085" s="110" t="s">
        <v>225</v>
      </c>
      <c r="C2085" s="40">
        <v>1</v>
      </c>
      <c r="D2085" s="56">
        <v>54.4</v>
      </c>
      <c r="E2085" s="40">
        <v>100</v>
      </c>
      <c r="F2085" s="40">
        <f>C2085*D2085*E2085</f>
        <v>5440</v>
      </c>
      <c r="G2085" s="55">
        <v>0.4</v>
      </c>
      <c r="H2085" s="42">
        <f>F2085*(1-G2085)</f>
        <v>3264</v>
      </c>
    </row>
    <row r="2086" spans="1:8" x14ac:dyDescent="0.3">
      <c r="A2086" s="40">
        <v>3</v>
      </c>
      <c r="B2086" s="110" t="s">
        <v>1539</v>
      </c>
      <c r="C2086" s="40">
        <v>1</v>
      </c>
      <c r="D2086" s="54">
        <v>345</v>
      </c>
      <c r="E2086" s="40">
        <v>45</v>
      </c>
      <c r="F2086" s="40">
        <f>C2086*D2086*E2086</f>
        <v>15525</v>
      </c>
      <c r="G2086" s="55">
        <v>0.7</v>
      </c>
      <c r="H2086" s="42">
        <f>F2086*(1-G2086)</f>
        <v>4657.5000000000009</v>
      </c>
    </row>
    <row r="2087" spans="1:8" x14ac:dyDescent="0.3">
      <c r="A2087" s="40"/>
      <c r="B2087" s="57" t="s">
        <v>7</v>
      </c>
      <c r="C2087" s="40"/>
      <c r="D2087" s="54"/>
      <c r="E2087" s="40"/>
      <c r="F2087" s="40"/>
      <c r="G2087" s="55"/>
      <c r="H2087" s="58">
        <f>SUM(H2084:H2086)</f>
        <v>57301.5</v>
      </c>
    </row>
    <row r="2088" spans="1:8" x14ac:dyDescent="0.3">
      <c r="A2088" s="40">
        <v>4</v>
      </c>
      <c r="B2088" s="57" t="s">
        <v>8</v>
      </c>
      <c r="C2088" s="40">
        <v>1</v>
      </c>
      <c r="D2088" s="54">
        <v>4675</v>
      </c>
      <c r="E2088" s="40">
        <v>5</v>
      </c>
      <c r="F2088" s="40">
        <f>C2088*D2088*E2088</f>
        <v>23375</v>
      </c>
      <c r="G2088" s="55">
        <v>0</v>
      </c>
      <c r="H2088" s="58">
        <f>(1-G2088)*F2088</f>
        <v>23375</v>
      </c>
    </row>
    <row r="2089" spans="1:8" x14ac:dyDescent="0.3">
      <c r="A2089" s="51"/>
      <c r="B2089" s="57" t="s">
        <v>9</v>
      </c>
      <c r="C2089" s="39"/>
      <c r="D2089" s="59"/>
      <c r="E2089" s="39"/>
      <c r="F2089" s="39"/>
      <c r="G2089" s="39"/>
      <c r="H2089" s="58">
        <f>H2087+H2088</f>
        <v>80676.5</v>
      </c>
    </row>
    <row r="2090" spans="1:8" x14ac:dyDescent="0.3">
      <c r="A2090" s="51"/>
      <c r="B2090" s="57"/>
      <c r="C2090" s="39"/>
      <c r="D2090" s="59"/>
      <c r="E2090" s="39"/>
      <c r="F2090" s="39"/>
      <c r="G2090" s="39"/>
      <c r="H2090" s="58"/>
    </row>
    <row r="2091" spans="1:8" x14ac:dyDescent="0.3">
      <c r="A2091" s="44"/>
      <c r="B2091" s="86">
        <v>7583</v>
      </c>
      <c r="C2091" s="44" t="s">
        <v>94</v>
      </c>
      <c r="D2091" s="73"/>
      <c r="E2091" s="46"/>
      <c r="F2091" s="47" t="s">
        <v>1988</v>
      </c>
      <c r="G2091" s="47"/>
      <c r="H2091" s="98"/>
    </row>
    <row r="2092" spans="1:8" x14ac:dyDescent="0.3">
      <c r="A2092" s="39"/>
      <c r="B2092" s="107" t="s">
        <v>0</v>
      </c>
      <c r="C2092" s="107" t="s">
        <v>1</v>
      </c>
      <c r="D2092" s="108" t="s">
        <v>2</v>
      </c>
      <c r="E2092" s="109" t="s">
        <v>3</v>
      </c>
      <c r="F2092" s="109" t="s">
        <v>4</v>
      </c>
      <c r="G2092" s="109" t="s">
        <v>5</v>
      </c>
      <c r="H2092" s="106" t="s">
        <v>6</v>
      </c>
    </row>
    <row r="2093" spans="1:8" s="31" customFormat="1" x14ac:dyDescent="0.3">
      <c r="A2093" s="40">
        <v>1</v>
      </c>
      <c r="B2093" s="110" t="s">
        <v>15</v>
      </c>
      <c r="C2093" s="40">
        <v>1</v>
      </c>
      <c r="D2093" s="41"/>
      <c r="E2093" s="40"/>
      <c r="F2093" s="40"/>
      <c r="G2093" s="55"/>
      <c r="H2093" s="42"/>
    </row>
    <row r="2094" spans="1:8" x14ac:dyDescent="0.3">
      <c r="A2094" s="40"/>
      <c r="B2094" s="57" t="s">
        <v>7</v>
      </c>
      <c r="C2094" s="40"/>
      <c r="D2094" s="54"/>
      <c r="E2094" s="40"/>
      <c r="F2094" s="40"/>
      <c r="G2094" s="55"/>
      <c r="H2094" s="58">
        <f>H2091</f>
        <v>0</v>
      </c>
    </row>
    <row r="2095" spans="1:8" x14ac:dyDescent="0.3">
      <c r="A2095" s="40">
        <v>2</v>
      </c>
      <c r="B2095" s="57" t="s">
        <v>8</v>
      </c>
      <c r="C2095" s="40">
        <v>1</v>
      </c>
      <c r="D2095" s="54">
        <v>6300</v>
      </c>
      <c r="E2095" s="40">
        <v>5</v>
      </c>
      <c r="F2095" s="40">
        <f>C2095*D2095*E2095</f>
        <v>31500</v>
      </c>
      <c r="G2095" s="55">
        <v>0</v>
      </c>
      <c r="H2095" s="58">
        <f>F2095*(1-G2095)</f>
        <v>31500</v>
      </c>
    </row>
    <row r="2096" spans="1:8" x14ac:dyDescent="0.3">
      <c r="A2096" s="51"/>
      <c r="B2096" s="57" t="s">
        <v>9</v>
      </c>
      <c r="C2096" s="39"/>
      <c r="D2096" s="59"/>
      <c r="E2096" s="39"/>
      <c r="F2096" s="39"/>
      <c r="G2096" s="39"/>
      <c r="H2096" s="58">
        <f>H2094+H2095</f>
        <v>31500</v>
      </c>
    </row>
    <row r="2097" spans="1:8" x14ac:dyDescent="0.3">
      <c r="A2097" s="137"/>
      <c r="B2097" s="187">
        <v>5920</v>
      </c>
      <c r="C2097" s="140" t="s">
        <v>1168</v>
      </c>
      <c r="D2097" s="141"/>
      <c r="E2097" s="140" t="s">
        <v>1169</v>
      </c>
      <c r="F2097" s="142"/>
      <c r="G2097" s="142"/>
      <c r="H2097" s="143"/>
    </row>
    <row r="2098" spans="1:8" x14ac:dyDescent="0.3">
      <c r="A2098" s="39"/>
      <c r="B2098" s="107" t="s">
        <v>10</v>
      </c>
      <c r="C2098" s="107" t="s">
        <v>1</v>
      </c>
      <c r="D2098" s="108" t="s">
        <v>2</v>
      </c>
      <c r="E2098" s="109" t="s">
        <v>3</v>
      </c>
      <c r="F2098" s="109" t="s">
        <v>4</v>
      </c>
      <c r="G2098" s="109" t="s">
        <v>5</v>
      </c>
      <c r="H2098" s="106" t="s">
        <v>6</v>
      </c>
    </row>
    <row r="2099" spans="1:8" x14ac:dyDescent="0.3">
      <c r="A2099" s="40"/>
      <c r="B2099" s="49" t="s">
        <v>1167</v>
      </c>
      <c r="C2099" s="49"/>
      <c r="D2099" s="50"/>
      <c r="E2099" s="51"/>
      <c r="F2099" s="51"/>
      <c r="G2099" s="51"/>
      <c r="H2099" s="52"/>
    </row>
    <row r="2100" spans="1:8" x14ac:dyDescent="0.3">
      <c r="A2100" s="53">
        <v>1</v>
      </c>
      <c r="B2100" s="57" t="s">
        <v>8</v>
      </c>
      <c r="C2100" s="40">
        <v>1</v>
      </c>
      <c r="D2100" s="54">
        <v>0</v>
      </c>
      <c r="E2100" s="40">
        <v>5</v>
      </c>
      <c r="F2100" s="40">
        <f>C2100*D2100*E2100</f>
        <v>0</v>
      </c>
      <c r="G2100" s="55">
        <v>0</v>
      </c>
      <c r="H2100" s="58">
        <f>(1-G2100)*F2100</f>
        <v>0</v>
      </c>
    </row>
    <row r="2101" spans="1:8" x14ac:dyDescent="0.3">
      <c r="A2101" s="53"/>
      <c r="B2101" s="57" t="s">
        <v>9</v>
      </c>
      <c r="C2101" s="39"/>
      <c r="D2101" s="59"/>
      <c r="E2101" s="39"/>
      <c r="F2101" s="39"/>
      <c r="G2101" s="39"/>
      <c r="H2101" s="58">
        <f>H2100</f>
        <v>0</v>
      </c>
    </row>
    <row r="2102" spans="1:8" x14ac:dyDescent="0.3">
      <c r="A2102" s="137"/>
      <c r="B2102" s="187">
        <v>5921</v>
      </c>
      <c r="C2102" s="140" t="s">
        <v>1170</v>
      </c>
      <c r="D2102" s="141"/>
      <c r="E2102" s="140" t="s">
        <v>460</v>
      </c>
      <c r="F2102" s="142"/>
      <c r="G2102" s="142"/>
      <c r="H2102" s="143"/>
    </row>
    <row r="2103" spans="1:8" x14ac:dyDescent="0.3">
      <c r="A2103" s="39"/>
      <c r="B2103" s="107" t="s">
        <v>0</v>
      </c>
      <c r="C2103" s="107" t="s">
        <v>1</v>
      </c>
      <c r="D2103" s="108" t="s">
        <v>2</v>
      </c>
      <c r="E2103" s="109" t="s">
        <v>3</v>
      </c>
      <c r="F2103" s="109" t="s">
        <v>4</v>
      </c>
      <c r="G2103" s="109" t="s">
        <v>5</v>
      </c>
      <c r="H2103" s="106" t="s">
        <v>6</v>
      </c>
    </row>
    <row r="2104" spans="1:8" x14ac:dyDescent="0.3">
      <c r="A2104" s="40"/>
      <c r="B2104" s="49" t="s">
        <v>1167</v>
      </c>
      <c r="C2104" s="49"/>
      <c r="D2104" s="50"/>
      <c r="E2104" s="51"/>
      <c r="F2104" s="51"/>
      <c r="G2104" s="51"/>
      <c r="H2104" s="52"/>
    </row>
    <row r="2105" spans="1:8" x14ac:dyDescent="0.3">
      <c r="A2105" s="53">
        <v>1</v>
      </c>
      <c r="B2105" s="57" t="s">
        <v>8</v>
      </c>
      <c r="C2105" s="40">
        <v>1</v>
      </c>
      <c r="D2105" s="54">
        <v>0</v>
      </c>
      <c r="E2105" s="40">
        <v>5</v>
      </c>
      <c r="F2105" s="40">
        <f>C2105*D2105*E2105</f>
        <v>0</v>
      </c>
      <c r="G2105" s="55">
        <v>0</v>
      </c>
      <c r="H2105" s="58">
        <f>(1-G2105)*F2105</f>
        <v>0</v>
      </c>
    </row>
    <row r="2106" spans="1:8" x14ac:dyDescent="0.3">
      <c r="A2106" s="53"/>
      <c r="B2106" s="57" t="s">
        <v>9</v>
      </c>
      <c r="C2106" s="39"/>
      <c r="D2106" s="59"/>
      <c r="E2106" s="39"/>
      <c r="F2106" s="39"/>
      <c r="G2106" s="39"/>
      <c r="H2106" s="58">
        <f>H2105</f>
        <v>0</v>
      </c>
    </row>
    <row r="2107" spans="1:8" x14ac:dyDescent="0.3">
      <c r="A2107" s="137"/>
      <c r="B2107" s="187">
        <v>5922</v>
      </c>
      <c r="C2107" s="140" t="s">
        <v>1171</v>
      </c>
      <c r="D2107" s="141"/>
      <c r="E2107" s="140" t="s">
        <v>460</v>
      </c>
      <c r="F2107" s="142"/>
      <c r="G2107" s="142"/>
      <c r="H2107" s="143"/>
    </row>
    <row r="2108" spans="1:8" x14ac:dyDescent="0.3">
      <c r="A2108" s="39"/>
      <c r="B2108" s="107" t="s">
        <v>10</v>
      </c>
      <c r="C2108" s="107" t="s">
        <v>1</v>
      </c>
      <c r="D2108" s="108" t="s">
        <v>2</v>
      </c>
      <c r="E2108" s="109" t="s">
        <v>3</v>
      </c>
      <c r="F2108" s="109" t="s">
        <v>4</v>
      </c>
      <c r="G2108" s="109" t="s">
        <v>5</v>
      </c>
      <c r="H2108" s="106" t="s">
        <v>6</v>
      </c>
    </row>
    <row r="2109" spans="1:8" s="3" customFormat="1" x14ac:dyDescent="0.3">
      <c r="A2109" s="40"/>
      <c r="B2109" s="49" t="s">
        <v>1167</v>
      </c>
      <c r="C2109" s="49"/>
      <c r="D2109" s="50"/>
      <c r="E2109" s="51"/>
      <c r="F2109" s="51"/>
      <c r="G2109" s="51"/>
      <c r="H2109" s="52"/>
    </row>
    <row r="2110" spans="1:8" x14ac:dyDescent="0.3">
      <c r="A2110" s="53">
        <v>1</v>
      </c>
      <c r="B2110" s="57" t="s">
        <v>8</v>
      </c>
      <c r="C2110" s="40">
        <v>1</v>
      </c>
      <c r="D2110" s="54">
        <v>0</v>
      </c>
      <c r="E2110" s="40">
        <v>5</v>
      </c>
      <c r="F2110" s="40">
        <f>C2110*D2110*E2110</f>
        <v>0</v>
      </c>
      <c r="G2110" s="55">
        <v>0</v>
      </c>
      <c r="H2110" s="58">
        <f>(1-G2110)*F2110</f>
        <v>0</v>
      </c>
    </row>
    <row r="2111" spans="1:8" x14ac:dyDescent="0.3">
      <c r="A2111" s="53"/>
      <c r="B2111" s="57" t="s">
        <v>9</v>
      </c>
      <c r="C2111" s="39"/>
      <c r="D2111" s="59"/>
      <c r="E2111" s="39"/>
      <c r="F2111" s="39"/>
      <c r="G2111" s="39"/>
      <c r="H2111" s="58">
        <f>H2110</f>
        <v>0</v>
      </c>
    </row>
    <row r="2112" spans="1:8" x14ac:dyDescent="0.3">
      <c r="A2112" s="137"/>
      <c r="B2112" s="187">
        <v>5923</v>
      </c>
      <c r="C2112" s="140" t="s">
        <v>1172</v>
      </c>
      <c r="D2112" s="141"/>
      <c r="E2112" s="140" t="s">
        <v>1173</v>
      </c>
      <c r="F2112" s="142"/>
      <c r="G2112" s="142"/>
      <c r="H2112" s="143"/>
    </row>
    <row r="2113" spans="1:8" x14ac:dyDescent="0.3">
      <c r="A2113" s="39"/>
      <c r="B2113" s="107" t="s">
        <v>10</v>
      </c>
      <c r="C2113" s="107" t="s">
        <v>1</v>
      </c>
      <c r="D2113" s="108" t="s">
        <v>2</v>
      </c>
      <c r="E2113" s="109" t="s">
        <v>3</v>
      </c>
      <c r="F2113" s="109" t="s">
        <v>4</v>
      </c>
      <c r="G2113" s="109" t="s">
        <v>5</v>
      </c>
      <c r="H2113" s="106" t="s">
        <v>6</v>
      </c>
    </row>
    <row r="2114" spans="1:8" x14ac:dyDescent="0.3">
      <c r="A2114" s="53">
        <v>1</v>
      </c>
      <c r="B2114" s="57" t="s">
        <v>8</v>
      </c>
      <c r="C2114" s="40">
        <v>1</v>
      </c>
      <c r="D2114" s="54">
        <v>0</v>
      </c>
      <c r="E2114" s="40">
        <v>5</v>
      </c>
      <c r="F2114" s="40">
        <f>C2114*D2114*E2114</f>
        <v>0</v>
      </c>
      <c r="G2114" s="55">
        <v>0</v>
      </c>
      <c r="H2114" s="58">
        <f>(1-G2114)*F2114</f>
        <v>0</v>
      </c>
    </row>
    <row r="2115" spans="1:8" x14ac:dyDescent="0.3">
      <c r="A2115" s="53"/>
      <c r="B2115" s="57" t="s">
        <v>9</v>
      </c>
      <c r="C2115" s="39"/>
      <c r="D2115" s="59"/>
      <c r="E2115" s="39"/>
      <c r="F2115" s="39"/>
      <c r="G2115" s="39"/>
      <c r="H2115" s="58">
        <f>H2114</f>
        <v>0</v>
      </c>
    </row>
    <row r="2116" spans="1:8" x14ac:dyDescent="0.3">
      <c r="A2116" s="40"/>
      <c r="B2116" s="40"/>
      <c r="C2116" s="40"/>
      <c r="D2116" s="41"/>
      <c r="E2116" s="40"/>
      <c r="F2116" s="40"/>
      <c r="G2116" s="40"/>
      <c r="H2116" s="42"/>
    </row>
    <row r="2117" spans="1:8" x14ac:dyDescent="0.3">
      <c r="A2117" s="43"/>
      <c r="B2117" s="62">
        <v>5932</v>
      </c>
      <c r="C2117" s="44" t="s">
        <v>615</v>
      </c>
      <c r="D2117" s="45"/>
      <c r="E2117" s="46" t="s">
        <v>616</v>
      </c>
      <c r="F2117" s="63"/>
      <c r="G2117" s="60"/>
      <c r="H2117" s="48"/>
    </row>
    <row r="2118" spans="1:8" x14ac:dyDescent="0.3">
      <c r="A2118" s="39"/>
      <c r="B2118" s="147" t="s">
        <v>0</v>
      </c>
      <c r="C2118" s="107" t="s">
        <v>1</v>
      </c>
      <c r="D2118" s="108" t="s">
        <v>2</v>
      </c>
      <c r="E2118" s="109" t="s">
        <v>3</v>
      </c>
      <c r="F2118" s="122" t="s">
        <v>4</v>
      </c>
      <c r="G2118" s="109" t="s">
        <v>5</v>
      </c>
      <c r="H2118" s="106" t="s">
        <v>6</v>
      </c>
    </row>
    <row r="2119" spans="1:8" s="3" customFormat="1" ht="72" x14ac:dyDescent="0.3">
      <c r="A2119" s="40">
        <v>1</v>
      </c>
      <c r="B2119" s="66" t="s">
        <v>617</v>
      </c>
      <c r="C2119" s="40">
        <v>1</v>
      </c>
      <c r="D2119" s="67">
        <v>60</v>
      </c>
      <c r="E2119" s="40">
        <v>250</v>
      </c>
      <c r="F2119" s="68">
        <f t="shared" ref="F2119:F2124" si="145">C2119*D2119*E2119</f>
        <v>15000</v>
      </c>
      <c r="G2119" s="55">
        <v>0.5</v>
      </c>
      <c r="H2119" s="42">
        <f t="shared" ref="H2119:H2124" si="146">F2119*(1-G2119)</f>
        <v>7500</v>
      </c>
    </row>
    <row r="2120" spans="1:8" ht="57.6" x14ac:dyDescent="0.3">
      <c r="A2120" s="40">
        <v>2</v>
      </c>
      <c r="B2120" s="66" t="s">
        <v>618</v>
      </c>
      <c r="C2120" s="40">
        <v>1</v>
      </c>
      <c r="D2120" s="67">
        <v>27</v>
      </c>
      <c r="E2120" s="40">
        <v>100</v>
      </c>
      <c r="F2120" s="68">
        <f t="shared" si="145"/>
        <v>2700</v>
      </c>
      <c r="G2120" s="55">
        <v>0.5</v>
      </c>
      <c r="H2120" s="42">
        <f t="shared" si="146"/>
        <v>1350</v>
      </c>
    </row>
    <row r="2121" spans="1:8" ht="43.2" x14ac:dyDescent="0.3">
      <c r="A2121" s="40">
        <v>3</v>
      </c>
      <c r="B2121" s="66" t="s">
        <v>619</v>
      </c>
      <c r="C2121" s="40">
        <v>1</v>
      </c>
      <c r="D2121" s="67">
        <v>45</v>
      </c>
      <c r="E2121" s="40">
        <v>50</v>
      </c>
      <c r="F2121" s="68">
        <f t="shared" si="145"/>
        <v>2250</v>
      </c>
      <c r="G2121" s="55">
        <v>0.5</v>
      </c>
      <c r="H2121" s="42">
        <f t="shared" si="146"/>
        <v>1125</v>
      </c>
    </row>
    <row r="2122" spans="1:8" ht="43.2" x14ac:dyDescent="0.3">
      <c r="A2122" s="40">
        <v>4</v>
      </c>
      <c r="B2122" s="66" t="s">
        <v>620</v>
      </c>
      <c r="C2122" s="40">
        <v>1</v>
      </c>
      <c r="D2122" s="67">
        <v>90</v>
      </c>
      <c r="E2122" s="40">
        <v>50</v>
      </c>
      <c r="F2122" s="68">
        <f t="shared" si="145"/>
        <v>4500</v>
      </c>
      <c r="G2122" s="55">
        <v>0.5</v>
      </c>
      <c r="H2122" s="42">
        <f t="shared" si="146"/>
        <v>2250</v>
      </c>
    </row>
    <row r="2123" spans="1:8" ht="57.6" x14ac:dyDescent="0.3">
      <c r="A2123" s="40">
        <v>5</v>
      </c>
      <c r="B2123" s="66" t="s">
        <v>621</v>
      </c>
      <c r="C2123" s="40">
        <v>1</v>
      </c>
      <c r="D2123" s="67">
        <v>45</v>
      </c>
      <c r="E2123" s="40">
        <v>50</v>
      </c>
      <c r="F2123" s="68">
        <f t="shared" si="145"/>
        <v>2250</v>
      </c>
      <c r="G2123" s="55">
        <v>0.5</v>
      </c>
      <c r="H2123" s="42">
        <f t="shared" si="146"/>
        <v>1125</v>
      </c>
    </row>
    <row r="2124" spans="1:8" s="3" customFormat="1" ht="57.6" x14ac:dyDescent="0.3">
      <c r="A2124" s="40">
        <v>6</v>
      </c>
      <c r="B2124" s="66" t="s">
        <v>622</v>
      </c>
      <c r="C2124" s="40">
        <v>1</v>
      </c>
      <c r="D2124" s="67">
        <v>8.5</v>
      </c>
      <c r="E2124" s="40">
        <v>50</v>
      </c>
      <c r="F2124" s="68">
        <f t="shared" si="145"/>
        <v>425</v>
      </c>
      <c r="G2124" s="55">
        <v>0.5</v>
      </c>
      <c r="H2124" s="42">
        <f t="shared" si="146"/>
        <v>212.5</v>
      </c>
    </row>
    <row r="2125" spans="1:8" x14ac:dyDescent="0.3">
      <c r="A2125" s="40"/>
      <c r="B2125" s="70" t="s">
        <v>7</v>
      </c>
      <c r="C2125" s="40"/>
      <c r="D2125" s="54"/>
      <c r="E2125" s="40"/>
      <c r="F2125" s="68"/>
      <c r="G2125" s="55"/>
      <c r="H2125" s="58">
        <f>SUM(H2119:H2124)</f>
        <v>13562.5</v>
      </c>
    </row>
    <row r="2126" spans="1:8" x14ac:dyDescent="0.3">
      <c r="A2126" s="40">
        <v>7</v>
      </c>
      <c r="B2126" s="70" t="s">
        <v>8</v>
      </c>
      <c r="C2126" s="40">
        <v>1</v>
      </c>
      <c r="D2126" s="54">
        <v>6090</v>
      </c>
      <c r="E2126" s="40">
        <v>5</v>
      </c>
      <c r="F2126" s="68">
        <f>C2126*D2126*E2126</f>
        <v>30450</v>
      </c>
      <c r="G2126" s="55">
        <v>0</v>
      </c>
      <c r="H2126" s="58">
        <f>(1-G2126)*F2126</f>
        <v>30450</v>
      </c>
    </row>
    <row r="2127" spans="1:8" x14ac:dyDescent="0.3">
      <c r="A2127" s="51"/>
      <c r="B2127" s="70" t="s">
        <v>9</v>
      </c>
      <c r="C2127" s="39"/>
      <c r="D2127" s="59"/>
      <c r="E2127" s="39"/>
      <c r="F2127" s="71"/>
      <c r="G2127" s="39"/>
      <c r="H2127" s="58">
        <f>H2125+H2126</f>
        <v>44012.5</v>
      </c>
    </row>
    <row r="2128" spans="1:8" x14ac:dyDescent="0.3">
      <c r="A2128" s="51"/>
      <c r="B2128" s="70"/>
      <c r="C2128" s="39"/>
      <c r="D2128" s="59"/>
      <c r="E2128" s="39"/>
      <c r="F2128" s="71"/>
      <c r="G2128" s="39"/>
      <c r="H2128" s="58"/>
    </row>
    <row r="2129" spans="1:8" s="3" customFormat="1" x14ac:dyDescent="0.3">
      <c r="A2129" s="60"/>
      <c r="B2129" s="95">
        <v>5936</v>
      </c>
      <c r="C2129" s="47" t="s">
        <v>875</v>
      </c>
      <c r="D2129" s="156"/>
      <c r="E2129" s="47" t="s">
        <v>1988</v>
      </c>
      <c r="F2129" s="47"/>
      <c r="G2129" s="60"/>
      <c r="H2129" s="48"/>
    </row>
    <row r="2130" spans="1:8" x14ac:dyDescent="0.3">
      <c r="A2130" s="165"/>
      <c r="B2130" s="165" t="s">
        <v>10</v>
      </c>
      <c r="C2130" s="166" t="s">
        <v>1</v>
      </c>
      <c r="D2130" s="167" t="s">
        <v>2</v>
      </c>
      <c r="E2130" s="165" t="s">
        <v>3</v>
      </c>
      <c r="F2130" s="165" t="s">
        <v>4</v>
      </c>
      <c r="G2130" s="165" t="s">
        <v>5</v>
      </c>
      <c r="H2130" s="168" t="s">
        <v>6</v>
      </c>
    </row>
    <row r="2131" spans="1:8" ht="72" x14ac:dyDescent="0.3">
      <c r="A2131" s="40">
        <v>1</v>
      </c>
      <c r="B2131" s="53" t="s">
        <v>1528</v>
      </c>
      <c r="C2131" s="40">
        <v>1</v>
      </c>
      <c r="D2131" s="41">
        <v>382.2</v>
      </c>
      <c r="E2131" s="40">
        <v>450</v>
      </c>
      <c r="F2131" s="40">
        <f>C2131*D2131*E2131</f>
        <v>171990</v>
      </c>
      <c r="G2131" s="55">
        <v>0.6</v>
      </c>
      <c r="H2131" s="42">
        <f>(1-G2131)*F2131</f>
        <v>68796</v>
      </c>
    </row>
    <row r="2132" spans="1:8" ht="43.2" x14ac:dyDescent="0.3">
      <c r="A2132" s="40">
        <v>2</v>
      </c>
      <c r="B2132" s="53" t="s">
        <v>876</v>
      </c>
      <c r="C2132" s="40">
        <v>1</v>
      </c>
      <c r="D2132" s="41">
        <v>55.12</v>
      </c>
      <c r="E2132" s="40">
        <v>50</v>
      </c>
      <c r="F2132" s="40">
        <f>C2132*D2132*E2132</f>
        <v>2756</v>
      </c>
      <c r="G2132" s="55">
        <v>0.6</v>
      </c>
      <c r="H2132" s="42">
        <f>(1-G2132)*F2132</f>
        <v>1102.4000000000001</v>
      </c>
    </row>
    <row r="2133" spans="1:8" x14ac:dyDescent="0.3">
      <c r="A2133" s="40"/>
      <c r="B2133" s="40" t="s">
        <v>11</v>
      </c>
      <c r="C2133" s="57"/>
      <c r="D2133" s="105"/>
      <c r="E2133" s="39"/>
      <c r="F2133" s="39"/>
      <c r="G2133" s="39"/>
      <c r="H2133" s="58">
        <f>H2131+H2132</f>
        <v>69898.399999999994</v>
      </c>
    </row>
    <row r="2134" spans="1:8" x14ac:dyDescent="0.3">
      <c r="A2134" s="40">
        <v>3</v>
      </c>
      <c r="B2134" s="40" t="s">
        <v>8</v>
      </c>
      <c r="C2134" s="40">
        <v>1</v>
      </c>
      <c r="D2134" s="146">
        <v>2985</v>
      </c>
      <c r="E2134" s="40">
        <v>5</v>
      </c>
      <c r="F2134" s="169">
        <f>C2134*D2134*E2134</f>
        <v>14925</v>
      </c>
      <c r="G2134" s="55">
        <v>0</v>
      </c>
      <c r="H2134" s="42">
        <f>(1-G2134)*F2134</f>
        <v>14925</v>
      </c>
    </row>
    <row r="2135" spans="1:8" x14ac:dyDescent="0.3">
      <c r="A2135" s="40"/>
      <c r="B2135" s="39" t="s">
        <v>9</v>
      </c>
      <c r="C2135" s="39"/>
      <c r="D2135" s="105"/>
      <c r="E2135" s="39"/>
      <c r="F2135" s="170"/>
      <c r="G2135" s="39"/>
      <c r="H2135" s="58">
        <f>H2133+H2134</f>
        <v>84823.4</v>
      </c>
    </row>
    <row r="2136" spans="1:8" x14ac:dyDescent="0.3">
      <c r="A2136" s="51"/>
      <c r="B2136" s="70"/>
      <c r="C2136" s="39"/>
      <c r="D2136" s="59"/>
      <c r="E2136" s="39"/>
      <c r="F2136" s="71"/>
      <c r="G2136" s="39"/>
      <c r="H2136" s="58"/>
    </row>
    <row r="2137" spans="1:8" x14ac:dyDescent="0.3">
      <c r="A2137" s="47"/>
      <c r="B2137" s="95">
        <v>5936</v>
      </c>
      <c r="C2137" s="47" t="s">
        <v>623</v>
      </c>
      <c r="D2137" s="96"/>
      <c r="E2137" s="47" t="s">
        <v>624</v>
      </c>
      <c r="F2137" s="97"/>
      <c r="G2137" s="47"/>
      <c r="H2137" s="98"/>
    </row>
    <row r="2138" spans="1:8" x14ac:dyDescent="0.3">
      <c r="A2138" s="165"/>
      <c r="B2138" s="165" t="s">
        <v>10</v>
      </c>
      <c r="C2138" s="166" t="s">
        <v>1</v>
      </c>
      <c r="D2138" s="167" t="s">
        <v>2</v>
      </c>
      <c r="E2138" s="165" t="s">
        <v>3</v>
      </c>
      <c r="F2138" s="165" t="s">
        <v>4</v>
      </c>
      <c r="G2138" s="165" t="s">
        <v>5</v>
      </c>
      <c r="H2138" s="168" t="s">
        <v>6</v>
      </c>
    </row>
    <row r="2139" spans="1:8" ht="86.4" x14ac:dyDescent="0.3">
      <c r="A2139" s="40">
        <v>1</v>
      </c>
      <c r="B2139" s="102" t="s">
        <v>1412</v>
      </c>
      <c r="C2139" s="49">
        <v>1</v>
      </c>
      <c r="D2139" s="112">
        <v>448</v>
      </c>
      <c r="E2139" s="123">
        <v>400</v>
      </c>
      <c r="F2139" s="65">
        <f>D2139*E2139</f>
        <v>179200</v>
      </c>
      <c r="G2139" s="74">
        <v>0.5</v>
      </c>
      <c r="H2139" s="42">
        <f>F2139*(1-G2139)</f>
        <v>89600</v>
      </c>
    </row>
    <row r="2140" spans="1:8" ht="28.8" x14ac:dyDescent="0.3">
      <c r="A2140" s="40">
        <v>2</v>
      </c>
      <c r="B2140" s="102" t="s">
        <v>419</v>
      </c>
      <c r="C2140" s="40">
        <v>1</v>
      </c>
      <c r="D2140" s="41">
        <f>54.6*5</f>
        <v>273</v>
      </c>
      <c r="E2140" s="123">
        <v>22</v>
      </c>
      <c r="F2140" s="65">
        <f>D2140*E2140</f>
        <v>6006</v>
      </c>
      <c r="G2140" s="74">
        <v>0.5</v>
      </c>
      <c r="H2140" s="42">
        <f>F2140*(1-G2140)</f>
        <v>3003</v>
      </c>
    </row>
    <row r="2141" spans="1:8" s="3" customFormat="1" x14ac:dyDescent="0.3">
      <c r="A2141" s="40"/>
      <c r="B2141" s="103" t="s">
        <v>318</v>
      </c>
      <c r="C2141" s="40"/>
      <c r="D2141" s="41"/>
      <c r="E2141" s="40"/>
      <c r="F2141" s="68"/>
      <c r="G2141" s="40"/>
      <c r="H2141" s="58">
        <f>SUM(H2139:H2140)</f>
        <v>92603</v>
      </c>
    </row>
    <row r="2142" spans="1:8" x14ac:dyDescent="0.3">
      <c r="A2142" s="83">
        <v>3</v>
      </c>
      <c r="B2142" s="103" t="s">
        <v>325</v>
      </c>
      <c r="C2142" s="40">
        <v>1</v>
      </c>
      <c r="D2142" s="41">
        <v>2985</v>
      </c>
      <c r="E2142" s="40">
        <v>5</v>
      </c>
      <c r="F2142" s="65">
        <f>C2142*D2142*E2142</f>
        <v>14925</v>
      </c>
      <c r="G2142" s="55">
        <v>0</v>
      </c>
      <c r="H2142" s="58">
        <f>F2142</f>
        <v>14925</v>
      </c>
    </row>
    <row r="2143" spans="1:8" x14ac:dyDescent="0.3">
      <c r="A2143" s="115"/>
      <c r="B2143" s="103" t="s">
        <v>9</v>
      </c>
      <c r="C2143" s="40"/>
      <c r="D2143" s="41"/>
      <c r="E2143" s="40"/>
      <c r="F2143" s="68"/>
      <c r="G2143" s="55"/>
      <c r="H2143" s="106">
        <f>H2141+H2142</f>
        <v>107528</v>
      </c>
    </row>
    <row r="2144" spans="1:8" x14ac:dyDescent="0.3">
      <c r="A2144" s="115"/>
      <c r="B2144" s="103"/>
      <c r="C2144" s="40"/>
      <c r="D2144" s="41"/>
      <c r="E2144" s="40"/>
      <c r="F2144" s="68"/>
      <c r="G2144" s="55"/>
      <c r="H2144" s="106"/>
    </row>
    <row r="2145" spans="1:8" x14ac:dyDescent="0.3">
      <c r="A2145" s="47"/>
      <c r="B2145" s="62">
        <v>5957</v>
      </c>
      <c r="C2145" s="44" t="s">
        <v>881</v>
      </c>
      <c r="D2145" s="45"/>
      <c r="E2145" s="46"/>
      <c r="F2145" s="47" t="s">
        <v>1946</v>
      </c>
      <c r="G2145" s="60"/>
      <c r="H2145" s="48"/>
    </row>
    <row r="2146" spans="1:8" x14ac:dyDescent="0.3">
      <c r="A2146" s="39"/>
      <c r="B2146" s="107" t="s">
        <v>10</v>
      </c>
      <c r="C2146" s="107" t="s">
        <v>1</v>
      </c>
      <c r="D2146" s="108" t="s">
        <v>2</v>
      </c>
      <c r="E2146" s="109" t="s">
        <v>3</v>
      </c>
      <c r="F2146" s="109" t="s">
        <v>4</v>
      </c>
      <c r="G2146" s="109" t="s">
        <v>5</v>
      </c>
      <c r="H2146" s="106" t="s">
        <v>6</v>
      </c>
    </row>
    <row r="2147" spans="1:8" x14ac:dyDescent="0.3">
      <c r="A2147" s="40">
        <v>1</v>
      </c>
      <c r="B2147" s="53" t="s">
        <v>882</v>
      </c>
      <c r="C2147" s="40">
        <v>1</v>
      </c>
      <c r="D2147" s="54">
        <v>0</v>
      </c>
      <c r="E2147" s="40">
        <v>0</v>
      </c>
      <c r="F2147" s="40">
        <f>C2147*D2147*E2147</f>
        <v>0</v>
      </c>
      <c r="G2147" s="55">
        <v>0</v>
      </c>
      <c r="H2147" s="42">
        <f>F2147*(1-G2147)</f>
        <v>0</v>
      </c>
    </row>
    <row r="2148" spans="1:8" x14ac:dyDescent="0.3">
      <c r="A2148" s="40"/>
      <c r="B2148" s="57" t="s">
        <v>7</v>
      </c>
      <c r="C2148" s="40"/>
      <c r="D2148" s="54"/>
      <c r="E2148" s="40"/>
      <c r="F2148" s="40"/>
      <c r="G2148" s="55"/>
      <c r="H2148" s="58">
        <f>SUM(H2147:H2147)</f>
        <v>0</v>
      </c>
    </row>
    <row r="2149" spans="1:8" s="3" customFormat="1" x14ac:dyDescent="0.3">
      <c r="A2149" s="51">
        <v>2</v>
      </c>
      <c r="B2149" s="57" t="s">
        <v>8</v>
      </c>
      <c r="C2149" s="40">
        <v>1</v>
      </c>
      <c r="D2149" s="54">
        <v>25690</v>
      </c>
      <c r="E2149" s="40">
        <v>5</v>
      </c>
      <c r="F2149" s="40">
        <f>(10000*5)+(1000*3.75)+5690*2.5</f>
        <v>67975</v>
      </c>
      <c r="G2149" s="55">
        <v>0</v>
      </c>
      <c r="H2149" s="58">
        <f>(1-G2149)*F2149</f>
        <v>67975</v>
      </c>
    </row>
    <row r="2150" spans="1:8" x14ac:dyDescent="0.3">
      <c r="A2150" s="51"/>
      <c r="B2150" s="57" t="s">
        <v>9</v>
      </c>
      <c r="C2150" s="39"/>
      <c r="D2150" s="59"/>
      <c r="E2150" s="39"/>
      <c r="F2150" s="39"/>
      <c r="G2150" s="39"/>
      <c r="H2150" s="58">
        <f>H2148+H2149</f>
        <v>67975</v>
      </c>
    </row>
    <row r="2151" spans="1:8" ht="72" x14ac:dyDescent="0.3">
      <c r="A2151" s="47"/>
      <c r="B2151" s="62" t="s">
        <v>883</v>
      </c>
      <c r="C2151" s="86" t="s">
        <v>884</v>
      </c>
      <c r="D2151" s="45"/>
      <c r="E2151" s="47"/>
      <c r="F2151" s="47" t="s">
        <v>1947</v>
      </c>
      <c r="G2151" s="47"/>
      <c r="H2151" s="98"/>
    </row>
    <row r="2152" spans="1:8" x14ac:dyDescent="0.3">
      <c r="A2152" s="39"/>
      <c r="B2152" s="107" t="s">
        <v>10</v>
      </c>
      <c r="C2152" s="107" t="s">
        <v>1</v>
      </c>
      <c r="D2152" s="108" t="s">
        <v>2</v>
      </c>
      <c r="E2152" s="109" t="s">
        <v>3</v>
      </c>
      <c r="F2152" s="109" t="s">
        <v>4</v>
      </c>
      <c r="G2152" s="109" t="s">
        <v>5</v>
      </c>
      <c r="H2152" s="106" t="s">
        <v>6</v>
      </c>
    </row>
    <row r="2153" spans="1:8" x14ac:dyDescent="0.3">
      <c r="A2153" s="40">
        <v>1</v>
      </c>
      <c r="B2153" s="53" t="s">
        <v>882</v>
      </c>
      <c r="C2153" s="40">
        <v>1</v>
      </c>
      <c r="D2153" s="54">
        <v>0</v>
      </c>
      <c r="E2153" s="40">
        <v>0</v>
      </c>
      <c r="F2153" s="40">
        <f>C2153*D2153*E2153</f>
        <v>0</v>
      </c>
      <c r="G2153" s="55">
        <v>0</v>
      </c>
      <c r="H2153" s="42">
        <f>F2153*(1-G2153)</f>
        <v>0</v>
      </c>
    </row>
    <row r="2154" spans="1:8" x14ac:dyDescent="0.3">
      <c r="A2154" s="40"/>
      <c r="B2154" s="57" t="s">
        <v>7</v>
      </c>
      <c r="C2154" s="40"/>
      <c r="D2154" s="54"/>
      <c r="E2154" s="40"/>
      <c r="F2154" s="40"/>
      <c r="G2154" s="55"/>
      <c r="H2154" s="58">
        <f>SUM(H2153:H2153)</f>
        <v>0</v>
      </c>
    </row>
    <row r="2155" spans="1:8" x14ac:dyDescent="0.3">
      <c r="A2155" s="51">
        <v>2</v>
      </c>
      <c r="B2155" s="57" t="s">
        <v>8</v>
      </c>
      <c r="C2155" s="40">
        <v>1</v>
      </c>
      <c r="D2155" s="54">
        <v>8670</v>
      </c>
      <c r="E2155" s="40">
        <v>5</v>
      </c>
      <c r="F2155" s="40">
        <f>C2155*D2155*E2155</f>
        <v>43350</v>
      </c>
      <c r="G2155" s="55">
        <v>0</v>
      </c>
      <c r="H2155" s="58">
        <f>(1-G2155)*F2155</f>
        <v>43350</v>
      </c>
    </row>
    <row r="2156" spans="1:8" x14ac:dyDescent="0.3">
      <c r="A2156" s="51"/>
      <c r="B2156" s="57" t="s">
        <v>9</v>
      </c>
      <c r="C2156" s="39"/>
      <c r="D2156" s="59"/>
      <c r="E2156" s="39"/>
      <c r="F2156" s="39"/>
      <c r="G2156" s="39"/>
      <c r="H2156" s="58">
        <f>H2154+H2155</f>
        <v>43350</v>
      </c>
    </row>
    <row r="2157" spans="1:8" s="3" customFormat="1" x14ac:dyDescent="0.3">
      <c r="A2157" s="47"/>
      <c r="B2157" s="62" t="s">
        <v>885</v>
      </c>
      <c r="C2157" s="44" t="s">
        <v>886</v>
      </c>
      <c r="D2157" s="45"/>
      <c r="E2157" s="46" t="s">
        <v>887</v>
      </c>
      <c r="F2157" s="60"/>
      <c r="G2157" s="60"/>
      <c r="H2157" s="48"/>
    </row>
    <row r="2158" spans="1:8" x14ac:dyDescent="0.3">
      <c r="A2158" s="39"/>
      <c r="B2158" s="107" t="s">
        <v>10</v>
      </c>
      <c r="C2158" s="107" t="s">
        <v>1</v>
      </c>
      <c r="D2158" s="108" t="s">
        <v>2</v>
      </c>
      <c r="E2158" s="109" t="s">
        <v>3</v>
      </c>
      <c r="F2158" s="109" t="s">
        <v>4</v>
      </c>
      <c r="G2158" s="109" t="s">
        <v>5</v>
      </c>
      <c r="H2158" s="106" t="s">
        <v>6</v>
      </c>
    </row>
    <row r="2159" spans="1:8" ht="86.4" x14ac:dyDescent="0.3">
      <c r="A2159" s="40">
        <v>1</v>
      </c>
      <c r="B2159" s="53" t="s">
        <v>1661</v>
      </c>
      <c r="C2159" s="40">
        <v>1</v>
      </c>
      <c r="D2159" s="54">
        <v>880.32</v>
      </c>
      <c r="E2159" s="40">
        <v>450</v>
      </c>
      <c r="F2159" s="40">
        <f>C2159*D2159*E2159</f>
        <v>396144</v>
      </c>
      <c r="G2159" s="55">
        <v>0.3</v>
      </c>
      <c r="H2159" s="42">
        <f>F2159*(1-G2159)</f>
        <v>277300.8</v>
      </c>
    </row>
    <row r="2160" spans="1:8" x14ac:dyDescent="0.3">
      <c r="A2160" s="40"/>
      <c r="B2160" s="57" t="s">
        <v>7</v>
      </c>
      <c r="C2160" s="40"/>
      <c r="D2160" s="54"/>
      <c r="E2160" s="40"/>
      <c r="F2160" s="40"/>
      <c r="G2160" s="55"/>
      <c r="H2160" s="58">
        <f>SUM(H2159:H2159)</f>
        <v>277300.8</v>
      </c>
    </row>
    <row r="2161" spans="1:8" x14ac:dyDescent="0.3">
      <c r="A2161" s="51">
        <v>2</v>
      </c>
      <c r="B2161" s="57" t="s">
        <v>8</v>
      </c>
      <c r="C2161" s="40">
        <v>1</v>
      </c>
      <c r="D2161" s="54">
        <v>3552</v>
      </c>
      <c r="E2161" s="40">
        <v>5</v>
      </c>
      <c r="F2161" s="40">
        <f>C2161*D2161*E2161</f>
        <v>17760</v>
      </c>
      <c r="G2161" s="55">
        <v>0</v>
      </c>
      <c r="H2161" s="58">
        <f>(1-G2161)*F2161</f>
        <v>17760</v>
      </c>
    </row>
    <row r="2162" spans="1:8" x14ac:dyDescent="0.3">
      <c r="A2162" s="40"/>
      <c r="B2162" s="57" t="s">
        <v>9</v>
      </c>
      <c r="C2162" s="39"/>
      <c r="D2162" s="59"/>
      <c r="E2162" s="39"/>
      <c r="F2162" s="39"/>
      <c r="G2162" s="39"/>
      <c r="H2162" s="58">
        <f>H2160+H2161</f>
        <v>295060.8</v>
      </c>
    </row>
    <row r="2163" spans="1:8" s="3" customFormat="1" x14ac:dyDescent="0.3">
      <c r="A2163" s="43"/>
      <c r="B2163" s="62">
        <v>5959</v>
      </c>
      <c r="C2163" s="44" t="s">
        <v>888</v>
      </c>
      <c r="D2163" s="45"/>
      <c r="E2163" s="46" t="s">
        <v>889</v>
      </c>
      <c r="F2163" s="60"/>
      <c r="G2163" s="47" t="s">
        <v>890</v>
      </c>
      <c r="H2163" s="48"/>
    </row>
    <row r="2164" spans="1:8" x14ac:dyDescent="0.3">
      <c r="A2164" s="39"/>
      <c r="B2164" s="107" t="s">
        <v>10</v>
      </c>
      <c r="C2164" s="107" t="s">
        <v>1</v>
      </c>
      <c r="D2164" s="108" t="s">
        <v>2</v>
      </c>
      <c r="E2164" s="109" t="s">
        <v>3</v>
      </c>
      <c r="F2164" s="109" t="s">
        <v>4</v>
      </c>
      <c r="G2164" s="109" t="s">
        <v>5</v>
      </c>
      <c r="H2164" s="106" t="s">
        <v>6</v>
      </c>
    </row>
    <row r="2165" spans="1:8" ht="43.2" x14ac:dyDescent="0.3">
      <c r="A2165" s="40">
        <v>1</v>
      </c>
      <c r="B2165" s="53" t="s">
        <v>891</v>
      </c>
      <c r="C2165" s="40">
        <v>1</v>
      </c>
      <c r="D2165" s="54">
        <v>32.83</v>
      </c>
      <c r="E2165" s="40">
        <v>50</v>
      </c>
      <c r="F2165" s="40">
        <f>C2165*D2165*E2165</f>
        <v>1641.5</v>
      </c>
      <c r="G2165" s="55">
        <v>0.5</v>
      </c>
      <c r="H2165" s="42">
        <f>F2165*(1-G2165)</f>
        <v>820.75</v>
      </c>
    </row>
    <row r="2166" spans="1:8" x14ac:dyDescent="0.3">
      <c r="A2166" s="40"/>
      <c r="B2166" s="57" t="s">
        <v>7</v>
      </c>
      <c r="C2166" s="40"/>
      <c r="D2166" s="54"/>
      <c r="E2166" s="40"/>
      <c r="F2166" s="40"/>
      <c r="G2166" s="55"/>
      <c r="H2166" s="58">
        <f>SUM(H2165:H2165)</f>
        <v>820.75</v>
      </c>
    </row>
    <row r="2167" spans="1:8" x14ac:dyDescent="0.3">
      <c r="A2167" s="51">
        <v>2</v>
      </c>
      <c r="B2167" s="57" t="s">
        <v>8</v>
      </c>
      <c r="C2167" s="40">
        <v>1</v>
      </c>
      <c r="D2167" s="54">
        <v>7800</v>
      </c>
      <c r="E2167" s="40">
        <v>5</v>
      </c>
      <c r="F2167" s="40">
        <f>C2167*D2167*E2167</f>
        <v>39000</v>
      </c>
      <c r="G2167" s="55">
        <v>0</v>
      </c>
      <c r="H2167" s="58">
        <f>(1-G2167)*F2167</f>
        <v>39000</v>
      </c>
    </row>
    <row r="2168" spans="1:8" x14ac:dyDescent="0.3">
      <c r="A2168" s="40"/>
      <c r="B2168" s="57" t="s">
        <v>9</v>
      </c>
      <c r="C2168" s="39"/>
      <c r="D2168" s="59"/>
      <c r="E2168" s="39"/>
      <c r="F2168" s="39"/>
      <c r="G2168" s="39"/>
      <c r="H2168" s="58">
        <f>H2166+H2167</f>
        <v>39820.75</v>
      </c>
    </row>
    <row r="2169" spans="1:8" s="3" customFormat="1" x14ac:dyDescent="0.3">
      <c r="A2169" s="43"/>
      <c r="B2169" s="62">
        <v>5960</v>
      </c>
      <c r="C2169" s="44" t="s">
        <v>889</v>
      </c>
      <c r="D2169" s="45"/>
      <c r="E2169" s="46" t="s">
        <v>892</v>
      </c>
      <c r="F2169" s="60"/>
      <c r="G2169" s="60"/>
      <c r="H2169" s="48"/>
    </row>
    <row r="2170" spans="1:8" x14ac:dyDescent="0.3">
      <c r="A2170" s="39"/>
      <c r="B2170" s="107" t="s">
        <v>10</v>
      </c>
      <c r="C2170" s="107" t="s">
        <v>1</v>
      </c>
      <c r="D2170" s="108" t="s">
        <v>2</v>
      </c>
      <c r="E2170" s="109" t="s">
        <v>3</v>
      </c>
      <c r="F2170" s="109" t="s">
        <v>4</v>
      </c>
      <c r="G2170" s="109" t="s">
        <v>5</v>
      </c>
      <c r="H2170" s="106" t="s">
        <v>6</v>
      </c>
    </row>
    <row r="2171" spans="1:8" ht="86.4" x14ac:dyDescent="0.3">
      <c r="A2171" s="40">
        <v>2</v>
      </c>
      <c r="B2171" s="53" t="s">
        <v>1662</v>
      </c>
      <c r="C2171" s="40">
        <v>1</v>
      </c>
      <c r="D2171" s="54">
        <v>405.1</v>
      </c>
      <c r="E2171" s="40">
        <v>450</v>
      </c>
      <c r="F2171" s="40">
        <f>C2171*D2171*E2171</f>
        <v>182295</v>
      </c>
      <c r="G2171" s="55">
        <v>0.4</v>
      </c>
      <c r="H2171" s="42">
        <f>F2171*(1-G2171)</f>
        <v>109377</v>
      </c>
    </row>
    <row r="2172" spans="1:8" x14ac:dyDescent="0.3">
      <c r="A2172" s="40"/>
      <c r="B2172" s="57" t="s">
        <v>7</v>
      </c>
      <c r="C2172" s="40"/>
      <c r="D2172" s="54"/>
      <c r="E2172" s="40"/>
      <c r="F2172" s="40"/>
      <c r="G2172" s="55"/>
      <c r="H2172" s="58">
        <f>SUM(H2171:H2171)</f>
        <v>109377</v>
      </c>
    </row>
    <row r="2173" spans="1:8" x14ac:dyDescent="0.3">
      <c r="A2173" s="40">
        <v>2</v>
      </c>
      <c r="B2173" s="57" t="s">
        <v>8</v>
      </c>
      <c r="C2173" s="40">
        <v>1</v>
      </c>
      <c r="D2173" s="54">
        <v>14623</v>
      </c>
      <c r="E2173" s="40">
        <v>5</v>
      </c>
      <c r="F2173" s="40">
        <f>(10000*5)+(4623*3.75)</f>
        <v>67336.25</v>
      </c>
      <c r="G2173" s="55">
        <v>0</v>
      </c>
      <c r="H2173" s="58">
        <f>(1-G2173)*F2173</f>
        <v>67336.25</v>
      </c>
    </row>
    <row r="2174" spans="1:8" s="31" customFormat="1" x14ac:dyDescent="0.3">
      <c r="A2174" s="40"/>
      <c r="B2174" s="57" t="s">
        <v>9</v>
      </c>
      <c r="C2174" s="39"/>
      <c r="D2174" s="59"/>
      <c r="E2174" s="39"/>
      <c r="F2174" s="39"/>
      <c r="G2174" s="39"/>
      <c r="H2174" s="58">
        <f>H2172+H2173</f>
        <v>176713.25</v>
      </c>
    </row>
    <row r="2175" spans="1:8" s="3" customFormat="1" x14ac:dyDescent="0.3">
      <c r="A2175" s="43"/>
      <c r="B2175" s="62">
        <v>5961</v>
      </c>
      <c r="C2175" s="44" t="s">
        <v>889</v>
      </c>
      <c r="D2175" s="45"/>
      <c r="E2175" s="46" t="s">
        <v>893</v>
      </c>
      <c r="F2175" s="60"/>
      <c r="G2175" s="60"/>
      <c r="H2175" s="48"/>
    </row>
    <row r="2176" spans="1:8" x14ac:dyDescent="0.3">
      <c r="A2176" s="39"/>
      <c r="B2176" s="107" t="s">
        <v>10</v>
      </c>
      <c r="C2176" s="107" t="s">
        <v>1</v>
      </c>
      <c r="D2176" s="108" t="s">
        <v>2</v>
      </c>
      <c r="E2176" s="109" t="s">
        <v>3</v>
      </c>
      <c r="F2176" s="109" t="s">
        <v>4</v>
      </c>
      <c r="G2176" s="109" t="s">
        <v>5</v>
      </c>
      <c r="H2176" s="106" t="s">
        <v>6</v>
      </c>
    </row>
    <row r="2177" spans="1:9" ht="43.2" x14ac:dyDescent="0.3">
      <c r="A2177" s="113">
        <v>1</v>
      </c>
      <c r="B2177" s="53" t="s">
        <v>894</v>
      </c>
      <c r="C2177" s="40">
        <v>1</v>
      </c>
      <c r="D2177" s="54">
        <v>306.60000000000002</v>
      </c>
      <c r="E2177" s="40">
        <v>50</v>
      </c>
      <c r="F2177" s="40">
        <f>C2177*D2177*E2177</f>
        <v>15330.000000000002</v>
      </c>
      <c r="G2177" s="55">
        <v>0.6</v>
      </c>
      <c r="H2177" s="42">
        <f>F2177*(1-G2177)</f>
        <v>6132.0000000000009</v>
      </c>
    </row>
    <row r="2178" spans="1:9" x14ac:dyDescent="0.3">
      <c r="A2178" s="40"/>
      <c r="B2178" s="57" t="s">
        <v>7</v>
      </c>
      <c r="C2178" s="40"/>
      <c r="D2178" s="54"/>
      <c r="E2178" s="40"/>
      <c r="F2178" s="40"/>
      <c r="G2178" s="55"/>
      <c r="H2178" s="58">
        <f>SUM(H2177:H2177)</f>
        <v>6132.0000000000009</v>
      </c>
    </row>
    <row r="2179" spans="1:9" x14ac:dyDescent="0.3">
      <c r="A2179" s="113">
        <v>2</v>
      </c>
      <c r="B2179" s="57" t="s">
        <v>8</v>
      </c>
      <c r="C2179" s="40">
        <v>1</v>
      </c>
      <c r="D2179" s="54">
        <v>14448</v>
      </c>
      <c r="E2179" s="40">
        <v>5</v>
      </c>
      <c r="F2179" s="40">
        <f>(10000*5)+(4448*3.75)</f>
        <v>66680</v>
      </c>
      <c r="G2179" s="55">
        <v>0</v>
      </c>
      <c r="H2179" s="58">
        <f>(1-G2179)*F2179</f>
        <v>66680</v>
      </c>
    </row>
    <row r="2180" spans="1:9" s="31" customFormat="1" x14ac:dyDescent="0.3">
      <c r="A2180" s="113"/>
      <c r="B2180" s="57" t="s">
        <v>9</v>
      </c>
      <c r="C2180" s="39"/>
      <c r="D2180" s="59"/>
      <c r="E2180" s="39"/>
      <c r="F2180" s="39"/>
      <c r="G2180" s="39"/>
      <c r="H2180" s="58">
        <f>H2178+H2179</f>
        <v>72812</v>
      </c>
    </row>
    <row r="2181" spans="1:9" s="3" customFormat="1" x14ac:dyDescent="0.3">
      <c r="A2181" s="43"/>
      <c r="B2181" s="62">
        <v>5962</v>
      </c>
      <c r="C2181" s="44" t="s">
        <v>889</v>
      </c>
      <c r="D2181" s="45"/>
      <c r="E2181" s="46" t="s">
        <v>895</v>
      </c>
      <c r="F2181" s="60"/>
      <c r="G2181" s="60"/>
      <c r="H2181" s="48"/>
    </row>
    <row r="2182" spans="1:9" x14ac:dyDescent="0.3">
      <c r="A2182" s="39"/>
      <c r="B2182" s="129" t="s">
        <v>10</v>
      </c>
      <c r="C2182" s="129" t="s">
        <v>1</v>
      </c>
      <c r="D2182" s="130" t="s">
        <v>2</v>
      </c>
      <c r="E2182" s="131" t="s">
        <v>3</v>
      </c>
      <c r="F2182" s="131" t="s">
        <v>4</v>
      </c>
      <c r="G2182" s="131" t="s">
        <v>5</v>
      </c>
      <c r="H2182" s="118" t="s">
        <v>6</v>
      </c>
      <c r="I2182" s="126"/>
    </row>
    <row r="2183" spans="1:9" ht="100.8" x14ac:dyDescent="0.3">
      <c r="A2183" s="40">
        <v>1</v>
      </c>
      <c r="B2183" s="53" t="s">
        <v>1856</v>
      </c>
      <c r="C2183" s="40">
        <v>1</v>
      </c>
      <c r="D2183" s="54">
        <v>728.48</v>
      </c>
      <c r="E2183" s="40">
        <v>450</v>
      </c>
      <c r="F2183" s="40">
        <f>C2183*D2183*E2183</f>
        <v>327816</v>
      </c>
      <c r="G2183" s="55">
        <v>0.3</v>
      </c>
      <c r="H2183" s="42">
        <f>F2183*(1-G21883)</f>
        <v>327816</v>
      </c>
      <c r="I2183" s="126"/>
    </row>
    <row r="2184" spans="1:9" ht="43.2" x14ac:dyDescent="0.3">
      <c r="A2184" s="40">
        <v>2</v>
      </c>
      <c r="B2184" s="53" t="s">
        <v>894</v>
      </c>
      <c r="C2184" s="40">
        <v>1</v>
      </c>
      <c r="D2184" s="54">
        <v>28.38</v>
      </c>
      <c r="E2184" s="40">
        <v>50</v>
      </c>
      <c r="F2184" s="40">
        <f>C2184*D2184*E2184</f>
        <v>1419</v>
      </c>
      <c r="G2184" s="55">
        <v>0.6</v>
      </c>
      <c r="H2184" s="42">
        <f>F2184*(1-G2184)</f>
        <v>567.6</v>
      </c>
      <c r="I2184" s="126"/>
    </row>
    <row r="2185" spans="1:9" ht="43.2" x14ac:dyDescent="0.3">
      <c r="A2185" s="40">
        <v>3</v>
      </c>
      <c r="B2185" s="53" t="s">
        <v>833</v>
      </c>
      <c r="C2185" s="40">
        <v>1</v>
      </c>
      <c r="D2185" s="54">
        <v>393.97</v>
      </c>
      <c r="E2185" s="40">
        <v>22</v>
      </c>
      <c r="F2185" s="40">
        <f>C2185*D2185*E2185*0.5</f>
        <v>4333.67</v>
      </c>
      <c r="G2185" s="55">
        <v>0.5</v>
      </c>
      <c r="H2185" s="42">
        <f>F2185*(1-G2185)</f>
        <v>2166.835</v>
      </c>
      <c r="I2185" s="126"/>
    </row>
    <row r="2186" spans="1:9" s="31" customFormat="1" x14ac:dyDescent="0.3">
      <c r="A2186" s="40"/>
      <c r="B2186" s="57" t="s">
        <v>7</v>
      </c>
      <c r="C2186" s="40"/>
      <c r="D2186" s="54"/>
      <c r="E2186" s="40"/>
      <c r="F2186" s="40"/>
      <c r="G2186" s="55"/>
      <c r="H2186" s="58">
        <f>SUM(H2183:H2185)</f>
        <v>330550.435</v>
      </c>
      <c r="I2186" s="126"/>
    </row>
    <row r="2187" spans="1:9" s="3" customFormat="1" x14ac:dyDescent="0.3">
      <c r="A2187" s="40">
        <v>4</v>
      </c>
      <c r="B2187" s="57" t="s">
        <v>8</v>
      </c>
      <c r="C2187" s="40">
        <v>1</v>
      </c>
      <c r="D2187" s="54">
        <v>9691</v>
      </c>
      <c r="E2187" s="40">
        <v>5</v>
      </c>
      <c r="F2187" s="40">
        <f>C2187*D2187*E2187</f>
        <v>48455</v>
      </c>
      <c r="G2187" s="55">
        <v>0</v>
      </c>
      <c r="H2187" s="58">
        <f>(1-G2187)*F2187</f>
        <v>48455</v>
      </c>
      <c r="I2187" s="188"/>
    </row>
    <row r="2188" spans="1:9" x14ac:dyDescent="0.3">
      <c r="A2188" s="51"/>
      <c r="B2188" s="57" t="s">
        <v>9</v>
      </c>
      <c r="C2188" s="39"/>
      <c r="D2188" s="59"/>
      <c r="E2188" s="39"/>
      <c r="F2188" s="39"/>
      <c r="G2188" s="39"/>
      <c r="H2188" s="58">
        <f>H2186+H2187</f>
        <v>379005.435</v>
      </c>
      <c r="I2188" s="126"/>
    </row>
    <row r="2189" spans="1:9" x14ac:dyDescent="0.3">
      <c r="A2189" s="60"/>
      <c r="B2189" s="62">
        <v>5963</v>
      </c>
      <c r="C2189" s="44" t="s">
        <v>889</v>
      </c>
      <c r="D2189" s="45"/>
      <c r="E2189" s="46" t="s">
        <v>896</v>
      </c>
      <c r="F2189" s="60"/>
      <c r="G2189" s="47" t="s">
        <v>897</v>
      </c>
      <c r="H2189" s="48"/>
    </row>
    <row r="2190" spans="1:9" x14ac:dyDescent="0.3">
      <c r="A2190" s="165"/>
      <c r="B2190" s="107" t="s">
        <v>10</v>
      </c>
      <c r="C2190" s="107" t="s">
        <v>1</v>
      </c>
      <c r="D2190" s="108" t="s">
        <v>2</v>
      </c>
      <c r="E2190" s="109" t="s">
        <v>3</v>
      </c>
      <c r="F2190" s="109" t="s">
        <v>4</v>
      </c>
      <c r="G2190" s="109" t="s">
        <v>5</v>
      </c>
      <c r="H2190" s="106" t="s">
        <v>6</v>
      </c>
    </row>
    <row r="2191" spans="1:9" ht="72" x14ac:dyDescent="0.3">
      <c r="A2191" s="40">
        <v>1</v>
      </c>
      <c r="B2191" s="53" t="s">
        <v>1663</v>
      </c>
      <c r="C2191" s="40">
        <v>1</v>
      </c>
      <c r="D2191" s="54">
        <v>207.48</v>
      </c>
      <c r="E2191" s="40">
        <v>300</v>
      </c>
      <c r="F2191" s="40">
        <f>C2191*D2191*E2191</f>
        <v>62244</v>
      </c>
      <c r="G2191" s="55">
        <v>0.4</v>
      </c>
      <c r="H2191" s="42">
        <f>F2191*(1-G2191)</f>
        <v>37346.400000000001</v>
      </c>
    </row>
    <row r="2192" spans="1:9" s="31" customFormat="1" ht="43.2" x14ac:dyDescent="0.3">
      <c r="A2192" s="40">
        <v>2</v>
      </c>
      <c r="B2192" s="53" t="s">
        <v>833</v>
      </c>
      <c r="C2192" s="40">
        <v>1</v>
      </c>
      <c r="D2192" s="54">
        <v>346.43</v>
      </c>
      <c r="E2192" s="40">
        <v>22</v>
      </c>
      <c r="F2192" s="40">
        <f>C2192*D2192*E2192*0.5</f>
        <v>3810.73</v>
      </c>
      <c r="G2192" s="55">
        <v>0.5</v>
      </c>
      <c r="H2192" s="42">
        <f>F2192*(1-G2192)</f>
        <v>1905.365</v>
      </c>
    </row>
    <row r="2193" spans="1:8" s="3" customFormat="1" x14ac:dyDescent="0.3">
      <c r="A2193" s="40"/>
      <c r="B2193" s="57" t="s">
        <v>7</v>
      </c>
      <c r="C2193" s="40"/>
      <c r="D2193" s="54"/>
      <c r="E2193" s="40"/>
      <c r="F2193" s="40"/>
      <c r="G2193" s="55"/>
      <c r="H2193" s="58">
        <f>SUM(H2191:H2192)</f>
        <v>39251.764999999999</v>
      </c>
    </row>
    <row r="2194" spans="1:8" x14ac:dyDescent="0.3">
      <c r="A2194" s="40">
        <v>3</v>
      </c>
      <c r="B2194" s="57" t="s">
        <v>8</v>
      </c>
      <c r="C2194" s="40">
        <v>1</v>
      </c>
      <c r="D2194" s="54">
        <v>7501</v>
      </c>
      <c r="E2194" s="40">
        <v>5</v>
      </c>
      <c r="F2194" s="40">
        <f>C2194*D2194*E2194</f>
        <v>37505</v>
      </c>
      <c r="G2194" s="55">
        <v>0</v>
      </c>
      <c r="H2194" s="58">
        <f>(1-G2194)*F2194</f>
        <v>37505</v>
      </c>
    </row>
    <row r="2195" spans="1:8" x14ac:dyDescent="0.3">
      <c r="A2195" s="40"/>
      <c r="B2195" s="57" t="s">
        <v>9</v>
      </c>
      <c r="C2195" s="39"/>
      <c r="D2195" s="59"/>
      <c r="E2195" s="39"/>
      <c r="F2195" s="39"/>
      <c r="G2195" s="39"/>
      <c r="H2195" s="58">
        <f>H2193+H2194</f>
        <v>76756.764999999999</v>
      </c>
    </row>
    <row r="2196" spans="1:8" x14ac:dyDescent="0.3">
      <c r="A2196" s="189"/>
      <c r="B2196" s="187">
        <v>5967</v>
      </c>
      <c r="C2196" s="140" t="s">
        <v>1156</v>
      </c>
      <c r="D2196" s="141"/>
      <c r="E2196" s="140" t="s">
        <v>1157</v>
      </c>
      <c r="F2196" s="140"/>
      <c r="G2196" s="140"/>
      <c r="H2196" s="190"/>
    </row>
    <row r="2197" spans="1:8" x14ac:dyDescent="0.3">
      <c r="A2197" s="39"/>
      <c r="B2197" s="107" t="s">
        <v>10</v>
      </c>
      <c r="C2197" s="107" t="s">
        <v>1</v>
      </c>
      <c r="D2197" s="108" t="s">
        <v>2</v>
      </c>
      <c r="E2197" s="109" t="s">
        <v>3</v>
      </c>
      <c r="F2197" s="109" t="s">
        <v>4</v>
      </c>
      <c r="G2197" s="109" t="s">
        <v>5</v>
      </c>
      <c r="H2197" s="106" t="s">
        <v>6</v>
      </c>
    </row>
    <row r="2198" spans="1:8" ht="28.8" x14ac:dyDescent="0.3">
      <c r="A2198" s="53">
        <v>1</v>
      </c>
      <c r="B2198" s="53" t="s">
        <v>1857</v>
      </c>
      <c r="C2198" s="40">
        <v>1</v>
      </c>
      <c r="D2198" s="91">
        <v>421</v>
      </c>
      <c r="E2198" s="40">
        <v>45</v>
      </c>
      <c r="F2198" s="40">
        <f>C2198*D2198*E2198</f>
        <v>18945</v>
      </c>
      <c r="G2198" s="55">
        <v>0.4</v>
      </c>
      <c r="H2198" s="42">
        <f>F2198*(1-G2198)</f>
        <v>11367</v>
      </c>
    </row>
    <row r="2199" spans="1:8" x14ac:dyDescent="0.3">
      <c r="A2199" s="53"/>
      <c r="B2199" s="57" t="s">
        <v>7</v>
      </c>
      <c r="C2199" s="40"/>
      <c r="D2199" s="54"/>
      <c r="E2199" s="40"/>
      <c r="F2199" s="40"/>
      <c r="G2199" s="55"/>
      <c r="H2199" s="58">
        <f>SUM(H2198)</f>
        <v>11367</v>
      </c>
    </row>
    <row r="2200" spans="1:8" x14ac:dyDescent="0.3">
      <c r="A2200" s="53">
        <v>2</v>
      </c>
      <c r="B2200" s="57" t="s">
        <v>8</v>
      </c>
      <c r="C2200" s="40">
        <v>1</v>
      </c>
      <c r="D2200" s="54" t="s">
        <v>1158</v>
      </c>
      <c r="E2200" s="40">
        <v>5</v>
      </c>
      <c r="F2200" s="40">
        <f>(10000*5)+(670*0.75*E2200)</f>
        <v>52512.5</v>
      </c>
      <c r="G2200" s="55">
        <v>0</v>
      </c>
      <c r="H2200" s="58">
        <f>(1-G2200)*F2200</f>
        <v>52512.5</v>
      </c>
    </row>
    <row r="2201" spans="1:8" s="3" customFormat="1" x14ac:dyDescent="0.3">
      <c r="A2201" s="53"/>
      <c r="B2201" s="57" t="s">
        <v>9</v>
      </c>
      <c r="C2201" s="39"/>
      <c r="D2201" s="59"/>
      <c r="E2201" s="39"/>
      <c r="F2201" s="39"/>
      <c r="G2201" s="39"/>
      <c r="H2201" s="58">
        <f>SUM(H2200)</f>
        <v>52512.5</v>
      </c>
    </row>
    <row r="2202" spans="1:8" x14ac:dyDescent="0.3">
      <c r="A2202" s="184"/>
      <c r="B2202" s="187">
        <v>5968</v>
      </c>
      <c r="C2202" s="140" t="s">
        <v>1159</v>
      </c>
      <c r="D2202" s="141"/>
      <c r="E2202" s="140" t="s">
        <v>1160</v>
      </c>
      <c r="F2202" s="142"/>
      <c r="G2202" s="142"/>
      <c r="H2202" s="143"/>
    </row>
    <row r="2203" spans="1:8" x14ac:dyDescent="0.3">
      <c r="A2203" s="39"/>
      <c r="B2203" s="107" t="s">
        <v>10</v>
      </c>
      <c r="C2203" s="107" t="s">
        <v>1</v>
      </c>
      <c r="D2203" s="108" t="s">
        <v>2</v>
      </c>
      <c r="E2203" s="109" t="s">
        <v>3</v>
      </c>
      <c r="F2203" s="109" t="s">
        <v>4</v>
      </c>
      <c r="G2203" s="109" t="s">
        <v>5</v>
      </c>
      <c r="H2203" s="106" t="s">
        <v>6</v>
      </c>
    </row>
    <row r="2204" spans="1:8" ht="72" x14ac:dyDescent="0.3">
      <c r="A2204" s="53">
        <v>1</v>
      </c>
      <c r="B2204" s="53" t="s">
        <v>1623</v>
      </c>
      <c r="C2204" s="40">
        <v>1</v>
      </c>
      <c r="D2204" s="91">
        <v>200</v>
      </c>
      <c r="E2204" s="40">
        <v>100</v>
      </c>
      <c r="F2204" s="40">
        <f>C2204*D2204*E2204</f>
        <v>20000</v>
      </c>
      <c r="G2204" s="55">
        <v>0.48</v>
      </c>
      <c r="H2204" s="42">
        <f>F2204*G2204</f>
        <v>9600</v>
      </c>
    </row>
    <row r="2205" spans="1:8" ht="57.6" x14ac:dyDescent="0.3">
      <c r="A2205" s="53">
        <v>2</v>
      </c>
      <c r="B2205" s="53" t="s">
        <v>1161</v>
      </c>
      <c r="C2205" s="40">
        <v>1</v>
      </c>
      <c r="D2205" s="91">
        <v>31.91</v>
      </c>
      <c r="E2205" s="40">
        <v>100</v>
      </c>
      <c r="F2205" s="40">
        <f>C2205*D2205*E2205</f>
        <v>3191</v>
      </c>
      <c r="G2205" s="55">
        <v>0.71</v>
      </c>
      <c r="H2205" s="42">
        <f>F2205*G2205</f>
        <v>2265.6099999999997</v>
      </c>
    </row>
    <row r="2206" spans="1:8" ht="28.8" x14ac:dyDescent="0.3">
      <c r="A2206" s="53">
        <v>3</v>
      </c>
      <c r="B2206" s="53" t="s">
        <v>1858</v>
      </c>
      <c r="C2206" s="40">
        <v>1</v>
      </c>
      <c r="D2206" s="91">
        <v>386</v>
      </c>
      <c r="E2206" s="40">
        <v>40</v>
      </c>
      <c r="F2206" s="40">
        <f>C2206*D2206*E2206</f>
        <v>15440</v>
      </c>
      <c r="G2206" s="55">
        <v>0.4</v>
      </c>
      <c r="H2206" s="42">
        <f>F2206*(1-G2206)</f>
        <v>9264</v>
      </c>
    </row>
    <row r="2207" spans="1:8" x14ac:dyDescent="0.3">
      <c r="A2207" s="53"/>
      <c r="B2207" s="57" t="s">
        <v>7</v>
      </c>
      <c r="C2207" s="40"/>
      <c r="D2207" s="54"/>
      <c r="E2207" s="40"/>
      <c r="F2207" s="40"/>
      <c r="G2207" s="55"/>
      <c r="H2207" s="58">
        <f>SUM(H2204:H2206)</f>
        <v>21129.61</v>
      </c>
    </row>
    <row r="2208" spans="1:8" s="3" customFormat="1" x14ac:dyDescent="0.3">
      <c r="A2208" s="53">
        <v>4</v>
      </c>
      <c r="B2208" s="57" t="s">
        <v>8</v>
      </c>
      <c r="C2208" s="40">
        <v>1</v>
      </c>
      <c r="D2208" s="54">
        <v>9304</v>
      </c>
      <c r="E2208" s="40">
        <v>5</v>
      </c>
      <c r="F2208" s="40">
        <f>C2208*D2208*E2208</f>
        <v>46520</v>
      </c>
      <c r="G2208" s="55">
        <v>0</v>
      </c>
      <c r="H2208" s="58">
        <f>(1-G2208)*F2208</f>
        <v>46520</v>
      </c>
    </row>
    <row r="2209" spans="1:8" x14ac:dyDescent="0.3">
      <c r="A2209" s="53"/>
      <c r="B2209" s="57" t="s">
        <v>9</v>
      </c>
      <c r="C2209" s="39"/>
      <c r="D2209" s="59"/>
      <c r="E2209" s="39"/>
      <c r="F2209" s="39"/>
      <c r="G2209" s="39"/>
      <c r="H2209" s="58">
        <f>H2207+H2208</f>
        <v>67649.61</v>
      </c>
    </row>
    <row r="2210" spans="1:8" x14ac:dyDescent="0.3">
      <c r="A2210" s="137"/>
      <c r="B2210" s="139" t="s">
        <v>1162</v>
      </c>
      <c r="C2210" s="140" t="s">
        <v>1163</v>
      </c>
      <c r="D2210" s="141"/>
      <c r="E2210" s="140" t="s">
        <v>1164</v>
      </c>
      <c r="F2210" s="142"/>
      <c r="G2210" s="142"/>
      <c r="H2210" s="143"/>
    </row>
    <row r="2211" spans="1:8" x14ac:dyDescent="0.3">
      <c r="A2211" s="39"/>
      <c r="B2211" s="107" t="s">
        <v>10</v>
      </c>
      <c r="C2211" s="107" t="s">
        <v>1</v>
      </c>
      <c r="D2211" s="108" t="s">
        <v>2</v>
      </c>
      <c r="E2211" s="109" t="s">
        <v>3</v>
      </c>
      <c r="F2211" s="109" t="s">
        <v>4</v>
      </c>
      <c r="G2211" s="109" t="s">
        <v>5</v>
      </c>
      <c r="H2211" s="106" t="s">
        <v>6</v>
      </c>
    </row>
    <row r="2212" spans="1:8" ht="72" x14ac:dyDescent="0.3">
      <c r="A2212" s="53">
        <v>1</v>
      </c>
      <c r="B2212" s="53" t="s">
        <v>1859</v>
      </c>
      <c r="C2212" s="40">
        <v>1</v>
      </c>
      <c r="D2212" s="91">
        <v>197.51</v>
      </c>
      <c r="E2212" s="40">
        <v>250</v>
      </c>
      <c r="F2212" s="40">
        <f>C2212*D2212*E2212</f>
        <v>49377.5</v>
      </c>
      <c r="G2212" s="55">
        <v>0.3</v>
      </c>
      <c r="H2212" s="42">
        <f>F2212*(1-G2212)</f>
        <v>34564.25</v>
      </c>
    </row>
    <row r="2213" spans="1:8" ht="86.4" x14ac:dyDescent="0.3">
      <c r="A2213" s="53">
        <v>2</v>
      </c>
      <c r="B2213" s="53" t="s">
        <v>1860</v>
      </c>
      <c r="C2213" s="40">
        <v>1</v>
      </c>
      <c r="D2213" s="91">
        <v>9.4499999999999993</v>
      </c>
      <c r="E2213" s="40">
        <v>100</v>
      </c>
      <c r="F2213" s="40">
        <f>C2213*D2213*E2213</f>
        <v>944.99999999999989</v>
      </c>
      <c r="G2213" s="55">
        <v>0.3</v>
      </c>
      <c r="H2213" s="42">
        <f>F2213*G2213</f>
        <v>283.49999999999994</v>
      </c>
    </row>
    <row r="2214" spans="1:8" s="3" customFormat="1" x14ac:dyDescent="0.3">
      <c r="A2214" s="53"/>
      <c r="B2214" s="57" t="s">
        <v>7</v>
      </c>
      <c r="C2214" s="40"/>
      <c r="D2214" s="54"/>
      <c r="E2214" s="40"/>
      <c r="F2214" s="40"/>
      <c r="G2214" s="55"/>
      <c r="H2214" s="58">
        <f>SUM(H2212:H2213)</f>
        <v>34847.75</v>
      </c>
    </row>
    <row r="2215" spans="1:8" x14ac:dyDescent="0.3">
      <c r="A2215" s="53">
        <v>3</v>
      </c>
      <c r="B2215" s="57" t="s">
        <v>8</v>
      </c>
      <c r="C2215" s="40">
        <v>1</v>
      </c>
      <c r="D2215" s="54">
        <v>11091</v>
      </c>
      <c r="E2215" s="40">
        <v>5</v>
      </c>
      <c r="F2215" s="40">
        <f>(10000*5)+(1091*3.75)</f>
        <v>54091.25</v>
      </c>
      <c r="G2215" s="55">
        <v>0</v>
      </c>
      <c r="H2215" s="58">
        <f>(1-G2215)*F2215</f>
        <v>54091.25</v>
      </c>
    </row>
    <row r="2216" spans="1:8" x14ac:dyDescent="0.3">
      <c r="A2216" s="53"/>
      <c r="B2216" s="57" t="s">
        <v>9</v>
      </c>
      <c r="C2216" s="39"/>
      <c r="D2216" s="59"/>
      <c r="E2216" s="39"/>
      <c r="F2216" s="39"/>
      <c r="G2216" s="39"/>
      <c r="H2216" s="58">
        <f>H2214+H2215</f>
        <v>88939</v>
      </c>
    </row>
    <row r="2217" spans="1:8" x14ac:dyDescent="0.3">
      <c r="A2217" s="137"/>
      <c r="B2217" s="139" t="s">
        <v>1165</v>
      </c>
      <c r="C2217" s="140" t="s">
        <v>1166</v>
      </c>
      <c r="D2217" s="141"/>
      <c r="E2217" s="140" t="s">
        <v>1948</v>
      </c>
      <c r="F2217" s="142"/>
      <c r="G2217" s="142"/>
      <c r="H2217" s="143"/>
    </row>
    <row r="2218" spans="1:8" x14ac:dyDescent="0.3">
      <c r="A2218" s="39"/>
      <c r="B2218" s="107" t="s">
        <v>10</v>
      </c>
      <c r="C2218" s="107" t="s">
        <v>1</v>
      </c>
      <c r="D2218" s="108" t="s">
        <v>2</v>
      </c>
      <c r="E2218" s="109" t="s">
        <v>3</v>
      </c>
      <c r="F2218" s="109" t="s">
        <v>4</v>
      </c>
      <c r="G2218" s="109" t="s">
        <v>5</v>
      </c>
      <c r="H2218" s="106" t="s">
        <v>6</v>
      </c>
    </row>
    <row r="2219" spans="1:8" x14ac:dyDescent="0.3">
      <c r="A2219" s="40"/>
      <c r="B2219" s="49" t="s">
        <v>1167</v>
      </c>
      <c r="C2219" s="49"/>
      <c r="D2219" s="50"/>
      <c r="E2219" s="51"/>
      <c r="F2219" s="51"/>
      <c r="G2219" s="51"/>
      <c r="H2219" s="42"/>
    </row>
    <row r="2220" spans="1:8" x14ac:dyDescent="0.3">
      <c r="A2220" s="53">
        <v>1</v>
      </c>
      <c r="B2220" s="57" t="s">
        <v>8</v>
      </c>
      <c r="C2220" s="40">
        <v>1</v>
      </c>
      <c r="D2220" s="54">
        <v>11091</v>
      </c>
      <c r="E2220" s="40">
        <v>5</v>
      </c>
      <c r="F2220" s="40">
        <f>(10000*5)+(1091*3.75)</f>
        <v>54091.25</v>
      </c>
      <c r="G2220" s="55">
        <v>0</v>
      </c>
      <c r="H2220" s="58">
        <f>(1-G2220)*F2220</f>
        <v>54091.25</v>
      </c>
    </row>
    <row r="2221" spans="1:8" x14ac:dyDescent="0.3">
      <c r="A2221" s="53"/>
      <c r="B2221" s="57" t="s">
        <v>9</v>
      </c>
      <c r="C2221" s="39"/>
      <c r="D2221" s="59"/>
      <c r="E2221" s="39"/>
      <c r="F2221" s="39"/>
      <c r="G2221" s="39"/>
      <c r="H2221" s="58">
        <f>H2220</f>
        <v>54091.25</v>
      </c>
    </row>
    <row r="2222" spans="1:8" s="3" customFormat="1" x14ac:dyDescent="0.3">
      <c r="A2222" s="60"/>
      <c r="B2222" s="176">
        <v>5971</v>
      </c>
      <c r="C2222" s="47" t="s">
        <v>898</v>
      </c>
      <c r="D2222" s="156"/>
      <c r="E2222" s="47" t="s">
        <v>899</v>
      </c>
      <c r="F2222" s="47"/>
      <c r="G2222" s="60"/>
      <c r="H2222" s="48"/>
    </row>
    <row r="2223" spans="1:8" x14ac:dyDescent="0.3">
      <c r="A2223" s="39"/>
      <c r="B2223" s="165" t="s">
        <v>10</v>
      </c>
      <c r="C2223" s="166" t="s">
        <v>1</v>
      </c>
      <c r="D2223" s="167" t="s">
        <v>2</v>
      </c>
      <c r="E2223" s="165" t="s">
        <v>3</v>
      </c>
      <c r="F2223" s="165" t="s">
        <v>4</v>
      </c>
      <c r="G2223" s="165" t="s">
        <v>5</v>
      </c>
      <c r="H2223" s="168" t="s">
        <v>6</v>
      </c>
    </row>
    <row r="2224" spans="1:8" ht="72" x14ac:dyDescent="0.3">
      <c r="A2224" s="40">
        <v>1</v>
      </c>
      <c r="B2224" s="53" t="s">
        <v>1861</v>
      </c>
      <c r="C2224" s="40">
        <v>1</v>
      </c>
      <c r="D2224" s="54">
        <v>728.48</v>
      </c>
      <c r="E2224" s="40">
        <v>400</v>
      </c>
      <c r="F2224" s="40">
        <f t="shared" ref="F2224:F2230" si="147">C2224*D2224*E2224</f>
        <v>291392</v>
      </c>
      <c r="G2224" s="55">
        <v>0.4</v>
      </c>
      <c r="H2224" s="42">
        <f t="shared" ref="H2224:H2231" si="148">F2224*(1-G2224)</f>
        <v>174835.19999999998</v>
      </c>
    </row>
    <row r="2225" spans="1:8" ht="43.2" x14ac:dyDescent="0.3">
      <c r="A2225" s="40">
        <v>2</v>
      </c>
      <c r="B2225" s="53" t="s">
        <v>1862</v>
      </c>
      <c r="C2225" s="40">
        <v>1</v>
      </c>
      <c r="D2225" s="54">
        <v>279.04000000000002</v>
      </c>
      <c r="E2225" s="40">
        <v>50</v>
      </c>
      <c r="F2225" s="40">
        <f t="shared" si="147"/>
        <v>13952.000000000002</v>
      </c>
      <c r="G2225" s="55">
        <v>0.4</v>
      </c>
      <c r="H2225" s="42">
        <f t="shared" si="148"/>
        <v>8371.2000000000007</v>
      </c>
    </row>
    <row r="2226" spans="1:8" ht="43.2" x14ac:dyDescent="0.3">
      <c r="A2226" s="40">
        <v>3</v>
      </c>
      <c r="B2226" s="53" t="s">
        <v>891</v>
      </c>
      <c r="C2226" s="40">
        <v>1</v>
      </c>
      <c r="D2226" s="54">
        <v>279.04000000000002</v>
      </c>
      <c r="E2226" s="40">
        <v>50</v>
      </c>
      <c r="F2226" s="40">
        <f t="shared" si="147"/>
        <v>13952.000000000002</v>
      </c>
      <c r="G2226" s="55">
        <v>0.5</v>
      </c>
      <c r="H2226" s="42">
        <f t="shared" si="148"/>
        <v>6976.0000000000009</v>
      </c>
    </row>
    <row r="2227" spans="1:8" ht="72" x14ac:dyDescent="0.3">
      <c r="A2227" s="40">
        <v>4</v>
      </c>
      <c r="B2227" s="53" t="s">
        <v>1863</v>
      </c>
      <c r="C2227" s="40">
        <v>1</v>
      </c>
      <c r="D2227" s="54">
        <v>63.56</v>
      </c>
      <c r="E2227" s="40">
        <v>250</v>
      </c>
      <c r="F2227" s="40">
        <f t="shared" si="147"/>
        <v>15890</v>
      </c>
      <c r="G2227" s="55">
        <v>0.4</v>
      </c>
      <c r="H2227" s="42">
        <f t="shared" si="148"/>
        <v>9534</v>
      </c>
    </row>
    <row r="2228" spans="1:8" ht="57.6" x14ac:dyDescent="0.3">
      <c r="A2228" s="113">
        <v>5</v>
      </c>
      <c r="B2228" s="53" t="s">
        <v>1347</v>
      </c>
      <c r="C2228" s="40">
        <v>1</v>
      </c>
      <c r="D2228" s="54">
        <v>24.2</v>
      </c>
      <c r="E2228" s="40">
        <v>50</v>
      </c>
      <c r="F2228" s="40">
        <f t="shared" si="147"/>
        <v>1210</v>
      </c>
      <c r="G2228" s="55">
        <v>0.5</v>
      </c>
      <c r="H2228" s="42">
        <f t="shared" si="148"/>
        <v>605</v>
      </c>
    </row>
    <row r="2229" spans="1:8" s="3" customFormat="1" ht="28.8" x14ac:dyDescent="0.3">
      <c r="A2229" s="151">
        <v>6</v>
      </c>
      <c r="B2229" s="53" t="s">
        <v>900</v>
      </c>
      <c r="C2229" s="40">
        <v>1</v>
      </c>
      <c r="D2229" s="54">
        <v>1</v>
      </c>
      <c r="E2229" s="40">
        <v>600</v>
      </c>
      <c r="F2229" s="40">
        <f t="shared" si="147"/>
        <v>600</v>
      </c>
      <c r="G2229" s="55">
        <v>0.5</v>
      </c>
      <c r="H2229" s="42">
        <f t="shared" si="148"/>
        <v>300</v>
      </c>
    </row>
    <row r="2230" spans="1:8" x14ac:dyDescent="0.3">
      <c r="A2230" s="40">
        <v>7</v>
      </c>
      <c r="B2230" s="53" t="s">
        <v>737</v>
      </c>
      <c r="C2230" s="40">
        <v>1</v>
      </c>
      <c r="D2230" s="54">
        <v>30000</v>
      </c>
      <c r="E2230" s="40">
        <v>0.55000000000000004</v>
      </c>
      <c r="F2230" s="40">
        <f t="shared" si="147"/>
        <v>16500</v>
      </c>
      <c r="G2230" s="55">
        <v>0.5</v>
      </c>
      <c r="H2230" s="42">
        <f t="shared" si="148"/>
        <v>8250</v>
      </c>
    </row>
    <row r="2231" spans="1:8" ht="28.8" x14ac:dyDescent="0.3">
      <c r="A2231" s="40">
        <v>8</v>
      </c>
      <c r="B2231" s="53" t="s">
        <v>1477</v>
      </c>
      <c r="C2231" s="40">
        <v>1</v>
      </c>
      <c r="D2231" s="54">
        <v>383</v>
      </c>
      <c r="E2231" s="40">
        <v>50</v>
      </c>
      <c r="F2231" s="40">
        <f>C2231*D2231*E2231*0.5</f>
        <v>9575</v>
      </c>
      <c r="G2231" s="55">
        <v>0.5</v>
      </c>
      <c r="H2231" s="42">
        <f t="shared" si="148"/>
        <v>4787.5</v>
      </c>
    </row>
    <row r="2232" spans="1:8" x14ac:dyDescent="0.3">
      <c r="A2232" s="40"/>
      <c r="B2232" s="57" t="s">
        <v>7</v>
      </c>
      <c r="C2232" s="40"/>
      <c r="D2232" s="54"/>
      <c r="E2232" s="40"/>
      <c r="F2232" s="40"/>
      <c r="G2232" s="55"/>
      <c r="H2232" s="58">
        <f>SUM(H2224:H2231)</f>
        <v>213658.9</v>
      </c>
    </row>
    <row r="2233" spans="1:8" s="31" customFormat="1" x14ac:dyDescent="0.3">
      <c r="A2233" s="40">
        <v>9</v>
      </c>
      <c r="B2233" s="57" t="s">
        <v>8</v>
      </c>
      <c r="C2233" s="40">
        <v>1</v>
      </c>
      <c r="D2233" s="54">
        <v>9168</v>
      </c>
      <c r="E2233" s="40">
        <v>5</v>
      </c>
      <c r="F2233" s="40">
        <f>C2233*D2233*E2233</f>
        <v>45840</v>
      </c>
      <c r="G2233" s="55">
        <v>0</v>
      </c>
      <c r="H2233" s="58">
        <f>(1-G2233)*F2233</f>
        <v>45840</v>
      </c>
    </row>
    <row r="2234" spans="1:8" s="3" customFormat="1" x14ac:dyDescent="0.3">
      <c r="A2234" s="39"/>
      <c r="B2234" s="39" t="s">
        <v>9</v>
      </c>
      <c r="C2234" s="39"/>
      <c r="D2234" s="105"/>
      <c r="E2234" s="39"/>
      <c r="F2234" s="170"/>
      <c r="G2234" s="39"/>
      <c r="H2234" s="58">
        <f>H2232+H2233</f>
        <v>259498.9</v>
      </c>
    </row>
    <row r="2235" spans="1:8" x14ac:dyDescent="0.3">
      <c r="A2235" s="39"/>
      <c r="B2235" s="39"/>
      <c r="C2235" s="39"/>
      <c r="D2235" s="105"/>
      <c r="E2235" s="39"/>
      <c r="F2235" s="170"/>
      <c r="G2235" s="39"/>
      <c r="H2235" s="58"/>
    </row>
    <row r="2236" spans="1:8" x14ac:dyDescent="0.3">
      <c r="A2236" s="43"/>
      <c r="B2236" s="62">
        <v>5972</v>
      </c>
      <c r="C2236" s="43"/>
      <c r="D2236" s="45"/>
      <c r="E2236" s="46" t="s">
        <v>901</v>
      </c>
      <c r="F2236" s="60"/>
      <c r="G2236" s="60"/>
      <c r="H2236" s="48"/>
    </row>
    <row r="2237" spans="1:8" x14ac:dyDescent="0.3">
      <c r="A2237" s="39"/>
      <c r="B2237" s="107" t="s">
        <v>0</v>
      </c>
      <c r="C2237" s="107" t="s">
        <v>1</v>
      </c>
      <c r="D2237" s="108" t="s">
        <v>2</v>
      </c>
      <c r="E2237" s="109" t="s">
        <v>3</v>
      </c>
      <c r="F2237" s="109" t="s">
        <v>4</v>
      </c>
      <c r="G2237" s="109" t="s">
        <v>5</v>
      </c>
      <c r="H2237" s="106" t="s">
        <v>6</v>
      </c>
    </row>
    <row r="2238" spans="1:8" ht="43.2" x14ac:dyDescent="0.3">
      <c r="A2238" s="83">
        <v>1</v>
      </c>
      <c r="B2238" s="53" t="s">
        <v>902</v>
      </c>
      <c r="C2238" s="40">
        <v>1</v>
      </c>
      <c r="D2238" s="54">
        <v>288</v>
      </c>
      <c r="E2238" s="40">
        <v>50</v>
      </c>
      <c r="F2238" s="40">
        <f>C2238*D2238*E2238</f>
        <v>14400</v>
      </c>
      <c r="G2238" s="55">
        <v>0.6</v>
      </c>
      <c r="H2238" s="42">
        <f>F2238*(1-G2238)</f>
        <v>5760</v>
      </c>
    </row>
    <row r="2239" spans="1:8" x14ac:dyDescent="0.3">
      <c r="A2239" s="83"/>
      <c r="B2239" s="57" t="s">
        <v>7</v>
      </c>
      <c r="C2239" s="40"/>
      <c r="D2239" s="54"/>
      <c r="E2239" s="40"/>
      <c r="F2239" s="40"/>
      <c r="G2239" s="55"/>
      <c r="H2239" s="58">
        <f>H2238</f>
        <v>5760</v>
      </c>
    </row>
    <row r="2240" spans="1:8" x14ac:dyDescent="0.3">
      <c r="A2240" s="40">
        <v>2</v>
      </c>
      <c r="B2240" s="57" t="s">
        <v>8</v>
      </c>
      <c r="C2240" s="40">
        <v>1</v>
      </c>
      <c r="D2240" s="54">
        <v>127</v>
      </c>
      <c r="E2240" s="40">
        <v>5</v>
      </c>
      <c r="F2240" s="40">
        <f>C2240*D2240*E2240</f>
        <v>635</v>
      </c>
      <c r="G2240" s="55">
        <v>0</v>
      </c>
      <c r="H2240" s="58">
        <f>(1-G2240)*F2240</f>
        <v>635</v>
      </c>
    </row>
    <row r="2241" spans="1:8" x14ac:dyDescent="0.3">
      <c r="A2241" s="40"/>
      <c r="B2241" s="57" t="s">
        <v>9</v>
      </c>
      <c r="C2241" s="39"/>
      <c r="D2241" s="59"/>
      <c r="E2241" s="39"/>
      <c r="F2241" s="39"/>
      <c r="G2241" s="39"/>
      <c r="H2241" s="58">
        <f>H2239+H2240</f>
        <v>6395</v>
      </c>
    </row>
    <row r="2242" spans="1:8" x14ac:dyDescent="0.3">
      <c r="A2242" s="142"/>
      <c r="B2242" s="191">
        <v>5973</v>
      </c>
      <c r="C2242" s="140" t="s">
        <v>460</v>
      </c>
      <c r="D2242" s="192"/>
      <c r="E2242" s="140" t="s">
        <v>903</v>
      </c>
      <c r="F2242" s="140"/>
      <c r="G2242" s="142"/>
      <c r="H2242" s="143"/>
    </row>
    <row r="2243" spans="1:8" x14ac:dyDescent="0.3">
      <c r="A2243" s="159"/>
      <c r="B2243" s="193" t="s">
        <v>10</v>
      </c>
      <c r="C2243" s="194" t="s">
        <v>1</v>
      </c>
      <c r="D2243" s="195" t="s">
        <v>2</v>
      </c>
      <c r="E2243" s="193" t="s">
        <v>3</v>
      </c>
      <c r="F2243" s="193" t="s">
        <v>4</v>
      </c>
      <c r="G2243" s="193" t="s">
        <v>5</v>
      </c>
      <c r="H2243" s="196" t="s">
        <v>6</v>
      </c>
    </row>
    <row r="2244" spans="1:8" x14ac:dyDescent="0.3">
      <c r="A2244" s="163">
        <v>1</v>
      </c>
      <c r="B2244" s="160" t="s">
        <v>15</v>
      </c>
      <c r="C2244" s="87"/>
      <c r="D2244" s="197"/>
      <c r="E2244" s="87"/>
      <c r="F2244" s="87"/>
      <c r="G2244" s="89"/>
      <c r="H2244" s="90"/>
    </row>
    <row r="2245" spans="1:8" ht="28.8" x14ac:dyDescent="0.3">
      <c r="A2245" s="163">
        <v>2</v>
      </c>
      <c r="B2245" s="163" t="s">
        <v>904</v>
      </c>
      <c r="C2245" s="87">
        <v>1</v>
      </c>
      <c r="D2245" s="88">
        <v>238</v>
      </c>
      <c r="E2245" s="198">
        <v>45</v>
      </c>
      <c r="F2245" s="87">
        <f>C2245*D2245*E2245</f>
        <v>10710</v>
      </c>
      <c r="G2245" s="89">
        <v>0.5</v>
      </c>
      <c r="H2245" s="90">
        <f>F2245*(1-G2245)</f>
        <v>5355</v>
      </c>
    </row>
    <row r="2246" spans="1:8" x14ac:dyDescent="0.3">
      <c r="A2246" s="163"/>
      <c r="B2246" s="87" t="s">
        <v>11</v>
      </c>
      <c r="C2246" s="160"/>
      <c r="D2246" s="199"/>
      <c r="E2246" s="159"/>
      <c r="F2246" s="159"/>
      <c r="G2246" s="159"/>
      <c r="H2246" s="162">
        <f>H2245</f>
        <v>5355</v>
      </c>
    </row>
    <row r="2247" spans="1:8" s="31" customFormat="1" x14ac:dyDescent="0.3">
      <c r="A2247" s="163">
        <v>3</v>
      </c>
      <c r="B2247" s="87" t="s">
        <v>8</v>
      </c>
      <c r="C2247" s="87">
        <v>1</v>
      </c>
      <c r="D2247" s="200">
        <v>14098</v>
      </c>
      <c r="E2247" s="87">
        <v>5</v>
      </c>
      <c r="F2247" s="201">
        <f>(10000*5)+(4098*3.75)</f>
        <v>65367.5</v>
      </c>
      <c r="G2247" s="89">
        <v>0</v>
      </c>
      <c r="H2247" s="90">
        <f>(1-G2247)*F2247</f>
        <v>65367.5</v>
      </c>
    </row>
    <row r="2248" spans="1:8" s="3" customFormat="1" x14ac:dyDescent="0.3">
      <c r="A2248" s="163"/>
      <c r="B2248" s="159" t="s">
        <v>9</v>
      </c>
      <c r="C2248" s="159"/>
      <c r="D2248" s="199"/>
      <c r="E2248" s="159"/>
      <c r="F2248" s="202"/>
      <c r="G2248" s="159"/>
      <c r="H2248" s="162">
        <f>H2246+H2247</f>
        <v>70722.5</v>
      </c>
    </row>
    <row r="2249" spans="1:8" x14ac:dyDescent="0.3">
      <c r="A2249" s="60"/>
      <c r="B2249" s="86" t="s">
        <v>1864</v>
      </c>
      <c r="C2249" s="44" t="s">
        <v>460</v>
      </c>
      <c r="D2249" s="73"/>
      <c r="E2249" s="44" t="s">
        <v>905</v>
      </c>
      <c r="F2249" s="60"/>
      <c r="G2249" s="60"/>
      <c r="H2249" s="48"/>
    </row>
    <row r="2250" spans="1:8" x14ac:dyDescent="0.3">
      <c r="A2250" s="165"/>
      <c r="B2250" s="107" t="s">
        <v>0</v>
      </c>
      <c r="C2250" s="107" t="s">
        <v>1</v>
      </c>
      <c r="D2250" s="108" t="s">
        <v>2</v>
      </c>
      <c r="E2250" s="109" t="s">
        <v>3</v>
      </c>
      <c r="F2250" s="109" t="s">
        <v>4</v>
      </c>
      <c r="G2250" s="109" t="s">
        <v>5</v>
      </c>
      <c r="H2250" s="106" t="s">
        <v>6</v>
      </c>
    </row>
    <row r="2251" spans="1:8" ht="100.8" x14ac:dyDescent="0.3">
      <c r="A2251" s="40">
        <v>1</v>
      </c>
      <c r="B2251" s="53" t="s">
        <v>1664</v>
      </c>
      <c r="C2251" s="40">
        <v>1</v>
      </c>
      <c r="D2251" s="91">
        <v>185.88</v>
      </c>
      <c r="E2251" s="40">
        <v>400</v>
      </c>
      <c r="F2251" s="40">
        <f>C2251*D2251*E2251</f>
        <v>74352</v>
      </c>
      <c r="G2251" s="55">
        <v>0.5</v>
      </c>
      <c r="H2251" s="42">
        <f>F2251*(1-G2251)</f>
        <v>37176</v>
      </c>
    </row>
    <row r="2252" spans="1:8" ht="18.75" customHeight="1" x14ac:dyDescent="0.3">
      <c r="A2252" s="40">
        <v>2</v>
      </c>
      <c r="B2252" s="203" t="s">
        <v>904</v>
      </c>
      <c r="C2252" s="40">
        <v>1</v>
      </c>
      <c r="D2252" s="54">
        <f>128</f>
        <v>128</v>
      </c>
      <c r="E2252" s="113">
        <v>45</v>
      </c>
      <c r="F2252" s="40">
        <f>C2252*D2252*E2252</f>
        <v>5760</v>
      </c>
      <c r="G2252" s="74">
        <v>0.5</v>
      </c>
      <c r="H2252" s="42">
        <f>F2252*(1-G2252)</f>
        <v>2880</v>
      </c>
    </row>
    <row r="2253" spans="1:8" s="204" customFormat="1" x14ac:dyDescent="0.3">
      <c r="A2253" s="40"/>
      <c r="B2253" s="57" t="s">
        <v>7</v>
      </c>
      <c r="C2253" s="40"/>
      <c r="D2253" s="54"/>
      <c r="E2253" s="40"/>
      <c r="F2253" s="40"/>
      <c r="G2253" s="55"/>
      <c r="H2253" s="58">
        <f>SUM(H2251:H2252)</f>
        <v>40056</v>
      </c>
    </row>
    <row r="2254" spans="1:8" s="205" customFormat="1" x14ac:dyDescent="0.3">
      <c r="A2254" s="40">
        <v>3</v>
      </c>
      <c r="B2254" s="57" t="s">
        <v>8</v>
      </c>
      <c r="C2254" s="40">
        <v>1</v>
      </c>
      <c r="D2254" s="54">
        <v>4073</v>
      </c>
      <c r="E2254" s="40">
        <v>5</v>
      </c>
      <c r="F2254" s="40">
        <f>C2254*D2254*E2254</f>
        <v>20365</v>
      </c>
      <c r="G2254" s="55">
        <v>0</v>
      </c>
      <c r="H2254" s="58">
        <f>(1-G2254)*F2254</f>
        <v>20365</v>
      </c>
    </row>
    <row r="2255" spans="1:8" s="206" customFormat="1" x14ac:dyDescent="0.3">
      <c r="A2255" s="39"/>
      <c r="B2255" s="57" t="s">
        <v>9</v>
      </c>
      <c r="C2255" s="39"/>
      <c r="D2255" s="59"/>
      <c r="E2255" s="39"/>
      <c r="F2255" s="39"/>
      <c r="G2255" s="39"/>
      <c r="H2255" s="58">
        <f>H2253+H2254</f>
        <v>60421</v>
      </c>
    </row>
    <row r="2256" spans="1:8" s="206" customFormat="1" x14ac:dyDescent="0.3">
      <c r="A2256" s="60"/>
      <c r="B2256" s="79" t="s">
        <v>1865</v>
      </c>
      <c r="C2256" s="47" t="s">
        <v>460</v>
      </c>
      <c r="D2256" s="156"/>
      <c r="E2256" s="47" t="s">
        <v>906</v>
      </c>
      <c r="F2256" s="47"/>
      <c r="G2256" s="60"/>
      <c r="H2256" s="48"/>
    </row>
    <row r="2257" spans="1:8" s="206" customFormat="1" x14ac:dyDescent="0.3">
      <c r="A2257" s="165"/>
      <c r="B2257" s="165" t="s">
        <v>10</v>
      </c>
      <c r="C2257" s="166" t="s">
        <v>1</v>
      </c>
      <c r="D2257" s="167" t="s">
        <v>2</v>
      </c>
      <c r="E2257" s="165" t="s">
        <v>3</v>
      </c>
      <c r="F2257" s="165" t="s">
        <v>4</v>
      </c>
      <c r="G2257" s="165" t="s">
        <v>5</v>
      </c>
      <c r="H2257" s="168" t="s">
        <v>6</v>
      </c>
    </row>
    <row r="2258" spans="1:8" s="206" customFormat="1" ht="43.2" x14ac:dyDescent="0.3">
      <c r="A2258" s="40">
        <v>1</v>
      </c>
      <c r="B2258" s="53" t="s">
        <v>907</v>
      </c>
      <c r="C2258" s="40">
        <v>1</v>
      </c>
      <c r="D2258" s="41">
        <v>1255</v>
      </c>
      <c r="E2258" s="40">
        <v>150</v>
      </c>
      <c r="F2258" s="40">
        <f>C2258*D2258*E2258</f>
        <v>188250</v>
      </c>
      <c r="G2258" s="55">
        <v>0.7</v>
      </c>
      <c r="H2258" s="42">
        <f>(1-G2258)*F2258</f>
        <v>56475.000000000007</v>
      </c>
    </row>
    <row r="2259" spans="1:8" s="206" customFormat="1" ht="28.8" x14ac:dyDescent="0.3">
      <c r="A2259" s="40">
        <v>2</v>
      </c>
      <c r="B2259" s="53" t="s">
        <v>908</v>
      </c>
      <c r="C2259" s="40">
        <v>1</v>
      </c>
      <c r="D2259" s="54">
        <v>172</v>
      </c>
      <c r="E2259" s="113">
        <v>45</v>
      </c>
      <c r="F2259" s="40">
        <f>C2259*D2259*E2259</f>
        <v>7740</v>
      </c>
      <c r="G2259" s="74">
        <v>0.5</v>
      </c>
      <c r="H2259" s="42">
        <f>F2259*(1-G2259)</f>
        <v>3870</v>
      </c>
    </row>
    <row r="2260" spans="1:8" s="31" customFormat="1" x14ac:dyDescent="0.3">
      <c r="A2260" s="40"/>
      <c r="B2260" s="40" t="s">
        <v>11</v>
      </c>
      <c r="C2260" s="57"/>
      <c r="D2260" s="105"/>
      <c r="E2260" s="39"/>
      <c r="F2260" s="39"/>
      <c r="G2260" s="39"/>
      <c r="H2260" s="58">
        <f>H2258+H2259</f>
        <v>60345.000000000007</v>
      </c>
    </row>
    <row r="2261" spans="1:8" s="3" customFormat="1" x14ac:dyDescent="0.3">
      <c r="A2261" s="40">
        <v>3</v>
      </c>
      <c r="B2261" s="40" t="s">
        <v>8</v>
      </c>
      <c r="C2261" s="40">
        <v>1</v>
      </c>
      <c r="D2261" s="146">
        <v>7373</v>
      </c>
      <c r="E2261" s="40">
        <v>5</v>
      </c>
      <c r="F2261" s="169">
        <f>C2261*D2261*E2261</f>
        <v>36865</v>
      </c>
      <c r="G2261" s="55">
        <v>0</v>
      </c>
      <c r="H2261" s="42">
        <f>(1-G2261)*F2261</f>
        <v>36865</v>
      </c>
    </row>
    <row r="2262" spans="1:8" x14ac:dyDescent="0.3">
      <c r="A2262" s="39"/>
      <c r="B2262" s="39" t="s">
        <v>9</v>
      </c>
      <c r="C2262" s="39"/>
      <c r="D2262" s="105"/>
      <c r="E2262" s="39"/>
      <c r="F2262" s="170"/>
      <c r="G2262" s="39"/>
      <c r="H2262" s="58">
        <f>H2260+H2261</f>
        <v>97210</v>
      </c>
    </row>
    <row r="2263" spans="1:8" x14ac:dyDescent="0.3">
      <c r="A2263" s="60"/>
      <c r="B2263" s="79" t="s">
        <v>1866</v>
      </c>
      <c r="C2263" s="47" t="s">
        <v>460</v>
      </c>
      <c r="D2263" s="156"/>
      <c r="E2263" s="47" t="s">
        <v>909</v>
      </c>
      <c r="F2263" s="47"/>
      <c r="G2263" s="60"/>
      <c r="H2263" s="48"/>
    </row>
    <row r="2264" spans="1:8" x14ac:dyDescent="0.3">
      <c r="A2264" s="165"/>
      <c r="B2264" s="165" t="s">
        <v>10</v>
      </c>
      <c r="C2264" s="166" t="s">
        <v>1</v>
      </c>
      <c r="D2264" s="167" t="s">
        <v>2</v>
      </c>
      <c r="E2264" s="165" t="s">
        <v>3</v>
      </c>
      <c r="F2264" s="165" t="s">
        <v>4</v>
      </c>
      <c r="G2264" s="165" t="s">
        <v>5</v>
      </c>
      <c r="H2264" s="168" t="s">
        <v>6</v>
      </c>
    </row>
    <row r="2265" spans="1:8" ht="43.2" x14ac:dyDescent="0.3">
      <c r="A2265" s="40">
        <v>1</v>
      </c>
      <c r="B2265" s="53" t="s">
        <v>910</v>
      </c>
      <c r="C2265" s="40">
        <v>1</v>
      </c>
      <c r="D2265" s="41">
        <v>377.4</v>
      </c>
      <c r="E2265" s="40">
        <v>50</v>
      </c>
      <c r="F2265" s="40">
        <f>C2265*D2265*E2265</f>
        <v>18870</v>
      </c>
      <c r="G2265" s="55">
        <v>0.7</v>
      </c>
      <c r="H2265" s="42">
        <f>(1-G2265)*F2265</f>
        <v>5661.0000000000009</v>
      </c>
    </row>
    <row r="2266" spans="1:8" ht="28.8" x14ac:dyDescent="0.3">
      <c r="A2266" s="40">
        <v>2</v>
      </c>
      <c r="B2266" s="53" t="s">
        <v>904</v>
      </c>
      <c r="C2266" s="40">
        <v>1</v>
      </c>
      <c r="D2266" s="54">
        <v>157</v>
      </c>
      <c r="E2266" s="113">
        <v>45</v>
      </c>
      <c r="F2266" s="40">
        <f>C2266*D2266*E2266</f>
        <v>7065</v>
      </c>
      <c r="G2266" s="74">
        <v>0.5</v>
      </c>
      <c r="H2266" s="42">
        <f>F2266*(1-G2266)</f>
        <v>3532.5</v>
      </c>
    </row>
    <row r="2267" spans="1:8" s="31" customFormat="1" x14ac:dyDescent="0.3">
      <c r="A2267" s="40"/>
      <c r="B2267" s="40" t="s">
        <v>11</v>
      </c>
      <c r="C2267" s="57"/>
      <c r="D2267" s="105"/>
      <c r="E2267" s="39"/>
      <c r="F2267" s="39"/>
      <c r="G2267" s="39"/>
      <c r="H2267" s="58">
        <f>H2265+H2266</f>
        <v>9193.5</v>
      </c>
    </row>
    <row r="2268" spans="1:8" s="3" customFormat="1" x14ac:dyDescent="0.3">
      <c r="A2268" s="40">
        <v>3</v>
      </c>
      <c r="B2268" s="40" t="s">
        <v>8</v>
      </c>
      <c r="C2268" s="40">
        <v>1</v>
      </c>
      <c r="D2268" s="146">
        <v>6139</v>
      </c>
      <c r="E2268" s="40">
        <v>5</v>
      </c>
      <c r="F2268" s="169">
        <f>C2268*D2268*E2268</f>
        <v>30695</v>
      </c>
      <c r="G2268" s="55">
        <v>0</v>
      </c>
      <c r="H2268" s="42">
        <f>(1-G2268)*F2268</f>
        <v>30695</v>
      </c>
    </row>
    <row r="2269" spans="1:8" x14ac:dyDescent="0.3">
      <c r="A2269" s="40"/>
      <c r="B2269" s="39" t="s">
        <v>9</v>
      </c>
      <c r="C2269" s="39"/>
      <c r="D2269" s="105"/>
      <c r="E2269" s="39"/>
      <c r="F2269" s="170"/>
      <c r="G2269" s="39"/>
      <c r="H2269" s="58">
        <f>H2267+H2268</f>
        <v>39888.5</v>
      </c>
    </row>
    <row r="2270" spans="1:8" x14ac:dyDescent="0.3">
      <c r="A2270" s="60"/>
      <c r="B2270" s="176">
        <v>5975</v>
      </c>
      <c r="C2270" s="47" t="s">
        <v>625</v>
      </c>
      <c r="D2270" s="156"/>
      <c r="E2270" s="47" t="s">
        <v>911</v>
      </c>
      <c r="F2270" s="60"/>
      <c r="G2270" s="60"/>
      <c r="H2270" s="48"/>
    </row>
    <row r="2271" spans="1:8" x14ac:dyDescent="0.3">
      <c r="A2271" s="39"/>
      <c r="B2271" s="165" t="s">
        <v>10</v>
      </c>
      <c r="C2271" s="166" t="s">
        <v>1</v>
      </c>
      <c r="D2271" s="167" t="s">
        <v>2</v>
      </c>
      <c r="E2271" s="165" t="s">
        <v>3</v>
      </c>
      <c r="F2271" s="165" t="s">
        <v>4</v>
      </c>
      <c r="G2271" s="165" t="s">
        <v>5</v>
      </c>
      <c r="H2271" s="168" t="s">
        <v>6</v>
      </c>
    </row>
    <row r="2272" spans="1:8" ht="43.2" x14ac:dyDescent="0.3">
      <c r="A2272" s="40">
        <v>1</v>
      </c>
      <c r="B2272" s="53" t="s">
        <v>912</v>
      </c>
      <c r="C2272" s="40">
        <v>1</v>
      </c>
      <c r="D2272" s="41">
        <v>33.119999999999997</v>
      </c>
      <c r="E2272" s="40">
        <v>100</v>
      </c>
      <c r="F2272" s="40">
        <f>C2272*D2272*E2272</f>
        <v>3311.9999999999995</v>
      </c>
      <c r="G2272" s="55">
        <v>0.6</v>
      </c>
      <c r="H2272" s="42">
        <f>(1-G2272)*F2272</f>
        <v>1324.8</v>
      </c>
    </row>
    <row r="2273" spans="1:8" ht="72" x14ac:dyDescent="0.3">
      <c r="A2273" s="151">
        <v>2</v>
      </c>
      <c r="B2273" s="53" t="s">
        <v>913</v>
      </c>
      <c r="C2273" s="40">
        <v>1</v>
      </c>
      <c r="D2273" s="41">
        <v>19.79</v>
      </c>
      <c r="E2273" s="40">
        <v>60</v>
      </c>
      <c r="F2273" s="40">
        <f>C2273*D2273*E2273</f>
        <v>1187.3999999999999</v>
      </c>
      <c r="G2273" s="55">
        <v>0.6</v>
      </c>
      <c r="H2273" s="42">
        <f>(1-G2273)*F2273</f>
        <v>474.96</v>
      </c>
    </row>
    <row r="2274" spans="1:8" s="31" customFormat="1" ht="43.2" x14ac:dyDescent="0.3">
      <c r="A2274" s="40">
        <v>3</v>
      </c>
      <c r="B2274" s="53" t="s">
        <v>914</v>
      </c>
      <c r="C2274" s="40">
        <v>1</v>
      </c>
      <c r="D2274" s="41">
        <v>15.91</v>
      </c>
      <c r="E2274" s="40">
        <v>80</v>
      </c>
      <c r="F2274" s="40">
        <f>C2274*D2274*E2274</f>
        <v>1272.8</v>
      </c>
      <c r="G2274" s="55">
        <v>0.6</v>
      </c>
      <c r="H2274" s="42">
        <f>(1-G2274)*F2274</f>
        <v>509.12</v>
      </c>
    </row>
    <row r="2275" spans="1:8" s="3" customFormat="1" ht="28.8" x14ac:dyDescent="0.3">
      <c r="A2275" s="40">
        <v>4</v>
      </c>
      <c r="B2275" s="53" t="s">
        <v>915</v>
      </c>
      <c r="C2275" s="40">
        <v>1</v>
      </c>
      <c r="D2275" s="41">
        <v>122</v>
      </c>
      <c r="E2275" s="40">
        <v>45</v>
      </c>
      <c r="F2275" s="40">
        <f>C2275*D2275*E2275</f>
        <v>5490</v>
      </c>
      <c r="G2275" s="55">
        <v>0.5</v>
      </c>
      <c r="H2275" s="42">
        <f>(1-G2275)*F2275</f>
        <v>2745</v>
      </c>
    </row>
    <row r="2276" spans="1:8" x14ac:dyDescent="0.3">
      <c r="A2276" s="40"/>
      <c r="B2276" s="40" t="s">
        <v>11</v>
      </c>
      <c r="C2276" s="57"/>
      <c r="D2276" s="105"/>
      <c r="E2276" s="39"/>
      <c r="F2276" s="39"/>
      <c r="G2276" s="39"/>
      <c r="H2276" s="58">
        <f>SUM(H2272:H2275)</f>
        <v>5053.88</v>
      </c>
    </row>
    <row r="2277" spans="1:8" x14ac:dyDescent="0.3">
      <c r="A2277" s="40">
        <v>5</v>
      </c>
      <c r="B2277" s="40" t="s">
        <v>8</v>
      </c>
      <c r="C2277" s="40">
        <v>1</v>
      </c>
      <c r="D2277" s="146">
        <v>14805</v>
      </c>
      <c r="E2277" s="40">
        <v>5</v>
      </c>
      <c r="F2277" s="169">
        <f>(10000*5)+(4805*3.75)</f>
        <v>68018.75</v>
      </c>
      <c r="G2277" s="55">
        <v>0</v>
      </c>
      <c r="H2277" s="42">
        <f>(1-G2277)*F2277</f>
        <v>68018.75</v>
      </c>
    </row>
    <row r="2278" spans="1:8" x14ac:dyDescent="0.3">
      <c r="A2278" s="40"/>
      <c r="B2278" s="39" t="s">
        <v>9</v>
      </c>
      <c r="C2278" s="39"/>
      <c r="D2278" s="105"/>
      <c r="E2278" s="39"/>
      <c r="F2278" s="170"/>
      <c r="G2278" s="39"/>
      <c r="H2278" s="58">
        <f>H2275+H2277</f>
        <v>70763.75</v>
      </c>
    </row>
    <row r="2279" spans="1:8" x14ac:dyDescent="0.3">
      <c r="A2279" s="60"/>
      <c r="B2279" s="176">
        <v>5976</v>
      </c>
      <c r="C2279" s="60"/>
      <c r="D2279" s="156"/>
      <c r="E2279" s="47" t="s">
        <v>916</v>
      </c>
      <c r="F2279" s="60"/>
      <c r="G2279" s="60"/>
      <c r="H2279" s="48"/>
    </row>
    <row r="2280" spans="1:8" x14ac:dyDescent="0.3">
      <c r="A2280" s="39"/>
      <c r="B2280" s="165" t="s">
        <v>10</v>
      </c>
      <c r="C2280" s="166" t="s">
        <v>1</v>
      </c>
      <c r="D2280" s="167" t="s">
        <v>2</v>
      </c>
      <c r="E2280" s="165" t="s">
        <v>3</v>
      </c>
      <c r="F2280" s="165" t="s">
        <v>4</v>
      </c>
      <c r="G2280" s="165" t="s">
        <v>5</v>
      </c>
      <c r="H2280" s="168" t="s">
        <v>6</v>
      </c>
    </row>
    <row r="2281" spans="1:8" s="31" customFormat="1" ht="43.2" x14ac:dyDescent="0.3">
      <c r="A2281" s="151">
        <v>1</v>
      </c>
      <c r="B2281" s="53" t="s">
        <v>917</v>
      </c>
      <c r="C2281" s="40">
        <v>1</v>
      </c>
      <c r="D2281" s="41">
        <v>2404</v>
      </c>
      <c r="E2281" s="40">
        <v>80</v>
      </c>
      <c r="F2281" s="40">
        <f>C2281*D2281*E2281</f>
        <v>192320</v>
      </c>
      <c r="G2281" s="55">
        <v>0.6</v>
      </c>
      <c r="H2281" s="42">
        <f>(1-G2281)*F2281</f>
        <v>76928</v>
      </c>
    </row>
    <row r="2282" spans="1:8" s="3" customFormat="1" ht="100.8" x14ac:dyDescent="0.3">
      <c r="A2282" s="40">
        <v>2</v>
      </c>
      <c r="B2282" s="53" t="s">
        <v>918</v>
      </c>
      <c r="C2282" s="40">
        <v>1</v>
      </c>
      <c r="D2282" s="41">
        <v>130.44999999999999</v>
      </c>
      <c r="E2282" s="40">
        <v>400</v>
      </c>
      <c r="F2282" s="40">
        <f>C2282*D2282*E2282</f>
        <v>52179.999999999993</v>
      </c>
      <c r="G2282" s="55">
        <v>0.6</v>
      </c>
      <c r="H2282" s="42">
        <f>(1-G2282)*F2282</f>
        <v>20872</v>
      </c>
    </row>
    <row r="2283" spans="1:8" ht="28.8" x14ac:dyDescent="0.3">
      <c r="A2283" s="40">
        <v>3</v>
      </c>
      <c r="B2283" s="53" t="s">
        <v>1478</v>
      </c>
      <c r="C2283" s="40">
        <v>1</v>
      </c>
      <c r="D2283" s="41">
        <v>295</v>
      </c>
      <c r="E2283" s="40">
        <v>45</v>
      </c>
      <c r="F2283" s="40">
        <f>C2283*D2283*E2283</f>
        <v>13275</v>
      </c>
      <c r="G2283" s="55">
        <v>0.5</v>
      </c>
      <c r="H2283" s="42">
        <f>(1-G2283)*F2283</f>
        <v>6637.5</v>
      </c>
    </row>
    <row r="2284" spans="1:8" x14ac:dyDescent="0.3">
      <c r="A2284" s="40"/>
      <c r="B2284" s="40" t="s">
        <v>11</v>
      </c>
      <c r="C2284" s="57"/>
      <c r="D2284" s="105"/>
      <c r="E2284" s="39"/>
      <c r="F2284" s="39"/>
      <c r="G2284" s="39"/>
      <c r="H2284" s="58">
        <f>H2281+H2282+H2283</f>
        <v>104437.5</v>
      </c>
    </row>
    <row r="2285" spans="1:8" x14ac:dyDescent="0.3">
      <c r="A2285" s="40">
        <v>4</v>
      </c>
      <c r="B2285" s="40" t="s">
        <v>8</v>
      </c>
      <c r="C2285" s="40">
        <v>1</v>
      </c>
      <c r="D2285" s="146">
        <v>21808</v>
      </c>
      <c r="E2285" s="40">
        <v>5</v>
      </c>
      <c r="F2285" s="169">
        <f>(10000*5)+(10000*3.75)+(1808*2.5)</f>
        <v>92020</v>
      </c>
      <c r="G2285" s="55">
        <v>0</v>
      </c>
      <c r="H2285" s="42">
        <f>(1-G2285)*F2285</f>
        <v>92020</v>
      </c>
    </row>
    <row r="2286" spans="1:8" x14ac:dyDescent="0.3">
      <c r="A2286" s="40"/>
      <c r="B2286" s="39" t="s">
        <v>9</v>
      </c>
      <c r="C2286" s="39"/>
      <c r="D2286" s="105"/>
      <c r="E2286" s="39"/>
      <c r="F2286" s="170"/>
      <c r="G2286" s="39"/>
      <c r="H2286" s="58">
        <f>H2284+H2285</f>
        <v>196457.5</v>
      </c>
    </row>
    <row r="2287" spans="1:8" x14ac:dyDescent="0.3">
      <c r="A2287" s="47"/>
      <c r="B2287" s="176">
        <v>5977</v>
      </c>
      <c r="C2287" s="47"/>
      <c r="D2287" s="96"/>
      <c r="E2287" s="47" t="s">
        <v>919</v>
      </c>
      <c r="F2287" s="47"/>
      <c r="G2287" s="47"/>
      <c r="H2287" s="98"/>
    </row>
    <row r="2288" spans="1:8" x14ac:dyDescent="0.3">
      <c r="A2288" s="39"/>
      <c r="B2288" s="165" t="s">
        <v>10</v>
      </c>
      <c r="C2288" s="166" t="s">
        <v>1</v>
      </c>
      <c r="D2288" s="167" t="s">
        <v>2</v>
      </c>
      <c r="E2288" s="165" t="s">
        <v>3</v>
      </c>
      <c r="F2288" s="165" t="s">
        <v>4</v>
      </c>
      <c r="G2288" s="165" t="s">
        <v>5</v>
      </c>
      <c r="H2288" s="168" t="s">
        <v>6</v>
      </c>
    </row>
    <row r="2289" spans="1:8" ht="43.2" x14ac:dyDescent="0.3">
      <c r="A2289" s="40">
        <v>1</v>
      </c>
      <c r="B2289" s="53" t="s">
        <v>920</v>
      </c>
      <c r="C2289" s="40">
        <v>1</v>
      </c>
      <c r="D2289" s="41">
        <v>663.63</v>
      </c>
      <c r="E2289" s="40">
        <v>80</v>
      </c>
      <c r="F2289" s="40">
        <f t="shared" ref="F2289:F2294" si="149">C2289*D2289*E2289</f>
        <v>53090.400000000001</v>
      </c>
      <c r="G2289" s="55">
        <v>0.6</v>
      </c>
      <c r="H2289" s="42">
        <f t="shared" ref="H2289:H2294" si="150">(1-G2289)*F2289</f>
        <v>21236.160000000003</v>
      </c>
    </row>
    <row r="2290" spans="1:8" s="31" customFormat="1" ht="100.8" x14ac:dyDescent="0.3">
      <c r="A2290" s="40">
        <v>2</v>
      </c>
      <c r="B2290" s="53" t="s">
        <v>1869</v>
      </c>
      <c r="C2290" s="40">
        <v>1</v>
      </c>
      <c r="D2290" s="41">
        <v>614.80999999999995</v>
      </c>
      <c r="E2290" s="40">
        <v>400</v>
      </c>
      <c r="F2290" s="40">
        <f t="shared" si="149"/>
        <v>245923.99999999997</v>
      </c>
      <c r="G2290" s="55">
        <v>0.6</v>
      </c>
      <c r="H2290" s="42">
        <f t="shared" si="150"/>
        <v>98369.599999999991</v>
      </c>
    </row>
    <row r="2291" spans="1:8" s="3" customFormat="1" ht="43.2" x14ac:dyDescent="0.3">
      <c r="A2291" s="40">
        <v>3</v>
      </c>
      <c r="B2291" s="53" t="s">
        <v>1321</v>
      </c>
      <c r="C2291" s="40">
        <v>1</v>
      </c>
      <c r="D2291" s="41">
        <v>107.52</v>
      </c>
      <c r="E2291" s="40">
        <v>150</v>
      </c>
      <c r="F2291" s="40">
        <f t="shared" si="149"/>
        <v>16128</v>
      </c>
      <c r="G2291" s="55">
        <v>0.4</v>
      </c>
      <c r="H2291" s="42">
        <f t="shared" si="150"/>
        <v>9676.7999999999993</v>
      </c>
    </row>
    <row r="2292" spans="1:8" ht="86.4" x14ac:dyDescent="0.3">
      <c r="A2292" s="151">
        <v>4</v>
      </c>
      <c r="B2292" s="53" t="s">
        <v>921</v>
      </c>
      <c r="C2292" s="40">
        <v>1</v>
      </c>
      <c r="D2292" s="41">
        <v>56.9</v>
      </c>
      <c r="E2292" s="40">
        <v>100</v>
      </c>
      <c r="F2292" s="40">
        <f t="shared" si="149"/>
        <v>5690</v>
      </c>
      <c r="G2292" s="55">
        <v>0.7</v>
      </c>
      <c r="H2292" s="42">
        <f t="shared" si="150"/>
        <v>1707.0000000000002</v>
      </c>
    </row>
    <row r="2293" spans="1:8" ht="86.4" x14ac:dyDescent="0.3">
      <c r="A2293" s="40">
        <v>5</v>
      </c>
      <c r="B2293" s="53" t="s">
        <v>922</v>
      </c>
      <c r="C2293" s="40">
        <v>1</v>
      </c>
      <c r="D2293" s="41">
        <v>46</v>
      </c>
      <c r="E2293" s="40">
        <v>150</v>
      </c>
      <c r="F2293" s="40">
        <f t="shared" si="149"/>
        <v>6900</v>
      </c>
      <c r="G2293" s="55">
        <v>0.6</v>
      </c>
      <c r="H2293" s="42">
        <f t="shared" si="150"/>
        <v>2760</v>
      </c>
    </row>
    <row r="2294" spans="1:8" ht="43.2" x14ac:dyDescent="0.3">
      <c r="A2294" s="40">
        <v>6</v>
      </c>
      <c r="B2294" s="53" t="s">
        <v>923</v>
      </c>
      <c r="C2294" s="40">
        <v>1</v>
      </c>
      <c r="D2294" s="41">
        <v>288</v>
      </c>
      <c r="E2294" s="40">
        <v>25</v>
      </c>
      <c r="F2294" s="40">
        <f t="shared" si="149"/>
        <v>7200</v>
      </c>
      <c r="G2294" s="55">
        <v>0.7</v>
      </c>
      <c r="H2294" s="42">
        <f t="shared" si="150"/>
        <v>2160.0000000000005</v>
      </c>
    </row>
    <row r="2295" spans="1:8" x14ac:dyDescent="0.3">
      <c r="A2295" s="40"/>
      <c r="B2295" s="40" t="s">
        <v>11</v>
      </c>
      <c r="C2295" s="57"/>
      <c r="D2295" s="105"/>
      <c r="E2295" s="39"/>
      <c r="F2295" s="39"/>
      <c r="G2295" s="39"/>
      <c r="H2295" s="58">
        <f>SUM(H2289:H2294)</f>
        <v>135909.56</v>
      </c>
    </row>
    <row r="2296" spans="1:8" x14ac:dyDescent="0.3">
      <c r="A2296" s="40">
        <v>7</v>
      </c>
      <c r="B2296" s="40" t="s">
        <v>8</v>
      </c>
      <c r="C2296" s="40">
        <v>1</v>
      </c>
      <c r="D2296" s="146">
        <v>20729</v>
      </c>
      <c r="E2296" s="40">
        <v>5</v>
      </c>
      <c r="F2296" s="169">
        <f>(10000*5)+(10000*3.75)+(729*2.5)</f>
        <v>89322.5</v>
      </c>
      <c r="G2296" s="55">
        <v>0</v>
      </c>
      <c r="H2296" s="42">
        <f>(1-G2296)*F2296</f>
        <v>89322.5</v>
      </c>
    </row>
    <row r="2297" spans="1:8" x14ac:dyDescent="0.3">
      <c r="A2297" s="39"/>
      <c r="B2297" s="39" t="s">
        <v>9</v>
      </c>
      <c r="C2297" s="39"/>
      <c r="D2297" s="105"/>
      <c r="E2297" s="39"/>
      <c r="F2297" s="170"/>
      <c r="G2297" s="39"/>
      <c r="H2297" s="58">
        <f>H2295+H2296</f>
        <v>225232.06</v>
      </c>
    </row>
    <row r="2298" spans="1:8" s="209" customFormat="1" x14ac:dyDescent="0.3">
      <c r="A2298" s="43"/>
      <c r="B2298" s="207">
        <v>5978</v>
      </c>
      <c r="C2298" s="60" t="s">
        <v>1988</v>
      </c>
      <c r="D2298" s="156"/>
      <c r="E2298" s="60" t="s">
        <v>1988</v>
      </c>
      <c r="F2298" s="208"/>
      <c r="G2298" s="60"/>
      <c r="H2298" s="48"/>
    </row>
    <row r="2299" spans="1:8" s="3" customFormat="1" x14ac:dyDescent="0.3">
      <c r="A2299" s="39"/>
      <c r="B2299" s="165" t="s">
        <v>10</v>
      </c>
      <c r="C2299" s="166" t="s">
        <v>1</v>
      </c>
      <c r="D2299" s="167" t="s">
        <v>2</v>
      </c>
      <c r="E2299" s="165" t="s">
        <v>3</v>
      </c>
      <c r="F2299" s="165" t="s">
        <v>4</v>
      </c>
      <c r="G2299" s="165" t="s">
        <v>5</v>
      </c>
      <c r="H2299" s="168" t="s">
        <v>6</v>
      </c>
    </row>
    <row r="2300" spans="1:8" x14ac:dyDescent="0.3">
      <c r="A2300" s="40">
        <v>1</v>
      </c>
      <c r="B2300" s="53" t="s">
        <v>15</v>
      </c>
      <c r="C2300" s="40"/>
      <c r="D2300" s="41"/>
      <c r="E2300" s="40"/>
      <c r="F2300" s="40"/>
      <c r="G2300" s="55"/>
      <c r="H2300" s="42"/>
    </row>
    <row r="2301" spans="1:8" x14ac:dyDescent="0.3">
      <c r="A2301" s="40"/>
      <c r="B2301" s="40" t="s">
        <v>11</v>
      </c>
      <c r="C2301" s="57"/>
      <c r="D2301" s="105"/>
      <c r="E2301" s="39"/>
      <c r="F2301" s="39"/>
      <c r="G2301" s="39"/>
      <c r="H2301" s="58">
        <f>SUM(H2300:H2300)</f>
        <v>0</v>
      </c>
    </row>
    <row r="2302" spans="1:8" x14ac:dyDescent="0.3">
      <c r="A2302" s="40">
        <v>2</v>
      </c>
      <c r="B2302" s="40" t="s">
        <v>8</v>
      </c>
      <c r="C2302" s="40">
        <v>1</v>
      </c>
      <c r="D2302" s="146">
        <v>15486</v>
      </c>
      <c r="E2302" s="40">
        <v>5</v>
      </c>
      <c r="F2302" s="169">
        <f>C2302*D2302*E2302</f>
        <v>77430</v>
      </c>
      <c r="G2302" s="55">
        <v>0</v>
      </c>
      <c r="H2302" s="42">
        <f>(1-G2302)*F2302</f>
        <v>77430</v>
      </c>
    </row>
    <row r="2303" spans="1:8" x14ac:dyDescent="0.3">
      <c r="A2303" s="51"/>
      <c r="B2303" s="39" t="s">
        <v>9</v>
      </c>
      <c r="C2303" s="39"/>
      <c r="D2303" s="105"/>
      <c r="E2303" s="39"/>
      <c r="F2303" s="170"/>
      <c r="G2303" s="39"/>
      <c r="H2303" s="58">
        <f>H2302+H2301</f>
        <v>77430</v>
      </c>
    </row>
    <row r="2304" spans="1:8" ht="57.6" x14ac:dyDescent="0.3">
      <c r="A2304" s="142"/>
      <c r="B2304" s="187">
        <v>5979</v>
      </c>
      <c r="C2304" s="210" t="s">
        <v>1174</v>
      </c>
      <c r="D2304" s="141"/>
      <c r="E2304" s="140" t="s">
        <v>1175</v>
      </c>
      <c r="F2304" s="142"/>
      <c r="G2304" s="142"/>
      <c r="H2304" s="143"/>
    </row>
    <row r="2305" spans="1:8" x14ac:dyDescent="0.3">
      <c r="A2305" s="39"/>
      <c r="B2305" s="107" t="s">
        <v>10</v>
      </c>
      <c r="C2305" s="107" t="s">
        <v>1</v>
      </c>
      <c r="D2305" s="108" t="s">
        <v>2</v>
      </c>
      <c r="E2305" s="109" t="s">
        <v>3</v>
      </c>
      <c r="F2305" s="109" t="s">
        <v>4</v>
      </c>
      <c r="G2305" s="109" t="s">
        <v>5</v>
      </c>
      <c r="H2305" s="106" t="s">
        <v>6</v>
      </c>
    </row>
    <row r="2306" spans="1:8" ht="115.2" x14ac:dyDescent="0.3">
      <c r="A2306" s="53">
        <v>1</v>
      </c>
      <c r="B2306" s="53" t="s">
        <v>1665</v>
      </c>
      <c r="C2306" s="40">
        <v>1</v>
      </c>
      <c r="D2306" s="91">
        <v>583.4</v>
      </c>
      <c r="E2306" s="40">
        <v>450</v>
      </c>
      <c r="F2306" s="40">
        <f t="shared" ref="F2306:F2313" si="151">C2306*D2306*E2306</f>
        <v>262530</v>
      </c>
      <c r="G2306" s="55">
        <v>0.5</v>
      </c>
      <c r="H2306" s="90">
        <f t="shared" ref="H2306:H2315" si="152">F2306*(1-G2306)</f>
        <v>131265</v>
      </c>
    </row>
    <row r="2307" spans="1:8" ht="100.8" x14ac:dyDescent="0.3">
      <c r="A2307" s="53">
        <v>2</v>
      </c>
      <c r="B2307" s="53" t="s">
        <v>1870</v>
      </c>
      <c r="C2307" s="40">
        <v>1</v>
      </c>
      <c r="D2307" s="91">
        <v>736</v>
      </c>
      <c r="E2307" s="40">
        <v>300</v>
      </c>
      <c r="F2307" s="40">
        <f t="shared" si="151"/>
        <v>220800</v>
      </c>
      <c r="G2307" s="55">
        <v>0.5</v>
      </c>
      <c r="H2307" s="42">
        <f t="shared" si="152"/>
        <v>110400</v>
      </c>
    </row>
    <row r="2308" spans="1:8" ht="72" x14ac:dyDescent="0.3">
      <c r="A2308" s="53">
        <v>3</v>
      </c>
      <c r="B2308" s="53" t="s">
        <v>1176</v>
      </c>
      <c r="C2308" s="40">
        <v>1</v>
      </c>
      <c r="D2308" s="91">
        <v>28.32</v>
      </c>
      <c r="E2308" s="40">
        <v>200</v>
      </c>
      <c r="F2308" s="40">
        <f t="shared" si="151"/>
        <v>5664</v>
      </c>
      <c r="G2308" s="55">
        <v>0.5</v>
      </c>
      <c r="H2308" s="42">
        <f t="shared" si="152"/>
        <v>2832</v>
      </c>
    </row>
    <row r="2309" spans="1:8" s="31" customFormat="1" ht="72" x14ac:dyDescent="0.3">
      <c r="A2309" s="53">
        <v>4</v>
      </c>
      <c r="B2309" s="53" t="s">
        <v>1797</v>
      </c>
      <c r="C2309" s="40">
        <v>1</v>
      </c>
      <c r="D2309" s="91">
        <v>147.44</v>
      </c>
      <c r="E2309" s="40">
        <v>250</v>
      </c>
      <c r="F2309" s="40">
        <f t="shared" si="151"/>
        <v>36860</v>
      </c>
      <c r="G2309" s="55">
        <v>0.8</v>
      </c>
      <c r="H2309" s="42">
        <f t="shared" si="152"/>
        <v>7371.9999999999982</v>
      </c>
    </row>
    <row r="2310" spans="1:8" s="3" customFormat="1" ht="28.8" x14ac:dyDescent="0.3">
      <c r="A2310" s="53">
        <v>5</v>
      </c>
      <c r="B2310" s="53" t="s">
        <v>1177</v>
      </c>
      <c r="C2310" s="40">
        <v>1</v>
      </c>
      <c r="D2310" s="91">
        <v>89.6</v>
      </c>
      <c r="E2310" s="40">
        <v>120</v>
      </c>
      <c r="F2310" s="40">
        <f t="shared" si="151"/>
        <v>10752</v>
      </c>
      <c r="G2310" s="55">
        <v>0.6</v>
      </c>
      <c r="H2310" s="42">
        <f t="shared" si="152"/>
        <v>4300.8</v>
      </c>
    </row>
    <row r="2311" spans="1:8" ht="100.8" x14ac:dyDescent="0.3">
      <c r="A2311" s="53">
        <v>6</v>
      </c>
      <c r="B2311" s="53" t="s">
        <v>1178</v>
      </c>
      <c r="C2311" s="40">
        <v>1</v>
      </c>
      <c r="D2311" s="91">
        <v>5.04</v>
      </c>
      <c r="E2311" s="40">
        <v>150</v>
      </c>
      <c r="F2311" s="40">
        <f t="shared" si="151"/>
        <v>756</v>
      </c>
      <c r="G2311" s="55">
        <v>0.5</v>
      </c>
      <c r="H2311" s="42">
        <f t="shared" si="152"/>
        <v>378</v>
      </c>
    </row>
    <row r="2312" spans="1:8" ht="43.2" x14ac:dyDescent="0.3">
      <c r="A2312" s="53">
        <v>7</v>
      </c>
      <c r="B2312" s="53" t="s">
        <v>1179</v>
      </c>
      <c r="C2312" s="40">
        <v>1</v>
      </c>
      <c r="D2312" s="91">
        <f>D2313*3</f>
        <v>373.32</v>
      </c>
      <c r="E2312" s="40">
        <v>22</v>
      </c>
      <c r="F2312" s="40">
        <f t="shared" si="151"/>
        <v>8213.0399999999991</v>
      </c>
      <c r="G2312" s="55">
        <v>0.5</v>
      </c>
      <c r="H2312" s="42">
        <f t="shared" si="152"/>
        <v>4106.5199999999995</v>
      </c>
    </row>
    <row r="2313" spans="1:8" ht="28.8" x14ac:dyDescent="0.3">
      <c r="A2313" s="53"/>
      <c r="B2313" s="53" t="s">
        <v>1180</v>
      </c>
      <c r="C2313" s="40">
        <v>1</v>
      </c>
      <c r="D2313" s="91">
        <v>124.44</v>
      </c>
      <c r="E2313" s="40">
        <v>50</v>
      </c>
      <c r="F2313" s="40">
        <f t="shared" si="151"/>
        <v>6222</v>
      </c>
      <c r="G2313" s="55">
        <v>0.5</v>
      </c>
      <c r="H2313" s="42">
        <f t="shared" si="152"/>
        <v>3111</v>
      </c>
    </row>
    <row r="2314" spans="1:8" x14ac:dyDescent="0.3">
      <c r="A2314" s="53"/>
      <c r="B2314" s="57" t="s">
        <v>7</v>
      </c>
      <c r="C2314" s="40"/>
      <c r="D2314" s="54"/>
      <c r="E2314" s="40"/>
      <c r="F2314" s="40"/>
      <c r="G2314" s="55"/>
      <c r="H2314" s="58">
        <f>SUM(H2306:H2313)</f>
        <v>263765.31999999995</v>
      </c>
    </row>
    <row r="2315" spans="1:8" x14ac:dyDescent="0.3">
      <c r="A2315" s="53">
        <v>8</v>
      </c>
      <c r="B2315" s="57" t="s">
        <v>8</v>
      </c>
      <c r="C2315" s="40">
        <v>1</v>
      </c>
      <c r="D2315" s="54">
        <v>15486</v>
      </c>
      <c r="E2315" s="40">
        <v>5</v>
      </c>
      <c r="F2315" s="40">
        <f>(10000*5)+(5486*5*0.75)</f>
        <v>70572.5</v>
      </c>
      <c r="G2315" s="55">
        <v>0</v>
      </c>
      <c r="H2315" s="42">
        <f t="shared" si="152"/>
        <v>70572.5</v>
      </c>
    </row>
    <row r="2316" spans="1:8" s="3" customFormat="1" x14ac:dyDescent="0.3">
      <c r="A2316" s="53"/>
      <c r="B2316" s="57" t="s">
        <v>9</v>
      </c>
      <c r="C2316" s="39"/>
      <c r="D2316" s="59"/>
      <c r="E2316" s="39"/>
      <c r="F2316" s="39"/>
      <c r="G2316" s="39"/>
      <c r="H2316" s="58">
        <f>H2314+H2315</f>
        <v>334337.81999999995</v>
      </c>
    </row>
    <row r="2317" spans="1:8" ht="43.2" x14ac:dyDescent="0.3">
      <c r="A2317" s="43"/>
      <c r="B2317" s="181">
        <v>5980</v>
      </c>
      <c r="C2317" s="86" t="s">
        <v>1181</v>
      </c>
      <c r="D2317" s="73"/>
      <c r="E2317" s="44" t="s">
        <v>1182</v>
      </c>
      <c r="F2317" s="60"/>
      <c r="G2317" s="60"/>
      <c r="H2317" s="48"/>
    </row>
    <row r="2318" spans="1:8" x14ac:dyDescent="0.3">
      <c r="A2318" s="40"/>
      <c r="B2318" s="49" t="s">
        <v>10</v>
      </c>
      <c r="C2318" s="49" t="s">
        <v>1</v>
      </c>
      <c r="D2318" s="50" t="s">
        <v>2</v>
      </c>
      <c r="E2318" s="51" t="s">
        <v>3</v>
      </c>
      <c r="F2318" s="51" t="s">
        <v>4</v>
      </c>
      <c r="G2318" s="51" t="s">
        <v>5</v>
      </c>
      <c r="H2318" s="52" t="s">
        <v>6</v>
      </c>
    </row>
    <row r="2319" spans="1:8" ht="129.6" x14ac:dyDescent="0.3">
      <c r="A2319" s="53">
        <v>1</v>
      </c>
      <c r="B2319" s="53" t="s">
        <v>1666</v>
      </c>
      <c r="C2319" s="40">
        <v>1</v>
      </c>
      <c r="D2319" s="91">
        <v>252.72</v>
      </c>
      <c r="E2319" s="40">
        <v>400</v>
      </c>
      <c r="F2319" s="40">
        <f t="shared" ref="F2319:F2324" si="153">C2319*D2319*E2319</f>
        <v>101088</v>
      </c>
      <c r="G2319" s="55">
        <v>0.5</v>
      </c>
      <c r="H2319" s="42">
        <f t="shared" ref="H2319:H2324" si="154">F2319*(1-G2319)</f>
        <v>50544</v>
      </c>
    </row>
    <row r="2320" spans="1:8" ht="115.2" x14ac:dyDescent="0.3">
      <c r="A2320" s="53">
        <v>2</v>
      </c>
      <c r="B2320" s="53" t="s">
        <v>1867</v>
      </c>
      <c r="C2320" s="40">
        <v>1</v>
      </c>
      <c r="D2320" s="91">
        <v>145.35</v>
      </c>
      <c r="E2320" s="40">
        <v>400</v>
      </c>
      <c r="F2320" s="40">
        <f t="shared" si="153"/>
        <v>58140</v>
      </c>
      <c r="G2320" s="55">
        <v>0.4</v>
      </c>
      <c r="H2320" s="42">
        <f t="shared" si="154"/>
        <v>34884</v>
      </c>
    </row>
    <row r="2321" spans="1:8" ht="115.2" x14ac:dyDescent="0.3">
      <c r="A2321" s="53">
        <v>3</v>
      </c>
      <c r="B2321" s="53" t="s">
        <v>1868</v>
      </c>
      <c r="C2321" s="40">
        <v>1</v>
      </c>
      <c r="D2321" s="91">
        <v>90.35</v>
      </c>
      <c r="E2321" s="40">
        <v>400</v>
      </c>
      <c r="F2321" s="40">
        <f t="shared" si="153"/>
        <v>36140</v>
      </c>
      <c r="G2321" s="55">
        <v>0.5</v>
      </c>
      <c r="H2321" s="42">
        <f t="shared" si="154"/>
        <v>18070</v>
      </c>
    </row>
    <row r="2322" spans="1:8" ht="115.2" x14ac:dyDescent="0.3">
      <c r="A2322" s="53">
        <v>4</v>
      </c>
      <c r="B2322" s="53" t="s">
        <v>1871</v>
      </c>
      <c r="C2322" s="40">
        <v>1</v>
      </c>
      <c r="D2322" s="91">
        <v>304.3</v>
      </c>
      <c r="E2322" s="40">
        <v>300</v>
      </c>
      <c r="F2322" s="40">
        <f t="shared" si="153"/>
        <v>91290</v>
      </c>
      <c r="G2322" s="55">
        <v>0.5</v>
      </c>
      <c r="H2322" s="42">
        <f t="shared" si="154"/>
        <v>45645</v>
      </c>
    </row>
    <row r="2323" spans="1:8" ht="100.8" x14ac:dyDescent="0.3">
      <c r="A2323" s="53">
        <v>5</v>
      </c>
      <c r="B2323" s="53" t="s">
        <v>1872</v>
      </c>
      <c r="C2323" s="40">
        <v>1</v>
      </c>
      <c r="D2323" s="91">
        <v>285.60000000000002</v>
      </c>
      <c r="E2323" s="40">
        <v>300</v>
      </c>
      <c r="F2323" s="40">
        <f t="shared" si="153"/>
        <v>85680</v>
      </c>
      <c r="G2323" s="55">
        <v>0.5</v>
      </c>
      <c r="H2323" s="42">
        <f t="shared" si="154"/>
        <v>42840</v>
      </c>
    </row>
    <row r="2324" spans="1:8" ht="43.2" x14ac:dyDescent="0.3">
      <c r="A2324" s="53">
        <v>6</v>
      </c>
      <c r="B2324" s="53" t="s">
        <v>1183</v>
      </c>
      <c r="C2324" s="40">
        <v>1</v>
      </c>
      <c r="D2324" s="91">
        <v>430.6</v>
      </c>
      <c r="E2324" s="40">
        <v>25</v>
      </c>
      <c r="F2324" s="40">
        <f t="shared" si="153"/>
        <v>10765</v>
      </c>
      <c r="G2324" s="55">
        <v>0.5</v>
      </c>
      <c r="H2324" s="42">
        <f t="shared" si="154"/>
        <v>5382.5</v>
      </c>
    </row>
    <row r="2325" spans="1:8" x14ac:dyDescent="0.3">
      <c r="A2325" s="53"/>
      <c r="B2325" s="57" t="s">
        <v>7</v>
      </c>
      <c r="C2325" s="40"/>
      <c r="D2325" s="54"/>
      <c r="E2325" s="40"/>
      <c r="F2325" s="40"/>
      <c r="G2325" s="55"/>
      <c r="H2325" s="58">
        <f>SUM(H2319:H2324)</f>
        <v>197365.5</v>
      </c>
    </row>
    <row r="2326" spans="1:8" x14ac:dyDescent="0.3">
      <c r="A2326" s="53">
        <v>7</v>
      </c>
      <c r="B2326" s="57" t="s">
        <v>8</v>
      </c>
      <c r="C2326" s="40">
        <v>1</v>
      </c>
      <c r="D2326" s="54">
        <v>11590</v>
      </c>
      <c r="E2326" s="40">
        <v>5</v>
      </c>
      <c r="F2326" s="40">
        <f>(10000*5)+(1590*3.75)</f>
        <v>55962.5</v>
      </c>
      <c r="G2326" s="55">
        <v>0</v>
      </c>
      <c r="H2326" s="58">
        <f>(1-G2326)*F2326</f>
        <v>55962.5</v>
      </c>
    </row>
    <row r="2327" spans="1:8" x14ac:dyDescent="0.3">
      <c r="A2327" s="53"/>
      <c r="B2327" s="57" t="s">
        <v>9</v>
      </c>
      <c r="C2327" s="39"/>
      <c r="D2327" s="59"/>
      <c r="E2327" s="39"/>
      <c r="F2327" s="39"/>
      <c r="G2327" s="39"/>
      <c r="H2327" s="58">
        <f>H2325+H2326</f>
        <v>253328</v>
      </c>
    </row>
    <row r="2328" spans="1:8" x14ac:dyDescent="0.3">
      <c r="A2328" s="53"/>
      <c r="B2328" s="57"/>
      <c r="C2328" s="39"/>
      <c r="D2328" s="59"/>
      <c r="E2328" s="39"/>
      <c r="F2328" s="39"/>
      <c r="G2328" s="39"/>
      <c r="H2328" s="58"/>
    </row>
    <row r="2329" spans="1:8" x14ac:dyDescent="0.3">
      <c r="A2329" s="43"/>
      <c r="B2329" s="62">
        <v>5981</v>
      </c>
      <c r="C2329" s="44" t="s">
        <v>625</v>
      </c>
      <c r="D2329" s="45"/>
      <c r="E2329" s="46" t="s">
        <v>924</v>
      </c>
      <c r="F2329" s="60"/>
      <c r="G2329" s="60"/>
      <c r="H2329" s="48"/>
    </row>
    <row r="2330" spans="1:8" x14ac:dyDescent="0.3">
      <c r="A2330" s="127"/>
      <c r="B2330" s="107" t="s">
        <v>0</v>
      </c>
      <c r="C2330" s="107" t="s">
        <v>1</v>
      </c>
      <c r="D2330" s="108" t="s">
        <v>2</v>
      </c>
      <c r="E2330" s="109" t="s">
        <v>3</v>
      </c>
      <c r="F2330" s="109" t="s">
        <v>4</v>
      </c>
      <c r="G2330" s="109" t="s">
        <v>5</v>
      </c>
      <c r="H2330" s="106" t="s">
        <v>6</v>
      </c>
    </row>
    <row r="2331" spans="1:8" ht="86.4" x14ac:dyDescent="0.3">
      <c r="A2331" s="113">
        <v>1</v>
      </c>
      <c r="B2331" s="53" t="s">
        <v>1530</v>
      </c>
      <c r="C2331" s="40">
        <v>1</v>
      </c>
      <c r="D2331" s="67">
        <v>704.1</v>
      </c>
      <c r="E2331" s="40">
        <v>550</v>
      </c>
      <c r="F2331" s="40">
        <f>C2331*D2331*E2331</f>
        <v>387255</v>
      </c>
      <c r="G2331" s="55">
        <v>0.6</v>
      </c>
      <c r="H2331" s="42">
        <f>F2331*(1-G2331)</f>
        <v>154902</v>
      </c>
    </row>
    <row r="2332" spans="1:8" ht="43.2" x14ac:dyDescent="0.3">
      <c r="A2332" s="113">
        <v>2</v>
      </c>
      <c r="B2332" s="53" t="s">
        <v>925</v>
      </c>
      <c r="C2332" s="40">
        <v>1</v>
      </c>
      <c r="D2332" s="67">
        <v>42.24</v>
      </c>
      <c r="E2332" s="40">
        <v>50</v>
      </c>
      <c r="F2332" s="40">
        <f>C2332*D2332*E2332</f>
        <v>2112</v>
      </c>
      <c r="G2332" s="55">
        <v>0.6</v>
      </c>
      <c r="H2332" s="42">
        <f>F2332*(1-G2332)</f>
        <v>844.80000000000007</v>
      </c>
    </row>
    <row r="2333" spans="1:8" x14ac:dyDescent="0.3">
      <c r="A2333" s="113"/>
      <c r="B2333" s="57" t="s">
        <v>7</v>
      </c>
      <c r="C2333" s="40"/>
      <c r="D2333" s="54"/>
      <c r="E2333" s="40"/>
      <c r="F2333" s="40"/>
      <c r="G2333" s="55"/>
      <c r="H2333" s="58">
        <f>H2331+H2332</f>
        <v>155746.79999999999</v>
      </c>
    </row>
    <row r="2334" spans="1:8" x14ac:dyDescent="0.3">
      <c r="A2334" s="113">
        <v>3</v>
      </c>
      <c r="B2334" s="57" t="s">
        <v>8</v>
      </c>
      <c r="C2334" s="40">
        <v>1</v>
      </c>
      <c r="D2334" s="54">
        <v>11010</v>
      </c>
      <c r="E2334" s="40">
        <v>5</v>
      </c>
      <c r="F2334" s="40">
        <f>(10000*5)+(1010*3.75)</f>
        <v>53787.5</v>
      </c>
      <c r="G2334" s="55">
        <v>0</v>
      </c>
      <c r="H2334" s="58">
        <f>(1-G2334)*F2334</f>
        <v>53787.5</v>
      </c>
    </row>
    <row r="2335" spans="1:8" x14ac:dyDescent="0.3">
      <c r="A2335" s="113"/>
      <c r="B2335" s="57" t="s">
        <v>9</v>
      </c>
      <c r="C2335" s="39"/>
      <c r="D2335" s="59"/>
      <c r="E2335" s="39"/>
      <c r="F2335" s="39"/>
      <c r="G2335" s="39"/>
      <c r="H2335" s="58">
        <f>H2333+H2334</f>
        <v>209534.3</v>
      </c>
    </row>
    <row r="2336" spans="1:8" ht="43.2" x14ac:dyDescent="0.3">
      <c r="A2336" s="43"/>
      <c r="B2336" s="181">
        <v>5982</v>
      </c>
      <c r="C2336" s="86" t="s">
        <v>1184</v>
      </c>
      <c r="D2336" s="73"/>
      <c r="E2336" s="47" t="s">
        <v>1185</v>
      </c>
      <c r="F2336" s="60"/>
      <c r="G2336" s="60"/>
      <c r="H2336" s="48"/>
    </row>
    <row r="2337" spans="1:8" x14ac:dyDescent="0.3">
      <c r="A2337" s="39"/>
      <c r="B2337" s="107" t="s">
        <v>10</v>
      </c>
      <c r="C2337" s="107" t="s">
        <v>1</v>
      </c>
      <c r="D2337" s="108" t="s">
        <v>2</v>
      </c>
      <c r="E2337" s="109" t="s">
        <v>3</v>
      </c>
      <c r="F2337" s="109" t="s">
        <v>4</v>
      </c>
      <c r="G2337" s="109" t="s">
        <v>5</v>
      </c>
      <c r="H2337" s="106" t="s">
        <v>6</v>
      </c>
    </row>
    <row r="2338" spans="1:8" ht="129.6" x14ac:dyDescent="0.3">
      <c r="A2338" s="53">
        <v>1</v>
      </c>
      <c r="B2338" s="53" t="s">
        <v>1873</v>
      </c>
      <c r="C2338" s="40">
        <v>1</v>
      </c>
      <c r="D2338" s="91">
        <v>3302</v>
      </c>
      <c r="E2338" s="40">
        <v>400</v>
      </c>
      <c r="F2338" s="40">
        <f>C2338*D2338*E2338</f>
        <v>1320800</v>
      </c>
      <c r="G2338" s="55">
        <v>0.4</v>
      </c>
      <c r="H2338" s="42">
        <f>F2338*(1-G2338)</f>
        <v>792480</v>
      </c>
    </row>
    <row r="2339" spans="1:8" ht="86.4" x14ac:dyDescent="0.3">
      <c r="A2339" s="53">
        <v>2</v>
      </c>
      <c r="B2339" s="53" t="s">
        <v>1186</v>
      </c>
      <c r="C2339" s="40">
        <v>1</v>
      </c>
      <c r="D2339" s="91">
        <v>22.77</v>
      </c>
      <c r="E2339" s="40">
        <v>100</v>
      </c>
      <c r="F2339" s="40">
        <f>C2339*D2339*E2339</f>
        <v>2277</v>
      </c>
      <c r="G2339" s="55">
        <v>0.6</v>
      </c>
      <c r="H2339" s="42">
        <f>F2339*(1-G2339)</f>
        <v>910.80000000000007</v>
      </c>
    </row>
    <row r="2340" spans="1:8" s="31" customFormat="1" ht="28.8" x14ac:dyDescent="0.3">
      <c r="A2340" s="53">
        <v>3</v>
      </c>
      <c r="B2340" s="53" t="s">
        <v>1187</v>
      </c>
      <c r="C2340" s="40">
        <v>1</v>
      </c>
      <c r="D2340" s="91">
        <f>D2341*3</f>
        <v>314.79000000000002</v>
      </c>
      <c r="E2340" s="40">
        <v>25</v>
      </c>
      <c r="F2340" s="40">
        <f>C2340*D2340*E2340</f>
        <v>7869.7500000000009</v>
      </c>
      <c r="G2340" s="55">
        <v>0.5</v>
      </c>
      <c r="H2340" s="42">
        <f>F2340*(1-G2340)</f>
        <v>3934.8750000000005</v>
      </c>
    </row>
    <row r="2341" spans="1:8" s="3" customFormat="1" ht="28.8" x14ac:dyDescent="0.3">
      <c r="A2341" s="53"/>
      <c r="B2341" s="53" t="s">
        <v>1479</v>
      </c>
      <c r="C2341" s="40">
        <v>1</v>
      </c>
      <c r="D2341" s="91">
        <v>104.93</v>
      </c>
      <c r="E2341" s="40">
        <v>45</v>
      </c>
      <c r="F2341" s="40">
        <f>C2341*D2341*E2341</f>
        <v>4721.8500000000004</v>
      </c>
      <c r="G2341" s="55">
        <v>0.5</v>
      </c>
      <c r="H2341" s="42">
        <f>F2341*(1-G2341)</f>
        <v>2360.9250000000002</v>
      </c>
    </row>
    <row r="2342" spans="1:8" x14ac:dyDescent="0.3">
      <c r="A2342" s="53"/>
      <c r="B2342" s="57" t="s">
        <v>7</v>
      </c>
      <c r="C2342" s="40"/>
      <c r="D2342" s="54"/>
      <c r="E2342" s="40"/>
      <c r="F2342" s="40"/>
      <c r="G2342" s="55"/>
      <c r="H2342" s="58">
        <f>SUM(H2338:H2340)</f>
        <v>797325.67500000005</v>
      </c>
    </row>
    <row r="2343" spans="1:8" x14ac:dyDescent="0.3">
      <c r="A2343" s="53">
        <v>4</v>
      </c>
      <c r="B2343" s="57" t="s">
        <v>8</v>
      </c>
      <c r="C2343" s="40">
        <v>1</v>
      </c>
      <c r="D2343" s="54">
        <v>8940</v>
      </c>
      <c r="E2343" s="40">
        <v>5</v>
      </c>
      <c r="F2343" s="40">
        <f>D2343*E2343</f>
        <v>44700</v>
      </c>
      <c r="G2343" s="55">
        <v>0</v>
      </c>
      <c r="H2343" s="58">
        <f>(1-G2343)*F2343</f>
        <v>44700</v>
      </c>
    </row>
    <row r="2344" spans="1:8" x14ac:dyDescent="0.3">
      <c r="A2344" s="53"/>
      <c r="B2344" s="57" t="s">
        <v>9</v>
      </c>
      <c r="C2344" s="39"/>
      <c r="D2344" s="59"/>
      <c r="E2344" s="39"/>
      <c r="F2344" s="39"/>
      <c r="G2344" s="39"/>
      <c r="H2344" s="58">
        <f>H2342+H2343</f>
        <v>842025.67500000005</v>
      </c>
    </row>
    <row r="2345" spans="1:8" x14ac:dyDescent="0.3">
      <c r="A2345" s="60"/>
      <c r="B2345" s="62">
        <v>5983</v>
      </c>
      <c r="C2345" s="44" t="s">
        <v>926</v>
      </c>
      <c r="D2345" s="45"/>
      <c r="E2345" s="44" t="s">
        <v>927</v>
      </c>
      <c r="F2345" s="60"/>
      <c r="G2345" s="60"/>
      <c r="H2345" s="48"/>
    </row>
    <row r="2346" spans="1:8" x14ac:dyDescent="0.3">
      <c r="A2346" s="127"/>
      <c r="B2346" s="129" t="s">
        <v>0</v>
      </c>
      <c r="C2346" s="129" t="s">
        <v>1</v>
      </c>
      <c r="D2346" s="130" t="s">
        <v>2</v>
      </c>
      <c r="E2346" s="131" t="s">
        <v>3</v>
      </c>
      <c r="F2346" s="131" t="s">
        <v>4</v>
      </c>
      <c r="G2346" s="131" t="s">
        <v>5</v>
      </c>
      <c r="H2346" s="118" t="s">
        <v>6</v>
      </c>
    </row>
    <row r="2347" spans="1:8" ht="115.2" x14ac:dyDescent="0.3">
      <c r="A2347" s="115">
        <v>1</v>
      </c>
      <c r="B2347" s="110" t="s">
        <v>928</v>
      </c>
      <c r="C2347" s="113">
        <v>1</v>
      </c>
      <c r="D2347" s="133">
        <v>632.76</v>
      </c>
      <c r="E2347" s="113">
        <v>450</v>
      </c>
      <c r="F2347" s="113">
        <f>D2347*E2347</f>
        <v>284742</v>
      </c>
      <c r="G2347" s="135">
        <v>0.6</v>
      </c>
      <c r="H2347" s="136">
        <f>F2347*(1-G2347)</f>
        <v>113896.8</v>
      </c>
    </row>
    <row r="2348" spans="1:8" s="3" customFormat="1" ht="86.4" x14ac:dyDescent="0.3">
      <c r="A2348" s="40">
        <v>2</v>
      </c>
      <c r="B2348" s="53" t="s">
        <v>929</v>
      </c>
      <c r="C2348" s="113">
        <v>1</v>
      </c>
      <c r="D2348" s="133">
        <v>490.56</v>
      </c>
      <c r="E2348" s="113">
        <v>450</v>
      </c>
      <c r="F2348" s="113">
        <f>C2348*D2348*E2348</f>
        <v>220752</v>
      </c>
      <c r="G2348" s="135">
        <v>0.6</v>
      </c>
      <c r="H2348" s="136">
        <f>F2348*(1-G2348)</f>
        <v>88300.800000000003</v>
      </c>
    </row>
    <row r="2349" spans="1:8" ht="100.8" x14ac:dyDescent="0.3">
      <c r="A2349" s="151">
        <v>3</v>
      </c>
      <c r="B2349" s="53" t="s">
        <v>930</v>
      </c>
      <c r="C2349" s="113">
        <v>1</v>
      </c>
      <c r="D2349" s="133">
        <v>148.56</v>
      </c>
      <c r="E2349" s="113">
        <v>450</v>
      </c>
      <c r="F2349" s="113">
        <f>C2349*D2349*E2349</f>
        <v>66852</v>
      </c>
      <c r="G2349" s="135">
        <v>0.6</v>
      </c>
      <c r="H2349" s="136">
        <f>F2349*(1-G2349)</f>
        <v>26740.800000000003</v>
      </c>
    </row>
    <row r="2350" spans="1:8" ht="57.6" x14ac:dyDescent="0.3">
      <c r="A2350" s="83">
        <v>4</v>
      </c>
      <c r="B2350" s="53" t="s">
        <v>931</v>
      </c>
      <c r="C2350" s="113">
        <v>1</v>
      </c>
      <c r="D2350" s="133">
        <v>11.09</v>
      </c>
      <c r="E2350" s="113">
        <v>200</v>
      </c>
      <c r="F2350" s="113">
        <f>C2350*D2350*E2350</f>
        <v>2218</v>
      </c>
      <c r="G2350" s="135">
        <v>0.6</v>
      </c>
      <c r="H2350" s="136">
        <f>F2350*(1-G2350)</f>
        <v>887.2</v>
      </c>
    </row>
    <row r="2351" spans="1:8" x14ac:dyDescent="0.3">
      <c r="A2351" s="83">
        <v>5</v>
      </c>
      <c r="B2351" s="53" t="s">
        <v>932</v>
      </c>
      <c r="C2351" s="113">
        <v>1</v>
      </c>
      <c r="D2351" s="133">
        <v>230</v>
      </c>
      <c r="E2351" s="113">
        <v>35</v>
      </c>
      <c r="F2351" s="113">
        <f>C2351*D2351*E2351</f>
        <v>8050</v>
      </c>
      <c r="G2351" s="135">
        <v>0.5</v>
      </c>
      <c r="H2351" s="136">
        <f>F2351*(1-G2351)</f>
        <v>4025</v>
      </c>
    </row>
    <row r="2352" spans="1:8" x14ac:dyDescent="0.3">
      <c r="A2352" s="40"/>
      <c r="B2352" s="57" t="s">
        <v>7</v>
      </c>
      <c r="C2352" s="40"/>
      <c r="D2352" s="54"/>
      <c r="E2352" s="40"/>
      <c r="F2352" s="40"/>
      <c r="G2352" s="55"/>
      <c r="H2352" s="58">
        <f>SUM(H2347:H2351)</f>
        <v>233850.60000000003</v>
      </c>
    </row>
    <row r="2353" spans="1:8" x14ac:dyDescent="0.3">
      <c r="A2353" s="40">
        <v>6</v>
      </c>
      <c r="B2353" s="57" t="s">
        <v>8</v>
      </c>
      <c r="C2353" s="40">
        <v>1</v>
      </c>
      <c r="D2353" s="54">
        <v>13277</v>
      </c>
      <c r="E2353" s="40">
        <v>5</v>
      </c>
      <c r="F2353" s="40">
        <f>(10000*J23505)+(3277*3.75)</f>
        <v>12288.75</v>
      </c>
      <c r="G2353" s="55">
        <v>0</v>
      </c>
      <c r="H2353" s="58">
        <f>(1-G2353)*F2353</f>
        <v>12288.75</v>
      </c>
    </row>
    <row r="2354" spans="1:8" x14ac:dyDescent="0.3">
      <c r="A2354" s="39"/>
      <c r="B2354" s="57" t="s">
        <v>9</v>
      </c>
      <c r="C2354" s="39"/>
      <c r="D2354" s="59"/>
      <c r="E2354" s="39"/>
      <c r="F2354" s="39"/>
      <c r="G2354" s="39"/>
      <c r="H2354" s="58">
        <f>H2352+H2353</f>
        <v>246139.35000000003</v>
      </c>
    </row>
    <row r="2355" spans="1:8" x14ac:dyDescent="0.3">
      <c r="A2355" s="115"/>
      <c r="B2355" s="103"/>
      <c r="C2355" s="40"/>
      <c r="D2355" s="41"/>
      <c r="E2355" s="40"/>
      <c r="F2355" s="68"/>
      <c r="G2355" s="55"/>
      <c r="H2355" s="106"/>
    </row>
    <row r="2356" spans="1:8" s="31" customFormat="1" x14ac:dyDescent="0.3">
      <c r="A2356" s="43"/>
      <c r="B2356" s="62">
        <v>5984</v>
      </c>
      <c r="C2356" s="44" t="s">
        <v>625</v>
      </c>
      <c r="D2356" s="45"/>
      <c r="E2356" s="46" t="s">
        <v>626</v>
      </c>
      <c r="F2356" s="63"/>
      <c r="G2356" s="60"/>
      <c r="H2356" s="48"/>
    </row>
    <row r="2357" spans="1:8" s="3" customFormat="1" x14ac:dyDescent="0.3">
      <c r="A2357" s="40"/>
      <c r="B2357" s="64" t="s">
        <v>0</v>
      </c>
      <c r="C2357" s="49" t="s">
        <v>1</v>
      </c>
      <c r="D2357" s="50" t="s">
        <v>2</v>
      </c>
      <c r="E2357" s="51" t="s">
        <v>3</v>
      </c>
      <c r="F2357" s="65" t="s">
        <v>4</v>
      </c>
      <c r="G2357" s="51" t="s">
        <v>5</v>
      </c>
      <c r="H2357" s="52" t="s">
        <v>6</v>
      </c>
    </row>
    <row r="2358" spans="1:8" ht="43.2" x14ac:dyDescent="0.3">
      <c r="A2358" s="40">
        <v>1</v>
      </c>
      <c r="B2358" s="144" t="s">
        <v>627</v>
      </c>
      <c r="C2358" s="40">
        <v>1</v>
      </c>
      <c r="D2358" s="54">
        <v>100</v>
      </c>
      <c r="E2358" s="40">
        <v>150</v>
      </c>
      <c r="F2358" s="68">
        <f>C2358*D2358*E2358</f>
        <v>15000</v>
      </c>
      <c r="G2358" s="55">
        <v>0.4</v>
      </c>
      <c r="H2358" s="136">
        <f>F2358*(1-G2358)</f>
        <v>9000</v>
      </c>
    </row>
    <row r="2359" spans="1:8" x14ac:dyDescent="0.3">
      <c r="A2359" s="40"/>
      <c r="B2359" s="70" t="s">
        <v>7</v>
      </c>
      <c r="C2359" s="40"/>
      <c r="D2359" s="54"/>
      <c r="E2359" s="40"/>
      <c r="F2359" s="68"/>
      <c r="G2359" s="55"/>
      <c r="H2359" s="58">
        <f>SUM(H2358:H2358)</f>
        <v>9000</v>
      </c>
    </row>
    <row r="2360" spans="1:8" x14ac:dyDescent="0.3">
      <c r="A2360" s="40">
        <v>2</v>
      </c>
      <c r="B2360" s="70" t="s">
        <v>8</v>
      </c>
      <c r="C2360" s="40">
        <v>1</v>
      </c>
      <c r="D2360" s="54">
        <v>12025</v>
      </c>
      <c r="E2360" s="40">
        <v>5</v>
      </c>
      <c r="F2360" s="68">
        <f>(10000*E2360)+(2025*E2360*0.75)</f>
        <v>57593.75</v>
      </c>
      <c r="G2360" s="55">
        <v>0</v>
      </c>
      <c r="H2360" s="58">
        <f>(1-G2360)*F2360</f>
        <v>57593.75</v>
      </c>
    </row>
    <row r="2361" spans="1:8" x14ac:dyDescent="0.3">
      <c r="A2361" s="51"/>
      <c r="B2361" s="70" t="s">
        <v>9</v>
      </c>
      <c r="C2361" s="39"/>
      <c r="D2361" s="59"/>
      <c r="E2361" s="39"/>
      <c r="F2361" s="71"/>
      <c r="G2361" s="39"/>
      <c r="H2361" s="58">
        <f>H2359+H2360</f>
        <v>66593.75</v>
      </c>
    </row>
    <row r="2362" spans="1:8" x14ac:dyDescent="0.3">
      <c r="A2362" s="43"/>
      <c r="B2362" s="62">
        <v>5985</v>
      </c>
      <c r="C2362" s="44" t="s">
        <v>625</v>
      </c>
      <c r="D2362" s="45"/>
      <c r="E2362" s="46" t="s">
        <v>628</v>
      </c>
      <c r="F2362" s="63"/>
      <c r="G2362" s="60"/>
      <c r="H2362" s="48"/>
    </row>
    <row r="2363" spans="1:8" x14ac:dyDescent="0.3">
      <c r="A2363" s="40"/>
      <c r="B2363" s="64" t="s">
        <v>0</v>
      </c>
      <c r="C2363" s="49" t="s">
        <v>1</v>
      </c>
      <c r="D2363" s="50" t="s">
        <v>2</v>
      </c>
      <c r="E2363" s="51" t="s">
        <v>3</v>
      </c>
      <c r="F2363" s="65" t="s">
        <v>4</v>
      </c>
      <c r="G2363" s="51" t="s">
        <v>5</v>
      </c>
      <c r="H2363" s="52" t="s">
        <v>6</v>
      </c>
    </row>
    <row r="2364" spans="1:8" ht="43.2" x14ac:dyDescent="0.3">
      <c r="A2364" s="40">
        <v>1</v>
      </c>
      <c r="B2364" s="144" t="s">
        <v>629</v>
      </c>
      <c r="C2364" s="40">
        <v>1</v>
      </c>
      <c r="D2364" s="54">
        <v>240</v>
      </c>
      <c r="E2364" s="40">
        <v>70</v>
      </c>
      <c r="F2364" s="68">
        <f>C2364*D2364*E2364</f>
        <v>16800</v>
      </c>
      <c r="G2364" s="55">
        <v>0.5</v>
      </c>
      <c r="H2364" s="42">
        <f>F2364*(1-G2364)</f>
        <v>8400</v>
      </c>
    </row>
    <row r="2365" spans="1:8" ht="57.6" x14ac:dyDescent="0.3">
      <c r="A2365" s="40">
        <v>2</v>
      </c>
      <c r="B2365" s="64" t="s">
        <v>630</v>
      </c>
      <c r="C2365" s="40">
        <v>1</v>
      </c>
      <c r="D2365" s="54">
        <v>75</v>
      </c>
      <c r="E2365" s="40">
        <v>150</v>
      </c>
      <c r="F2365" s="68">
        <f>C2365*D2365*E2365</f>
        <v>11250</v>
      </c>
      <c r="G2365" s="55">
        <v>0.4</v>
      </c>
      <c r="H2365" s="42">
        <f>F2365*(1-G2365)</f>
        <v>6750</v>
      </c>
    </row>
    <row r="2366" spans="1:8" x14ac:dyDescent="0.3">
      <c r="A2366" s="40"/>
      <c r="B2366" s="70" t="s">
        <v>7</v>
      </c>
      <c r="C2366" s="40"/>
      <c r="D2366" s="54"/>
      <c r="E2366" s="40"/>
      <c r="F2366" s="68"/>
      <c r="G2366" s="55"/>
      <c r="H2366" s="58">
        <f>SUM(H2364:H2365)</f>
        <v>15150</v>
      </c>
    </row>
    <row r="2367" spans="1:8" x14ac:dyDescent="0.3">
      <c r="A2367" s="40">
        <v>3</v>
      </c>
      <c r="B2367" s="70" t="s">
        <v>8</v>
      </c>
      <c r="C2367" s="40">
        <v>1</v>
      </c>
      <c r="D2367" s="54">
        <v>10500</v>
      </c>
      <c r="E2367" s="40">
        <v>5</v>
      </c>
      <c r="F2367" s="68">
        <f>(10000*E2367)+(500*0.75*E2367)</f>
        <v>51875</v>
      </c>
      <c r="G2367" s="55">
        <v>0</v>
      </c>
      <c r="H2367" s="58">
        <f>(1-G2367)*F2367</f>
        <v>51875</v>
      </c>
    </row>
    <row r="2368" spans="1:8" x14ac:dyDescent="0.3">
      <c r="A2368" s="51"/>
      <c r="B2368" s="70" t="s">
        <v>9</v>
      </c>
      <c r="C2368" s="39"/>
      <c r="D2368" s="59"/>
      <c r="E2368" s="39"/>
      <c r="F2368" s="71"/>
      <c r="G2368" s="39"/>
      <c r="H2368" s="58">
        <f>H2366+H2367</f>
        <v>67025</v>
      </c>
    </row>
    <row r="2369" spans="1:8" x14ac:dyDescent="0.3">
      <c r="A2369" s="43"/>
      <c r="B2369" s="62">
        <v>5986</v>
      </c>
      <c r="C2369" s="44" t="s">
        <v>625</v>
      </c>
      <c r="D2369" s="156"/>
      <c r="E2369" s="46" t="s">
        <v>631</v>
      </c>
      <c r="F2369" s="63"/>
      <c r="G2369" s="47"/>
      <c r="H2369" s="48"/>
    </row>
    <row r="2370" spans="1:8" x14ac:dyDescent="0.3">
      <c r="A2370" s="40"/>
      <c r="B2370" s="64" t="s">
        <v>0</v>
      </c>
      <c r="C2370" s="49" t="s">
        <v>1</v>
      </c>
      <c r="D2370" s="50" t="s">
        <v>2</v>
      </c>
      <c r="E2370" s="51" t="s">
        <v>3</v>
      </c>
      <c r="F2370" s="65" t="s">
        <v>4</v>
      </c>
      <c r="G2370" s="51" t="s">
        <v>5</v>
      </c>
      <c r="H2370" s="52" t="s">
        <v>6</v>
      </c>
    </row>
    <row r="2371" spans="1:8" ht="43.2" x14ac:dyDescent="0.3">
      <c r="A2371" s="40">
        <v>1</v>
      </c>
      <c r="B2371" s="144" t="s">
        <v>632</v>
      </c>
      <c r="C2371" s="40">
        <v>1</v>
      </c>
      <c r="D2371" s="54">
        <v>75</v>
      </c>
      <c r="E2371" s="40">
        <v>70</v>
      </c>
      <c r="F2371" s="68">
        <f>C2371*D2371*E2371</f>
        <v>5250</v>
      </c>
      <c r="G2371" s="55">
        <v>0.4</v>
      </c>
      <c r="H2371" s="42">
        <f>F2371*(1-G2371)</f>
        <v>3150</v>
      </c>
    </row>
    <row r="2372" spans="1:8" ht="43.2" x14ac:dyDescent="0.3">
      <c r="A2372" s="40">
        <v>2</v>
      </c>
      <c r="B2372" s="144" t="s">
        <v>633</v>
      </c>
      <c r="C2372" s="40">
        <v>1</v>
      </c>
      <c r="D2372" s="54">
        <v>31.5</v>
      </c>
      <c r="E2372" s="40">
        <v>50</v>
      </c>
      <c r="F2372" s="68">
        <f t="shared" ref="F2372:F2377" si="155">C2372*D2372*E2372</f>
        <v>1575</v>
      </c>
      <c r="G2372" s="55">
        <v>0.4</v>
      </c>
      <c r="H2372" s="42">
        <f t="shared" ref="H2372:H2377" si="156">F2372*(1-G2372)</f>
        <v>945</v>
      </c>
    </row>
    <row r="2373" spans="1:8" ht="43.2" x14ac:dyDescent="0.3">
      <c r="A2373" s="40">
        <v>3</v>
      </c>
      <c r="B2373" s="144" t="s">
        <v>493</v>
      </c>
      <c r="C2373" s="40">
        <v>1</v>
      </c>
      <c r="D2373" s="54">
        <v>9.25</v>
      </c>
      <c r="E2373" s="40">
        <v>50</v>
      </c>
      <c r="F2373" s="68">
        <f t="shared" si="155"/>
        <v>462.5</v>
      </c>
      <c r="G2373" s="55">
        <v>0.5</v>
      </c>
      <c r="H2373" s="42">
        <f t="shared" si="156"/>
        <v>231.25</v>
      </c>
    </row>
    <row r="2374" spans="1:8" ht="43.2" x14ac:dyDescent="0.3">
      <c r="A2374" s="40">
        <v>4</v>
      </c>
      <c r="B2374" s="144" t="s">
        <v>634</v>
      </c>
      <c r="C2374" s="40">
        <v>1</v>
      </c>
      <c r="D2374" s="54">
        <v>31.5</v>
      </c>
      <c r="E2374" s="40">
        <v>50</v>
      </c>
      <c r="F2374" s="68">
        <f t="shared" si="155"/>
        <v>1575</v>
      </c>
      <c r="G2374" s="55">
        <v>0.5</v>
      </c>
      <c r="H2374" s="42">
        <f t="shared" si="156"/>
        <v>787.5</v>
      </c>
    </row>
    <row r="2375" spans="1:8" ht="57.6" x14ac:dyDescent="0.3">
      <c r="A2375" s="40">
        <v>5</v>
      </c>
      <c r="B2375" s="144" t="s">
        <v>635</v>
      </c>
      <c r="C2375" s="40">
        <v>1</v>
      </c>
      <c r="D2375" s="54">
        <v>6</v>
      </c>
      <c r="E2375" s="40">
        <v>100</v>
      </c>
      <c r="F2375" s="68">
        <f t="shared" si="155"/>
        <v>600</v>
      </c>
      <c r="G2375" s="55">
        <v>0.5</v>
      </c>
      <c r="H2375" s="42">
        <f t="shared" si="156"/>
        <v>300</v>
      </c>
    </row>
    <row r="2376" spans="1:8" ht="57.6" x14ac:dyDescent="0.3">
      <c r="A2376" s="40">
        <v>6</v>
      </c>
      <c r="B2376" s="144" t="s">
        <v>636</v>
      </c>
      <c r="C2376" s="40">
        <v>1</v>
      </c>
      <c r="D2376" s="54">
        <v>11.25</v>
      </c>
      <c r="E2376" s="40">
        <v>100</v>
      </c>
      <c r="F2376" s="68">
        <f t="shared" si="155"/>
        <v>1125</v>
      </c>
      <c r="G2376" s="55">
        <v>0.5</v>
      </c>
      <c r="H2376" s="42">
        <f t="shared" si="156"/>
        <v>562.5</v>
      </c>
    </row>
    <row r="2377" spans="1:8" x14ac:dyDescent="0.3">
      <c r="A2377" s="40">
        <v>7</v>
      </c>
      <c r="B2377" s="144" t="s">
        <v>1922</v>
      </c>
      <c r="C2377" s="40">
        <v>1</v>
      </c>
      <c r="D2377" s="54">
        <f>103*3</f>
        <v>309</v>
      </c>
      <c r="E2377" s="40">
        <v>30</v>
      </c>
      <c r="F2377" s="68">
        <f t="shared" si="155"/>
        <v>9270</v>
      </c>
      <c r="G2377" s="55">
        <v>0.55000000000000004</v>
      </c>
      <c r="H2377" s="42">
        <f t="shared" si="156"/>
        <v>4171.5</v>
      </c>
    </row>
    <row r="2378" spans="1:8" x14ac:dyDescent="0.3">
      <c r="A2378" s="40">
        <v>7</v>
      </c>
      <c r="B2378" s="144" t="s">
        <v>1923</v>
      </c>
      <c r="C2378" s="40">
        <v>1</v>
      </c>
      <c r="D2378" s="54">
        <f>412/4</f>
        <v>103</v>
      </c>
      <c r="E2378" s="40">
        <v>65</v>
      </c>
      <c r="F2378" s="68">
        <f>C2378*D2378*E2378</f>
        <v>6695</v>
      </c>
      <c r="G2378" s="55">
        <v>0.55000000000000004</v>
      </c>
      <c r="H2378" s="42">
        <f>F2378*(1-G2378)</f>
        <v>3012.7499999999995</v>
      </c>
    </row>
    <row r="2379" spans="1:8" x14ac:dyDescent="0.3">
      <c r="A2379" s="40"/>
      <c r="B2379" s="70" t="s">
        <v>7</v>
      </c>
      <c r="C2379" s="40"/>
      <c r="D2379" s="54"/>
      <c r="E2379" s="40"/>
      <c r="F2379" s="68"/>
      <c r="G2379" s="55"/>
      <c r="H2379" s="58">
        <f>SUM(H2371:H2377)</f>
        <v>10147.75</v>
      </c>
    </row>
    <row r="2380" spans="1:8" x14ac:dyDescent="0.3">
      <c r="A2380" s="40">
        <v>8</v>
      </c>
      <c r="B2380" s="70" t="s">
        <v>8</v>
      </c>
      <c r="C2380" s="40">
        <v>1</v>
      </c>
      <c r="D2380" s="54">
        <v>10574</v>
      </c>
      <c r="E2380" s="40">
        <v>5</v>
      </c>
      <c r="F2380" s="68">
        <f>(10000*E2380)+(574*E2380*0.75)</f>
        <v>52152.5</v>
      </c>
      <c r="G2380" s="55">
        <v>0</v>
      </c>
      <c r="H2380" s="58">
        <f>(1-G2380)*F2380</f>
        <v>52152.5</v>
      </c>
    </row>
    <row r="2381" spans="1:8" x14ac:dyDescent="0.3">
      <c r="A2381" s="51"/>
      <c r="B2381" s="70" t="s">
        <v>9</v>
      </c>
      <c r="C2381" s="39"/>
      <c r="D2381" s="59"/>
      <c r="E2381" s="39"/>
      <c r="F2381" s="71"/>
      <c r="G2381" s="39"/>
      <c r="H2381" s="58">
        <f>H2379+H2380</f>
        <v>62300.25</v>
      </c>
    </row>
    <row r="2382" spans="1:8" x14ac:dyDescent="0.3">
      <c r="A2382" s="43"/>
      <c r="B2382" s="62">
        <v>5987</v>
      </c>
      <c r="C2382" s="44" t="s">
        <v>625</v>
      </c>
      <c r="D2382" s="73"/>
      <c r="E2382" s="46" t="s">
        <v>631</v>
      </c>
      <c r="F2382" s="63"/>
      <c r="G2382" s="47"/>
      <c r="H2382" s="48"/>
    </row>
    <row r="2383" spans="1:8" x14ac:dyDescent="0.3">
      <c r="A2383" s="40"/>
      <c r="B2383" s="64" t="s">
        <v>0</v>
      </c>
      <c r="C2383" s="49" t="s">
        <v>1</v>
      </c>
      <c r="D2383" s="50" t="s">
        <v>2</v>
      </c>
      <c r="E2383" s="51" t="s">
        <v>3</v>
      </c>
      <c r="F2383" s="65" t="s">
        <v>4</v>
      </c>
      <c r="G2383" s="51" t="s">
        <v>5</v>
      </c>
      <c r="H2383" s="52" t="s">
        <v>6</v>
      </c>
    </row>
    <row r="2384" spans="1:8" x14ac:dyDescent="0.3">
      <c r="A2384" s="40">
        <v>1</v>
      </c>
      <c r="B2384" s="144" t="s">
        <v>15</v>
      </c>
      <c r="C2384" s="40">
        <v>1</v>
      </c>
      <c r="D2384" s="54"/>
      <c r="E2384" s="40"/>
      <c r="F2384" s="68">
        <f>C2384*D2384*E2384</f>
        <v>0</v>
      </c>
      <c r="G2384" s="55">
        <v>0.5</v>
      </c>
      <c r="H2384" s="42">
        <f>F2384*(1-G2384)</f>
        <v>0</v>
      </c>
    </row>
    <row r="2385" spans="1:8" x14ac:dyDescent="0.3">
      <c r="A2385" s="40">
        <v>2</v>
      </c>
      <c r="B2385" s="144" t="s">
        <v>637</v>
      </c>
      <c r="C2385" s="40">
        <v>1</v>
      </c>
      <c r="D2385" s="54">
        <f>115*4</f>
        <v>460</v>
      </c>
      <c r="E2385" s="40">
        <v>30</v>
      </c>
      <c r="F2385" s="68">
        <f>C2385*D2385*E2385</f>
        <v>13800</v>
      </c>
      <c r="G2385" s="55">
        <v>0.5</v>
      </c>
      <c r="H2385" s="42">
        <f>F2385*(1-G2385)</f>
        <v>6900</v>
      </c>
    </row>
    <row r="2386" spans="1:8" x14ac:dyDescent="0.3">
      <c r="A2386" s="40"/>
      <c r="B2386" s="70" t="s">
        <v>7</v>
      </c>
      <c r="C2386" s="40"/>
      <c r="D2386" s="54"/>
      <c r="E2386" s="40"/>
      <c r="F2386" s="68"/>
      <c r="G2386" s="55"/>
      <c r="H2386" s="58">
        <f>SUM(H2384:H2385)</f>
        <v>6900</v>
      </c>
    </row>
    <row r="2387" spans="1:8" x14ac:dyDescent="0.3">
      <c r="A2387" s="40">
        <v>3</v>
      </c>
      <c r="B2387" s="70" t="s">
        <v>8</v>
      </c>
      <c r="C2387" s="40">
        <v>1</v>
      </c>
      <c r="D2387" s="54">
        <v>13335</v>
      </c>
      <c r="E2387" s="40">
        <v>5</v>
      </c>
      <c r="F2387" s="68">
        <f>(10000*E2387)+(3335*E2387*0.75)</f>
        <v>62506.25</v>
      </c>
      <c r="G2387" s="55">
        <v>0</v>
      </c>
      <c r="H2387" s="58">
        <f>(1-G2387)*F2387</f>
        <v>62506.25</v>
      </c>
    </row>
    <row r="2388" spans="1:8" x14ac:dyDescent="0.3">
      <c r="A2388" s="51"/>
      <c r="B2388" s="70" t="s">
        <v>9</v>
      </c>
      <c r="C2388" s="39"/>
      <c r="D2388" s="59"/>
      <c r="E2388" s="39"/>
      <c r="F2388" s="71"/>
      <c r="G2388" s="39"/>
      <c r="H2388" s="58">
        <f>H2386+H2387</f>
        <v>69406.25</v>
      </c>
    </row>
    <row r="2389" spans="1:8" ht="28.8" x14ac:dyDescent="0.3">
      <c r="A2389" s="43"/>
      <c r="B2389" s="62">
        <v>5988</v>
      </c>
      <c r="C2389" s="44" t="s">
        <v>625</v>
      </c>
      <c r="D2389" s="73" t="s">
        <v>638</v>
      </c>
      <c r="E2389" s="46" t="s">
        <v>460</v>
      </c>
      <c r="F2389" s="63"/>
      <c r="G2389" s="47"/>
      <c r="H2389" s="48"/>
    </row>
    <row r="2390" spans="1:8" x14ac:dyDescent="0.3">
      <c r="A2390" s="40"/>
      <c r="B2390" s="64" t="s">
        <v>0</v>
      </c>
      <c r="C2390" s="49" t="s">
        <v>1</v>
      </c>
      <c r="D2390" s="50" t="s">
        <v>2</v>
      </c>
      <c r="E2390" s="51" t="s">
        <v>3</v>
      </c>
      <c r="F2390" s="65" t="s">
        <v>4</v>
      </c>
      <c r="G2390" s="51" t="s">
        <v>5</v>
      </c>
      <c r="H2390" s="52" t="s">
        <v>6</v>
      </c>
    </row>
    <row r="2391" spans="1:8" x14ac:dyDescent="0.3">
      <c r="A2391" s="40">
        <v>1</v>
      </c>
      <c r="B2391" s="144" t="s">
        <v>1667</v>
      </c>
      <c r="C2391" s="40">
        <v>1</v>
      </c>
      <c r="D2391" s="54">
        <v>432</v>
      </c>
      <c r="E2391" s="40">
        <v>300</v>
      </c>
      <c r="F2391" s="68">
        <f>C2391*D2391*E2391</f>
        <v>129600</v>
      </c>
      <c r="G2391" s="55">
        <v>0.95</v>
      </c>
      <c r="H2391" s="42">
        <f>F2391*(1-G2391)</f>
        <v>6480.0000000000055</v>
      </c>
    </row>
    <row r="2392" spans="1:8" x14ac:dyDescent="0.3">
      <c r="A2392" s="40"/>
      <c r="B2392" s="70" t="s">
        <v>7</v>
      </c>
      <c r="C2392" s="40"/>
      <c r="D2392" s="54"/>
      <c r="E2392" s="40"/>
      <c r="F2392" s="68"/>
      <c r="G2392" s="55"/>
      <c r="H2392" s="58">
        <f>SUM(H2391:H2391)</f>
        <v>6480.0000000000055</v>
      </c>
    </row>
    <row r="2393" spans="1:8" x14ac:dyDescent="0.3">
      <c r="A2393" s="40">
        <v>2</v>
      </c>
      <c r="B2393" s="70" t="s">
        <v>8</v>
      </c>
      <c r="C2393" s="40">
        <v>1</v>
      </c>
      <c r="D2393" s="54">
        <v>9901</v>
      </c>
      <c r="E2393" s="40">
        <v>5</v>
      </c>
      <c r="F2393" s="68">
        <f>C2393*D2393*E2393</f>
        <v>49505</v>
      </c>
      <c r="G2393" s="55">
        <v>0</v>
      </c>
      <c r="H2393" s="58">
        <f>(1-G2393)*F2393</f>
        <v>49505</v>
      </c>
    </row>
    <row r="2394" spans="1:8" x14ac:dyDescent="0.3">
      <c r="A2394" s="51"/>
      <c r="B2394" s="70" t="s">
        <v>9</v>
      </c>
      <c r="C2394" s="39"/>
      <c r="D2394" s="59"/>
      <c r="E2394" s="39"/>
      <c r="F2394" s="71"/>
      <c r="G2394" s="39"/>
      <c r="H2394" s="58">
        <f>H2392+H2393</f>
        <v>55985.000000000007</v>
      </c>
    </row>
    <row r="2395" spans="1:8" x14ac:dyDescent="0.3">
      <c r="A2395" s="43"/>
      <c r="B2395" s="62">
        <v>5589</v>
      </c>
      <c r="C2395" s="44" t="s">
        <v>625</v>
      </c>
      <c r="D2395" s="45"/>
      <c r="E2395" s="46" t="s">
        <v>639</v>
      </c>
      <c r="F2395" s="63"/>
      <c r="G2395" s="60"/>
      <c r="H2395" s="48"/>
    </row>
    <row r="2396" spans="1:8" x14ac:dyDescent="0.3">
      <c r="A2396" s="40"/>
      <c r="B2396" s="64" t="s">
        <v>0</v>
      </c>
      <c r="C2396" s="49" t="s">
        <v>1</v>
      </c>
      <c r="D2396" s="50" t="s">
        <v>2</v>
      </c>
      <c r="E2396" s="51" t="s">
        <v>3</v>
      </c>
      <c r="F2396" s="65" t="s">
        <v>4</v>
      </c>
      <c r="G2396" s="51" t="s">
        <v>5</v>
      </c>
      <c r="H2396" s="52" t="s">
        <v>6</v>
      </c>
    </row>
    <row r="2397" spans="1:8" x14ac:dyDescent="0.3">
      <c r="A2397" s="40">
        <v>1</v>
      </c>
      <c r="B2397" s="64" t="s">
        <v>15</v>
      </c>
      <c r="C2397" s="40"/>
      <c r="D2397" s="54"/>
      <c r="E2397" s="40"/>
      <c r="F2397" s="68"/>
      <c r="G2397" s="55"/>
      <c r="H2397" s="42"/>
    </row>
    <row r="2398" spans="1:8" x14ac:dyDescent="0.3">
      <c r="A2398" s="40"/>
      <c r="B2398" s="70" t="s">
        <v>7</v>
      </c>
      <c r="C2398" s="40"/>
      <c r="D2398" s="54"/>
      <c r="E2398" s="40"/>
      <c r="F2398" s="68"/>
      <c r="G2398" s="55"/>
      <c r="H2398" s="58"/>
    </row>
    <row r="2399" spans="1:8" x14ac:dyDescent="0.3">
      <c r="A2399" s="40">
        <v>2</v>
      </c>
      <c r="B2399" s="70" t="s">
        <v>8</v>
      </c>
      <c r="C2399" s="40">
        <v>1</v>
      </c>
      <c r="D2399" s="54">
        <v>10500</v>
      </c>
      <c r="E2399" s="40">
        <v>5</v>
      </c>
      <c r="F2399" s="68">
        <f>(10000*E2399)+(500*E2399*0.75)</f>
        <v>51875</v>
      </c>
      <c r="G2399" s="55">
        <v>0</v>
      </c>
      <c r="H2399" s="58">
        <f>(1-G2399)*F2399</f>
        <v>51875</v>
      </c>
    </row>
    <row r="2400" spans="1:8" x14ac:dyDescent="0.3">
      <c r="A2400" s="51"/>
      <c r="B2400" s="70" t="s">
        <v>9</v>
      </c>
      <c r="C2400" s="39"/>
      <c r="D2400" s="59"/>
      <c r="E2400" s="39"/>
      <c r="F2400" s="71"/>
      <c r="G2400" s="39"/>
      <c r="H2400" s="58">
        <f>H2398+H2399</f>
        <v>51875</v>
      </c>
    </row>
    <row r="2401" spans="1:8" x14ac:dyDescent="0.3">
      <c r="A2401" s="43"/>
      <c r="B2401" s="62">
        <v>5990</v>
      </c>
      <c r="C2401" s="44" t="s">
        <v>625</v>
      </c>
      <c r="D2401" s="45"/>
      <c r="E2401" s="46" t="s">
        <v>640</v>
      </c>
      <c r="F2401" s="63"/>
      <c r="G2401" s="60"/>
      <c r="H2401" s="48"/>
    </row>
    <row r="2402" spans="1:8" x14ac:dyDescent="0.3">
      <c r="A2402" s="40"/>
      <c r="B2402" s="64" t="s">
        <v>0</v>
      </c>
      <c r="C2402" s="49" t="s">
        <v>1</v>
      </c>
      <c r="D2402" s="50" t="s">
        <v>2</v>
      </c>
      <c r="E2402" s="51" t="s">
        <v>3</v>
      </c>
      <c r="F2402" s="65" t="s">
        <v>4</v>
      </c>
      <c r="G2402" s="51" t="s">
        <v>5</v>
      </c>
      <c r="H2402" s="52" t="s">
        <v>6</v>
      </c>
    </row>
    <row r="2403" spans="1:8" ht="72" x14ac:dyDescent="0.3">
      <c r="A2403" s="40">
        <v>1</v>
      </c>
      <c r="B2403" s="64" t="s">
        <v>641</v>
      </c>
      <c r="C2403" s="40">
        <v>1</v>
      </c>
      <c r="D2403" s="54">
        <v>262.5</v>
      </c>
      <c r="E2403" s="40">
        <v>250</v>
      </c>
      <c r="F2403" s="68">
        <f>C2403*D2403*E2403</f>
        <v>65625</v>
      </c>
      <c r="G2403" s="55">
        <v>0.5</v>
      </c>
      <c r="H2403" s="42">
        <f>F2403*(1-G2403)</f>
        <v>32812.5</v>
      </c>
    </row>
    <row r="2404" spans="1:8" ht="57.6" x14ac:dyDescent="0.3">
      <c r="A2404" s="40">
        <v>2</v>
      </c>
      <c r="B2404" s="64" t="s">
        <v>642</v>
      </c>
      <c r="C2404" s="40">
        <v>1</v>
      </c>
      <c r="D2404" s="54">
        <v>5.5</v>
      </c>
      <c r="E2404" s="40">
        <v>100</v>
      </c>
      <c r="F2404" s="68">
        <f>C2404*D2404*E2404</f>
        <v>550</v>
      </c>
      <c r="G2404" s="55">
        <v>0.5</v>
      </c>
      <c r="H2404" s="42">
        <f>F2404*(1-G2404)</f>
        <v>275</v>
      </c>
    </row>
    <row r="2405" spans="1:8" ht="28.8" x14ac:dyDescent="0.3">
      <c r="A2405" s="40">
        <v>3</v>
      </c>
      <c r="B2405" s="144" t="s">
        <v>1444</v>
      </c>
      <c r="C2405" s="40">
        <v>1</v>
      </c>
      <c r="D2405" s="54">
        <f>102*4</f>
        <v>408</v>
      </c>
      <c r="E2405" s="40">
        <v>45</v>
      </c>
      <c r="F2405" s="68">
        <f>C2405*D2405*E2405*0.5</f>
        <v>9180</v>
      </c>
      <c r="G2405" s="55">
        <v>0.5</v>
      </c>
      <c r="H2405" s="42">
        <f>F2405*(1-G2405)</f>
        <v>4590</v>
      </c>
    </row>
    <row r="2406" spans="1:8" x14ac:dyDescent="0.3">
      <c r="A2406" s="40"/>
      <c r="B2406" s="70" t="s">
        <v>7</v>
      </c>
      <c r="C2406" s="40"/>
      <c r="D2406" s="54"/>
      <c r="E2406" s="40"/>
      <c r="F2406" s="68"/>
      <c r="G2406" s="55"/>
      <c r="H2406" s="58">
        <f>SUM(H2403:H2405)</f>
        <v>37677.5</v>
      </c>
    </row>
    <row r="2407" spans="1:8" x14ac:dyDescent="0.3">
      <c r="A2407" s="40">
        <v>4</v>
      </c>
      <c r="B2407" s="70" t="s">
        <v>8</v>
      </c>
      <c r="C2407" s="40">
        <v>1</v>
      </c>
      <c r="D2407" s="54">
        <v>10500</v>
      </c>
      <c r="E2407" s="40">
        <v>5</v>
      </c>
      <c r="F2407" s="68">
        <f>(10000*E2407)+(500*E2407*0.75)</f>
        <v>51875</v>
      </c>
      <c r="G2407" s="55">
        <v>0</v>
      </c>
      <c r="H2407" s="58">
        <f>(1-G2407)*F2407</f>
        <v>51875</v>
      </c>
    </row>
    <row r="2408" spans="1:8" x14ac:dyDescent="0.3">
      <c r="A2408" s="51"/>
      <c r="B2408" s="70" t="s">
        <v>9</v>
      </c>
      <c r="C2408" s="39"/>
      <c r="D2408" s="59"/>
      <c r="E2408" s="39"/>
      <c r="F2408" s="71"/>
      <c r="G2408" s="39"/>
      <c r="H2408" s="58">
        <f>H2406+H2407</f>
        <v>89552.5</v>
      </c>
    </row>
    <row r="2409" spans="1:8" x14ac:dyDescent="0.3">
      <c r="A2409" s="51"/>
      <c r="B2409" s="70"/>
      <c r="C2409" s="39"/>
      <c r="D2409" s="59"/>
      <c r="E2409" s="39"/>
      <c r="F2409" s="71"/>
      <c r="G2409" s="39"/>
      <c r="H2409" s="58"/>
    </row>
    <row r="2410" spans="1:8" x14ac:dyDescent="0.3">
      <c r="A2410" s="43"/>
      <c r="B2410" s="62">
        <v>5991</v>
      </c>
      <c r="C2410" s="44" t="s">
        <v>625</v>
      </c>
      <c r="D2410" s="45"/>
      <c r="E2410" s="46" t="s">
        <v>643</v>
      </c>
      <c r="F2410" s="63"/>
      <c r="G2410" s="60"/>
      <c r="H2410" s="48"/>
    </row>
    <row r="2411" spans="1:8" x14ac:dyDescent="0.3">
      <c r="A2411" s="40"/>
      <c r="B2411" s="64" t="s">
        <v>0</v>
      </c>
      <c r="C2411" s="49" t="s">
        <v>1</v>
      </c>
      <c r="D2411" s="50" t="s">
        <v>2</v>
      </c>
      <c r="E2411" s="51" t="s">
        <v>3</v>
      </c>
      <c r="F2411" s="65" t="s">
        <v>4</v>
      </c>
      <c r="G2411" s="51" t="s">
        <v>5</v>
      </c>
      <c r="H2411" s="52" t="s">
        <v>6</v>
      </c>
    </row>
    <row r="2412" spans="1:8" ht="86.4" x14ac:dyDescent="0.3">
      <c r="A2412" s="40">
        <v>1</v>
      </c>
      <c r="B2412" s="64" t="s">
        <v>644</v>
      </c>
      <c r="C2412" s="40">
        <v>1</v>
      </c>
      <c r="D2412" s="54">
        <v>462</v>
      </c>
      <c r="E2412" s="40">
        <v>250</v>
      </c>
      <c r="F2412" s="68">
        <f>C2412*D2412*E2412</f>
        <v>115500</v>
      </c>
      <c r="G2412" s="55">
        <v>0.5</v>
      </c>
      <c r="H2412" s="42">
        <f>F2412*(1-G2412)</f>
        <v>57750</v>
      </c>
    </row>
    <row r="2413" spans="1:8" ht="86.4" x14ac:dyDescent="0.3">
      <c r="A2413" s="40">
        <v>2</v>
      </c>
      <c r="B2413" s="64" t="s">
        <v>645</v>
      </c>
      <c r="C2413" s="40">
        <v>1</v>
      </c>
      <c r="D2413" s="54">
        <v>111</v>
      </c>
      <c r="E2413" s="40">
        <v>150</v>
      </c>
      <c r="F2413" s="68">
        <f>C2413*D2413*E2413</f>
        <v>16650</v>
      </c>
      <c r="G2413" s="55">
        <v>0.5</v>
      </c>
      <c r="H2413" s="42">
        <f>F2413*(1-G2413)</f>
        <v>8325</v>
      </c>
    </row>
    <row r="2414" spans="1:8" ht="43.2" x14ac:dyDescent="0.3">
      <c r="A2414" s="40">
        <v>3</v>
      </c>
      <c r="B2414" s="64" t="s">
        <v>646</v>
      </c>
      <c r="C2414" s="40">
        <v>1</v>
      </c>
      <c r="D2414" s="54">
        <v>150</v>
      </c>
      <c r="E2414" s="40">
        <v>50</v>
      </c>
      <c r="F2414" s="68">
        <f>C2414*D2414*E2414</f>
        <v>7500</v>
      </c>
      <c r="G2414" s="55">
        <v>0.5</v>
      </c>
      <c r="H2414" s="42">
        <f>F2414*(1-G2414)</f>
        <v>3750</v>
      </c>
    </row>
    <row r="2415" spans="1:8" ht="43.2" x14ac:dyDescent="0.3">
      <c r="A2415" s="40">
        <v>4</v>
      </c>
      <c r="B2415" s="64" t="s">
        <v>633</v>
      </c>
      <c r="C2415" s="40">
        <v>1</v>
      </c>
      <c r="D2415" s="54">
        <v>147</v>
      </c>
      <c r="E2415" s="40">
        <v>50</v>
      </c>
      <c r="F2415" s="68">
        <f>C2415*D2415*E2415</f>
        <v>7350</v>
      </c>
      <c r="G2415" s="55">
        <v>0.5</v>
      </c>
      <c r="H2415" s="42">
        <f>F2415*(1-G2415)</f>
        <v>3675</v>
      </c>
    </row>
    <row r="2416" spans="1:8" ht="28.8" x14ac:dyDescent="0.3">
      <c r="A2416" s="40">
        <v>5</v>
      </c>
      <c r="B2416" s="64" t="s">
        <v>647</v>
      </c>
      <c r="C2416" s="40">
        <v>1</v>
      </c>
      <c r="D2416" s="54">
        <f>110*4</f>
        <v>440</v>
      </c>
      <c r="E2416" s="40">
        <v>22</v>
      </c>
      <c r="F2416" s="68">
        <f>C2416*D2416*E2416*0.5</f>
        <v>4840</v>
      </c>
      <c r="G2416" s="55">
        <v>0.5</v>
      </c>
      <c r="H2416" s="42">
        <f>F2416*(1-G2416)</f>
        <v>2420</v>
      </c>
    </row>
    <row r="2417" spans="1:8" x14ac:dyDescent="0.3">
      <c r="A2417" s="40"/>
      <c r="B2417" s="70" t="s">
        <v>7</v>
      </c>
      <c r="C2417" s="40"/>
      <c r="D2417" s="54"/>
      <c r="E2417" s="40"/>
      <c r="F2417" s="68"/>
      <c r="G2417" s="55"/>
      <c r="H2417" s="58">
        <f>SUM(H2412:H2416)</f>
        <v>75920</v>
      </c>
    </row>
    <row r="2418" spans="1:8" x14ac:dyDescent="0.3">
      <c r="A2418" s="40">
        <v>6</v>
      </c>
      <c r="B2418" s="70" t="s">
        <v>8</v>
      </c>
      <c r="C2418" s="40">
        <v>1</v>
      </c>
      <c r="D2418" s="54">
        <v>12025</v>
      </c>
      <c r="E2418" s="40">
        <v>5</v>
      </c>
      <c r="F2418" s="68">
        <f>(10000*E2418)+(2025*E2418*0.75)</f>
        <v>57593.75</v>
      </c>
      <c r="G2418" s="55">
        <v>0</v>
      </c>
      <c r="H2418" s="58">
        <f>(1-G2418)*F2418</f>
        <v>57593.75</v>
      </c>
    </row>
    <row r="2419" spans="1:8" x14ac:dyDescent="0.3">
      <c r="A2419" s="51"/>
      <c r="B2419" s="70" t="s">
        <v>9</v>
      </c>
      <c r="C2419" s="39"/>
      <c r="D2419" s="59"/>
      <c r="E2419" s="39"/>
      <c r="F2419" s="71"/>
      <c r="G2419" s="39"/>
      <c r="H2419" s="58">
        <f>H2417+H2418</f>
        <v>133513.75</v>
      </c>
    </row>
    <row r="2420" spans="1:8" x14ac:dyDescent="0.3">
      <c r="A2420" s="51"/>
      <c r="B2420" s="70"/>
      <c r="C2420" s="39"/>
      <c r="D2420" s="59"/>
      <c r="E2420" s="39"/>
      <c r="F2420" s="71"/>
      <c r="G2420" s="39"/>
      <c r="H2420" s="58"/>
    </row>
    <row r="2421" spans="1:8" x14ac:dyDescent="0.3">
      <c r="A2421" s="43"/>
      <c r="B2421" s="62">
        <v>5992</v>
      </c>
      <c r="C2421" s="92" t="s">
        <v>1035</v>
      </c>
      <c r="D2421" s="73"/>
      <c r="E2421" s="44" t="s">
        <v>1036</v>
      </c>
      <c r="F2421" s="60"/>
      <c r="G2421" s="60"/>
      <c r="H2421" s="48"/>
    </row>
    <row r="2422" spans="1:8" x14ac:dyDescent="0.3">
      <c r="A2422" s="40"/>
      <c r="B2422" s="49" t="s">
        <v>10</v>
      </c>
      <c r="C2422" s="49" t="s">
        <v>1</v>
      </c>
      <c r="D2422" s="50" t="s">
        <v>2</v>
      </c>
      <c r="E2422" s="51" t="s">
        <v>3</v>
      </c>
      <c r="F2422" s="51" t="s">
        <v>4</v>
      </c>
      <c r="G2422" s="51" t="s">
        <v>5</v>
      </c>
      <c r="H2422" s="52" t="s">
        <v>6</v>
      </c>
    </row>
    <row r="2423" spans="1:8" ht="86.4" x14ac:dyDescent="0.3">
      <c r="A2423" s="53">
        <v>1</v>
      </c>
      <c r="B2423" s="53" t="s">
        <v>1874</v>
      </c>
      <c r="C2423" s="40">
        <v>2</v>
      </c>
      <c r="D2423" s="91">
        <v>53</v>
      </c>
      <c r="E2423" s="40">
        <v>300</v>
      </c>
      <c r="F2423" s="40">
        <f>C2423*D2423*E2423</f>
        <v>31800</v>
      </c>
      <c r="G2423" s="55">
        <v>0.5</v>
      </c>
      <c r="H2423" s="42">
        <f>F2423*(1-G2423)</f>
        <v>15900</v>
      </c>
    </row>
    <row r="2424" spans="1:8" ht="57.6" x14ac:dyDescent="0.3">
      <c r="A2424" s="53">
        <v>2</v>
      </c>
      <c r="B2424" s="53" t="s">
        <v>1624</v>
      </c>
      <c r="C2424" s="40">
        <v>1</v>
      </c>
      <c r="D2424" s="91">
        <v>190.8</v>
      </c>
      <c r="E2424" s="40">
        <v>150</v>
      </c>
      <c r="F2424" s="40">
        <f>C2424*D2424*E2424</f>
        <v>28620</v>
      </c>
      <c r="G2424" s="55">
        <v>0.4</v>
      </c>
      <c r="H2424" s="42">
        <f>F2424*(1-G2424)</f>
        <v>17172</v>
      </c>
    </row>
    <row r="2425" spans="1:8" ht="28.8" x14ac:dyDescent="0.3">
      <c r="A2425" s="53">
        <v>3</v>
      </c>
      <c r="B2425" s="53" t="s">
        <v>1480</v>
      </c>
      <c r="C2425" s="40">
        <v>1</v>
      </c>
      <c r="D2425" s="91">
        <v>219.32</v>
      </c>
      <c r="E2425" s="40">
        <v>45</v>
      </c>
      <c r="F2425" s="40">
        <f>C2425*D2425*E2425</f>
        <v>9869.4</v>
      </c>
      <c r="G2425" s="55">
        <v>0.4</v>
      </c>
      <c r="H2425" s="42">
        <f>F2425*(1-G2425)</f>
        <v>5921.6399999999994</v>
      </c>
    </row>
    <row r="2426" spans="1:8" x14ac:dyDescent="0.3">
      <c r="A2426" s="53"/>
      <c r="B2426" s="57" t="s">
        <v>7</v>
      </c>
      <c r="C2426" s="40"/>
      <c r="D2426" s="54"/>
      <c r="E2426" s="40"/>
      <c r="F2426" s="40"/>
      <c r="G2426" s="55"/>
      <c r="H2426" s="58">
        <f>SUM(H2423:H2425)</f>
        <v>38993.64</v>
      </c>
    </row>
    <row r="2427" spans="1:8" x14ac:dyDescent="0.3">
      <c r="A2427" s="53">
        <v>4</v>
      </c>
      <c r="B2427" s="57" t="s">
        <v>8</v>
      </c>
      <c r="C2427" s="40">
        <v>1</v>
      </c>
      <c r="D2427" s="54">
        <v>12025</v>
      </c>
      <c r="E2427" s="40">
        <v>5</v>
      </c>
      <c r="F2427" s="40">
        <f>(10000*5)+(3.75*2025)</f>
        <v>57593.75</v>
      </c>
      <c r="G2427" s="55">
        <v>0</v>
      </c>
      <c r="H2427" s="58">
        <f>(1-G2427)*F2427</f>
        <v>57593.75</v>
      </c>
    </row>
    <row r="2428" spans="1:8" x14ac:dyDescent="0.3">
      <c r="A2428" s="53"/>
      <c r="B2428" s="57" t="s">
        <v>9</v>
      </c>
      <c r="C2428" s="39"/>
      <c r="D2428" s="59"/>
      <c r="E2428" s="39"/>
      <c r="F2428" s="39"/>
      <c r="G2428" s="39"/>
      <c r="H2428" s="58">
        <f>H2426+H2427</f>
        <v>96587.39</v>
      </c>
    </row>
    <row r="2429" spans="1:8" x14ac:dyDescent="0.3">
      <c r="A2429" s="43"/>
      <c r="B2429" s="62">
        <v>5993</v>
      </c>
      <c r="C2429" s="92" t="s">
        <v>1035</v>
      </c>
      <c r="D2429" s="73"/>
      <c r="E2429" s="44" t="s">
        <v>1037</v>
      </c>
      <c r="F2429" s="60"/>
      <c r="G2429" s="60"/>
      <c r="H2429" s="48"/>
    </row>
    <row r="2430" spans="1:8" x14ac:dyDescent="0.3">
      <c r="A2430" s="40"/>
      <c r="B2430" s="49" t="s">
        <v>10</v>
      </c>
      <c r="C2430" s="49" t="s">
        <v>1</v>
      </c>
      <c r="D2430" s="50" t="s">
        <v>2</v>
      </c>
      <c r="E2430" s="51" t="s">
        <v>3</v>
      </c>
      <c r="F2430" s="51" t="s">
        <v>4</v>
      </c>
      <c r="G2430" s="51" t="s">
        <v>5</v>
      </c>
      <c r="H2430" s="52" t="s">
        <v>6</v>
      </c>
    </row>
    <row r="2431" spans="1:8" ht="100.8" x14ac:dyDescent="0.3">
      <c r="A2431" s="53">
        <v>1</v>
      </c>
      <c r="B2431" s="53" t="s">
        <v>1875</v>
      </c>
      <c r="C2431" s="40">
        <v>1</v>
      </c>
      <c r="D2431" s="91">
        <v>72</v>
      </c>
      <c r="E2431" s="40">
        <v>400</v>
      </c>
      <c r="F2431" s="40">
        <f>C2431*D2431*E2431</f>
        <v>28800</v>
      </c>
      <c r="G2431" s="55">
        <v>0.4</v>
      </c>
      <c r="H2431" s="42">
        <f>F2431*(1-G2431)</f>
        <v>17280</v>
      </c>
    </row>
    <row r="2432" spans="1:8" ht="100.8" x14ac:dyDescent="0.3">
      <c r="A2432" s="53">
        <v>2</v>
      </c>
      <c r="B2432" s="53" t="s">
        <v>1625</v>
      </c>
      <c r="C2432" s="40">
        <v>1</v>
      </c>
      <c r="D2432" s="91">
        <v>69.3</v>
      </c>
      <c r="E2432" s="40">
        <v>300</v>
      </c>
      <c r="F2432" s="40">
        <f>C2432*D2432*E2432</f>
        <v>20790</v>
      </c>
      <c r="G2432" s="55">
        <v>0.4</v>
      </c>
      <c r="H2432" s="42">
        <f>F2432*(1-G2432)</f>
        <v>12474</v>
      </c>
    </row>
    <row r="2433" spans="1:8" ht="57.6" x14ac:dyDescent="0.3">
      <c r="A2433" s="53">
        <v>3</v>
      </c>
      <c r="B2433" s="53" t="s">
        <v>1626</v>
      </c>
      <c r="C2433" s="40">
        <v>1</v>
      </c>
      <c r="D2433" s="91">
        <v>403</v>
      </c>
      <c r="E2433" s="40">
        <v>150</v>
      </c>
      <c r="F2433" s="40">
        <f>C2433*D2433*E2433</f>
        <v>60450</v>
      </c>
      <c r="G2433" s="55">
        <v>0.4</v>
      </c>
      <c r="H2433" s="42">
        <f>F2433*(1-G2433)</f>
        <v>36270</v>
      </c>
    </row>
    <row r="2434" spans="1:8" ht="28.8" x14ac:dyDescent="0.3">
      <c r="A2434" s="53">
        <v>4</v>
      </c>
      <c r="B2434" s="53" t="s">
        <v>1480</v>
      </c>
      <c r="C2434" s="40">
        <v>1</v>
      </c>
      <c r="D2434" s="91">
        <v>204.94</v>
      </c>
      <c r="E2434" s="40">
        <v>45</v>
      </c>
      <c r="F2434" s="40">
        <f>C2434*D2434*E2434</f>
        <v>9222.2999999999993</v>
      </c>
      <c r="G2434" s="55">
        <v>0.4</v>
      </c>
      <c r="H2434" s="42">
        <f>F2434*(1-G2434)</f>
        <v>5533.3799999999992</v>
      </c>
    </row>
    <row r="2435" spans="1:8" x14ac:dyDescent="0.3">
      <c r="A2435" s="53"/>
      <c r="B2435" s="57" t="s">
        <v>7</v>
      </c>
      <c r="C2435" s="40"/>
      <c r="D2435" s="54"/>
      <c r="E2435" s="40"/>
      <c r="F2435" s="40"/>
      <c r="G2435" s="55"/>
      <c r="H2435" s="58">
        <f>SUM(H2431:H2434)</f>
        <v>71557.38</v>
      </c>
    </row>
    <row r="2436" spans="1:8" x14ac:dyDescent="0.3">
      <c r="A2436" s="53">
        <v>5</v>
      </c>
      <c r="B2436" s="57" t="s">
        <v>8</v>
      </c>
      <c r="C2436" s="40">
        <v>1</v>
      </c>
      <c r="D2436" s="54">
        <v>10500</v>
      </c>
      <c r="E2436" s="40">
        <v>5</v>
      </c>
      <c r="F2436" s="40">
        <f>(10000*5)+(500*3.75)</f>
        <v>51875</v>
      </c>
      <c r="G2436" s="55">
        <v>0</v>
      </c>
      <c r="H2436" s="58">
        <f>(1-G2436)*F2436</f>
        <v>51875</v>
      </c>
    </row>
    <row r="2437" spans="1:8" x14ac:dyDescent="0.3">
      <c r="A2437" s="53"/>
      <c r="B2437" s="57" t="s">
        <v>9</v>
      </c>
      <c r="C2437" s="39"/>
      <c r="D2437" s="59"/>
      <c r="E2437" s="39"/>
      <c r="F2437" s="39"/>
      <c r="G2437" s="39"/>
      <c r="H2437" s="58">
        <f>H2435+H2436</f>
        <v>123432.38</v>
      </c>
    </row>
    <row r="2438" spans="1:8" x14ac:dyDescent="0.3">
      <c r="A2438" s="43"/>
      <c r="B2438" s="62">
        <v>5994</v>
      </c>
      <c r="C2438" s="92" t="s">
        <v>1038</v>
      </c>
      <c r="D2438" s="73"/>
      <c r="E2438" s="44"/>
      <c r="F2438" s="47" t="s">
        <v>1949</v>
      </c>
      <c r="G2438" s="60"/>
      <c r="H2438" s="48"/>
    </row>
    <row r="2439" spans="1:8" x14ac:dyDescent="0.3">
      <c r="A2439" s="40"/>
      <c r="B2439" s="49" t="s">
        <v>10</v>
      </c>
      <c r="C2439" s="49" t="s">
        <v>1</v>
      </c>
      <c r="D2439" s="50" t="s">
        <v>2</v>
      </c>
      <c r="E2439" s="51" t="s">
        <v>3</v>
      </c>
      <c r="F2439" s="51" t="s">
        <v>4</v>
      </c>
      <c r="G2439" s="51" t="s">
        <v>5</v>
      </c>
      <c r="H2439" s="52" t="s">
        <v>6</v>
      </c>
    </row>
    <row r="2440" spans="1:8" ht="129.6" x14ac:dyDescent="0.3">
      <c r="A2440" s="53">
        <v>1</v>
      </c>
      <c r="B2440" s="53" t="s">
        <v>1876</v>
      </c>
      <c r="C2440" s="40">
        <v>1</v>
      </c>
      <c r="D2440" s="91">
        <v>460.5</v>
      </c>
      <c r="E2440" s="40">
        <v>550</v>
      </c>
      <c r="F2440" s="40">
        <f>C2440*D2440*E2440</f>
        <v>253275</v>
      </c>
      <c r="G2440" s="55">
        <v>0.3</v>
      </c>
      <c r="H2440" s="42">
        <f>F2440*(1-G2440)</f>
        <v>177292.5</v>
      </c>
    </row>
    <row r="2441" spans="1:8" x14ac:dyDescent="0.3">
      <c r="A2441" s="53"/>
      <c r="B2441" s="57" t="s">
        <v>7</v>
      </c>
      <c r="C2441" s="40"/>
      <c r="D2441" s="54"/>
      <c r="E2441" s="40"/>
      <c r="F2441" s="40"/>
      <c r="G2441" s="55"/>
      <c r="H2441" s="58">
        <f>SUM(H2440)</f>
        <v>177292.5</v>
      </c>
    </row>
    <row r="2442" spans="1:8" x14ac:dyDescent="0.3">
      <c r="A2442" s="53">
        <v>2</v>
      </c>
      <c r="B2442" s="57" t="s">
        <v>8</v>
      </c>
      <c r="C2442" s="40">
        <v>1</v>
      </c>
      <c r="D2442" s="54">
        <v>10500</v>
      </c>
      <c r="E2442" s="40">
        <v>5</v>
      </c>
      <c r="F2442" s="40">
        <f>(10000*5)+(500*3.75)</f>
        <v>51875</v>
      </c>
      <c r="G2442" s="55">
        <v>0</v>
      </c>
      <c r="H2442" s="58">
        <f>(1-G2442)*F2442</f>
        <v>51875</v>
      </c>
    </row>
    <row r="2443" spans="1:8" x14ac:dyDescent="0.3">
      <c r="A2443" s="53"/>
      <c r="B2443" s="57" t="s">
        <v>9</v>
      </c>
      <c r="C2443" s="39"/>
      <c r="D2443" s="59"/>
      <c r="E2443" s="39"/>
      <c r="F2443" s="39"/>
      <c r="G2443" s="39"/>
      <c r="H2443" s="58">
        <f>H2441+H2442</f>
        <v>229167.5</v>
      </c>
    </row>
    <row r="2444" spans="1:8" x14ac:dyDescent="0.3">
      <c r="A2444" s="53"/>
      <c r="B2444" s="57"/>
      <c r="C2444" s="39"/>
      <c r="D2444" s="59"/>
      <c r="E2444" s="39"/>
      <c r="F2444" s="39"/>
      <c r="G2444" s="39"/>
      <c r="H2444" s="58"/>
    </row>
    <row r="2445" spans="1:8" x14ac:dyDescent="0.3">
      <c r="A2445" s="43"/>
      <c r="B2445" s="62">
        <v>5995</v>
      </c>
      <c r="C2445" s="92" t="s">
        <v>1039</v>
      </c>
      <c r="D2445" s="73"/>
      <c r="E2445" s="44" t="s">
        <v>1040</v>
      </c>
      <c r="F2445" s="60"/>
      <c r="G2445" s="60"/>
      <c r="H2445" s="48"/>
    </row>
    <row r="2446" spans="1:8" x14ac:dyDescent="0.3">
      <c r="A2446" s="40"/>
      <c r="B2446" s="49" t="s">
        <v>10</v>
      </c>
      <c r="C2446" s="49" t="s">
        <v>1</v>
      </c>
      <c r="D2446" s="50" t="s">
        <v>2</v>
      </c>
      <c r="E2446" s="51" t="s">
        <v>3</v>
      </c>
      <c r="F2446" s="51" t="s">
        <v>4</v>
      </c>
      <c r="G2446" s="51" t="s">
        <v>5</v>
      </c>
      <c r="H2446" s="52" t="s">
        <v>6</v>
      </c>
    </row>
    <row r="2447" spans="1:8" ht="86.4" x14ac:dyDescent="0.3">
      <c r="A2447" s="53">
        <v>1</v>
      </c>
      <c r="B2447" s="53" t="s">
        <v>1627</v>
      </c>
      <c r="C2447" s="40">
        <v>1</v>
      </c>
      <c r="D2447" s="91">
        <v>1410.75</v>
      </c>
      <c r="E2447" s="40">
        <v>250</v>
      </c>
      <c r="F2447" s="40">
        <f>C2447*D2447*E2447</f>
        <v>352687.5</v>
      </c>
      <c r="G2447" s="55">
        <v>0.4</v>
      </c>
      <c r="H2447" s="42">
        <f>F2447*(1-G2447)</f>
        <v>211612.5</v>
      </c>
    </row>
    <row r="2448" spans="1:8" ht="100.8" x14ac:dyDescent="0.3">
      <c r="A2448" s="53">
        <v>2</v>
      </c>
      <c r="B2448" s="53" t="s">
        <v>1878</v>
      </c>
      <c r="C2448" s="40">
        <v>1</v>
      </c>
      <c r="D2448" s="91">
        <v>32.76</v>
      </c>
      <c r="E2448" s="40">
        <v>300</v>
      </c>
      <c r="F2448" s="40">
        <f>C2448*D2448*E2448</f>
        <v>9828</v>
      </c>
      <c r="G2448" s="55">
        <v>0.3</v>
      </c>
      <c r="H2448" s="42">
        <f>F2448*(1-G2448)</f>
        <v>6879.5999999999995</v>
      </c>
    </row>
    <row r="2449" spans="1:8" ht="72" x14ac:dyDescent="0.3">
      <c r="A2449" s="53">
        <v>3</v>
      </c>
      <c r="B2449" s="53" t="s">
        <v>1628</v>
      </c>
      <c r="C2449" s="40">
        <v>1</v>
      </c>
      <c r="D2449" s="91">
        <v>49.5</v>
      </c>
      <c r="E2449" s="40">
        <v>100</v>
      </c>
      <c r="F2449" s="40">
        <f>C2449*D2449*E2449</f>
        <v>4950</v>
      </c>
      <c r="G2449" s="55">
        <v>0.3</v>
      </c>
      <c r="H2449" s="42">
        <f>F2449*(1-G2449)</f>
        <v>3465</v>
      </c>
    </row>
    <row r="2450" spans="1:8" ht="28.8" x14ac:dyDescent="0.3">
      <c r="A2450" s="53">
        <v>4</v>
      </c>
      <c r="B2450" s="53" t="s">
        <v>1480</v>
      </c>
      <c r="C2450" s="40">
        <v>1</v>
      </c>
      <c r="D2450" s="91">
        <v>236.77</v>
      </c>
      <c r="E2450" s="40">
        <v>45</v>
      </c>
      <c r="F2450" s="40">
        <f>C2450*D2450*E2450</f>
        <v>10654.65</v>
      </c>
      <c r="G2450" s="55">
        <v>0.4</v>
      </c>
      <c r="H2450" s="42">
        <f>F2450*(1-G2450)</f>
        <v>6392.79</v>
      </c>
    </row>
    <row r="2451" spans="1:8" x14ac:dyDescent="0.3">
      <c r="A2451" s="53"/>
      <c r="B2451" s="57" t="s">
        <v>7</v>
      </c>
      <c r="C2451" s="40"/>
      <c r="D2451" s="54"/>
      <c r="E2451" s="40"/>
      <c r="F2451" s="40"/>
      <c r="G2451" s="55"/>
      <c r="H2451" s="58">
        <f>SUM(H2447:H2450)</f>
        <v>228349.89</v>
      </c>
    </row>
    <row r="2452" spans="1:8" x14ac:dyDescent="0.3">
      <c r="A2452" s="53">
        <v>5</v>
      </c>
      <c r="B2452" s="57" t="s">
        <v>8</v>
      </c>
      <c r="C2452" s="40">
        <v>1</v>
      </c>
      <c r="D2452" s="54">
        <v>14015</v>
      </c>
      <c r="E2452" s="40">
        <v>5</v>
      </c>
      <c r="F2452" s="40">
        <f>(10000*5)+(4015*3.75)</f>
        <v>65056.25</v>
      </c>
      <c r="G2452" s="55">
        <v>0</v>
      </c>
      <c r="H2452" s="58">
        <f>(1-G2452)*F2452</f>
        <v>65056.25</v>
      </c>
    </row>
    <row r="2453" spans="1:8" x14ac:dyDescent="0.3">
      <c r="A2453" s="53"/>
      <c r="B2453" s="57" t="s">
        <v>9</v>
      </c>
      <c r="C2453" s="39"/>
      <c r="D2453" s="59"/>
      <c r="E2453" s="39"/>
      <c r="F2453" s="39"/>
      <c r="G2453" s="39"/>
      <c r="H2453" s="58">
        <f>H2451+H2452</f>
        <v>293406.14</v>
      </c>
    </row>
    <row r="2454" spans="1:8" x14ac:dyDescent="0.3">
      <c r="A2454" s="43"/>
      <c r="B2454" s="62">
        <v>5996</v>
      </c>
      <c r="C2454" s="92" t="s">
        <v>1039</v>
      </c>
      <c r="D2454" s="73"/>
      <c r="E2454" s="44" t="s">
        <v>1950</v>
      </c>
      <c r="F2454" s="60"/>
      <c r="G2454" s="60"/>
      <c r="H2454" s="48"/>
    </row>
    <row r="2455" spans="1:8" x14ac:dyDescent="0.3">
      <c r="A2455" s="40"/>
      <c r="B2455" s="49" t="s">
        <v>10</v>
      </c>
      <c r="C2455" s="49" t="s">
        <v>1</v>
      </c>
      <c r="D2455" s="50" t="s">
        <v>2</v>
      </c>
      <c r="E2455" s="51" t="s">
        <v>3</v>
      </c>
      <c r="F2455" s="51" t="s">
        <v>4</v>
      </c>
      <c r="G2455" s="51" t="s">
        <v>5</v>
      </c>
      <c r="H2455" s="52" t="s">
        <v>6</v>
      </c>
    </row>
    <row r="2456" spans="1:8" ht="129.6" x14ac:dyDescent="0.3">
      <c r="A2456" s="53">
        <v>1</v>
      </c>
      <c r="B2456" s="53" t="s">
        <v>1629</v>
      </c>
      <c r="C2456" s="40">
        <v>1</v>
      </c>
      <c r="D2456" s="91">
        <v>1071</v>
      </c>
      <c r="E2456" s="40">
        <v>500</v>
      </c>
      <c r="F2456" s="40">
        <f>C2456*D2456*E2456</f>
        <v>535500</v>
      </c>
      <c r="G2456" s="55">
        <v>0.4</v>
      </c>
      <c r="H2456" s="42">
        <f>F2456*(1-G2456)</f>
        <v>321300</v>
      </c>
    </row>
    <row r="2457" spans="1:8" ht="28.8" x14ac:dyDescent="0.3">
      <c r="A2457" s="53">
        <v>2</v>
      </c>
      <c r="B2457" s="53" t="s">
        <v>1041</v>
      </c>
      <c r="C2457" s="40">
        <v>1</v>
      </c>
      <c r="D2457" s="91">
        <v>202.51</v>
      </c>
      <c r="E2457" s="40">
        <v>50</v>
      </c>
      <c r="F2457" s="40">
        <f>C2457*D2457*E2457</f>
        <v>10125.5</v>
      </c>
      <c r="G2457" s="55">
        <v>0.4</v>
      </c>
      <c r="H2457" s="42">
        <f>F2457*(1-G2457)</f>
        <v>6075.3</v>
      </c>
    </row>
    <row r="2458" spans="1:8" x14ac:dyDescent="0.3">
      <c r="A2458" s="53"/>
      <c r="B2458" s="57" t="s">
        <v>7</v>
      </c>
      <c r="C2458" s="40"/>
      <c r="D2458" s="54"/>
      <c r="E2458" s="40"/>
      <c r="F2458" s="40"/>
      <c r="G2458" s="55"/>
      <c r="H2458" s="58">
        <f>SUM(H2456:H2457)</f>
        <v>327375.3</v>
      </c>
    </row>
    <row r="2459" spans="1:8" x14ac:dyDescent="0.3">
      <c r="A2459" s="53">
        <v>3</v>
      </c>
      <c r="B2459" s="57" t="s">
        <v>8</v>
      </c>
      <c r="C2459" s="40">
        <v>1</v>
      </c>
      <c r="D2459" s="54">
        <v>10253</v>
      </c>
      <c r="E2459" s="40">
        <v>5</v>
      </c>
      <c r="F2459" s="40">
        <f>(10000*5)+(253*3.75)</f>
        <v>50948.75</v>
      </c>
      <c r="G2459" s="55">
        <v>0</v>
      </c>
      <c r="H2459" s="58">
        <f>(1-G2459)*F2459</f>
        <v>50948.75</v>
      </c>
    </row>
    <row r="2460" spans="1:8" x14ac:dyDescent="0.3">
      <c r="A2460" s="53"/>
      <c r="B2460" s="57" t="s">
        <v>9</v>
      </c>
      <c r="C2460" s="39"/>
      <c r="D2460" s="59"/>
      <c r="E2460" s="39"/>
      <c r="F2460" s="39"/>
      <c r="G2460" s="39"/>
      <c r="H2460" s="58">
        <f>H2458+H2459</f>
        <v>378324.05</v>
      </c>
    </row>
    <row r="2461" spans="1:8" x14ac:dyDescent="0.3">
      <c r="A2461" s="43"/>
      <c r="B2461" s="62">
        <v>5997</v>
      </c>
      <c r="C2461" s="92" t="s">
        <v>1042</v>
      </c>
      <c r="D2461" s="73"/>
      <c r="E2461" s="44" t="s">
        <v>1951</v>
      </c>
      <c r="F2461" s="60"/>
      <c r="G2461" s="60"/>
      <c r="H2461" s="48"/>
    </row>
    <row r="2462" spans="1:8" x14ac:dyDescent="0.3">
      <c r="A2462" s="40"/>
      <c r="B2462" s="49" t="s">
        <v>10</v>
      </c>
      <c r="C2462" s="49" t="s">
        <v>1</v>
      </c>
      <c r="D2462" s="50" t="s">
        <v>2</v>
      </c>
      <c r="E2462" s="51" t="s">
        <v>3</v>
      </c>
      <c r="F2462" s="51" t="s">
        <v>4</v>
      </c>
      <c r="G2462" s="51" t="s">
        <v>5</v>
      </c>
      <c r="H2462" s="52" t="s">
        <v>6</v>
      </c>
    </row>
    <row r="2463" spans="1:8" ht="28.8" x14ac:dyDescent="0.3">
      <c r="A2463" s="53">
        <v>1</v>
      </c>
      <c r="B2463" s="53" t="s">
        <v>1043</v>
      </c>
      <c r="C2463" s="40">
        <v>1</v>
      </c>
      <c r="D2463" s="91">
        <v>98</v>
      </c>
      <c r="E2463" s="40">
        <v>400</v>
      </c>
      <c r="F2463" s="40">
        <f>C2463*D2463*E2463</f>
        <v>39200</v>
      </c>
      <c r="G2463" s="55">
        <v>0.75</v>
      </c>
      <c r="H2463" s="42">
        <f>F2463*(1-G2463)</f>
        <v>9800</v>
      </c>
    </row>
    <row r="2464" spans="1:8" x14ac:dyDescent="0.3">
      <c r="A2464" s="53"/>
      <c r="B2464" s="57" t="s">
        <v>7</v>
      </c>
      <c r="C2464" s="40"/>
      <c r="D2464" s="54"/>
      <c r="E2464" s="40"/>
      <c r="F2464" s="40"/>
      <c r="G2464" s="55"/>
      <c r="H2464" s="58">
        <f>SUM(H2463)</f>
        <v>9800</v>
      </c>
    </row>
    <row r="2465" spans="1:8" x14ac:dyDescent="0.3">
      <c r="A2465" s="53">
        <v>2</v>
      </c>
      <c r="B2465" s="57" t="s">
        <v>8</v>
      </c>
      <c r="C2465" s="40">
        <v>1</v>
      </c>
      <c r="D2465" s="54">
        <v>9279</v>
      </c>
      <c r="E2465" s="40">
        <v>5</v>
      </c>
      <c r="F2465" s="40">
        <f>C2465*D2465*E2465</f>
        <v>46395</v>
      </c>
      <c r="G2465" s="55">
        <v>0</v>
      </c>
      <c r="H2465" s="58">
        <f>(1-G2465)*F2465</f>
        <v>46395</v>
      </c>
    </row>
    <row r="2466" spans="1:8" x14ac:dyDescent="0.3">
      <c r="A2466" s="53"/>
      <c r="B2466" s="57" t="s">
        <v>9</v>
      </c>
      <c r="C2466" s="39"/>
      <c r="D2466" s="59"/>
      <c r="E2466" s="39"/>
      <c r="F2466" s="39"/>
      <c r="G2466" s="39"/>
      <c r="H2466" s="58">
        <f>H2464+H2465</f>
        <v>56195</v>
      </c>
    </row>
    <row r="2467" spans="1:8" x14ac:dyDescent="0.3">
      <c r="A2467" s="43"/>
      <c r="B2467" s="62">
        <v>5998</v>
      </c>
      <c r="C2467" s="44" t="s">
        <v>1044</v>
      </c>
      <c r="D2467" s="73"/>
      <c r="E2467" s="44" t="s">
        <v>1952</v>
      </c>
      <c r="F2467" s="60"/>
      <c r="G2467" s="60"/>
      <c r="H2467" s="48"/>
    </row>
    <row r="2468" spans="1:8" x14ac:dyDescent="0.3">
      <c r="A2468" s="40"/>
      <c r="B2468" s="49" t="s">
        <v>10</v>
      </c>
      <c r="C2468" s="49" t="s">
        <v>1</v>
      </c>
      <c r="D2468" s="50" t="s">
        <v>2</v>
      </c>
      <c r="E2468" s="51" t="s">
        <v>3</v>
      </c>
      <c r="F2468" s="51" t="s">
        <v>4</v>
      </c>
      <c r="G2468" s="51" t="s">
        <v>5</v>
      </c>
      <c r="H2468" s="52" t="s">
        <v>6</v>
      </c>
    </row>
    <row r="2469" spans="1:8" x14ac:dyDescent="0.3">
      <c r="A2469" s="53">
        <v>1</v>
      </c>
      <c r="B2469" s="53" t="s">
        <v>15</v>
      </c>
      <c r="C2469" s="40"/>
      <c r="D2469" s="91"/>
      <c r="E2469" s="40"/>
      <c r="F2469" s="40"/>
      <c r="G2469" s="55"/>
      <c r="H2469" s="42"/>
    </row>
    <row r="2470" spans="1:8" x14ac:dyDescent="0.3">
      <c r="A2470" s="53">
        <v>2</v>
      </c>
      <c r="B2470" s="57" t="s">
        <v>8</v>
      </c>
      <c r="C2470" s="40">
        <v>1</v>
      </c>
      <c r="D2470" s="54">
        <v>22789</v>
      </c>
      <c r="E2470" s="40">
        <v>5</v>
      </c>
      <c r="F2470" s="40">
        <f>(10000*5)+(10000*3.75)+(2789*2.5)</f>
        <v>94472.5</v>
      </c>
      <c r="G2470" s="55">
        <v>0</v>
      </c>
      <c r="H2470" s="58">
        <f>(1-G2470)*F2470</f>
        <v>94472.5</v>
      </c>
    </row>
    <row r="2471" spans="1:8" x14ac:dyDescent="0.3">
      <c r="A2471" s="53"/>
      <c r="B2471" s="57" t="s">
        <v>9</v>
      </c>
      <c r="C2471" s="39"/>
      <c r="D2471" s="59"/>
      <c r="E2471" s="39"/>
      <c r="F2471" s="39"/>
      <c r="G2471" s="39"/>
      <c r="H2471" s="58">
        <f>H2470</f>
        <v>94472.5</v>
      </c>
    </row>
    <row r="2472" spans="1:8" x14ac:dyDescent="0.3">
      <c r="A2472" s="51"/>
      <c r="B2472" s="70"/>
      <c r="C2472" s="39"/>
      <c r="D2472" s="59"/>
      <c r="E2472" s="39"/>
      <c r="F2472" s="71"/>
      <c r="G2472" s="39"/>
      <c r="H2472" s="58"/>
    </row>
    <row r="2473" spans="1:8" x14ac:dyDescent="0.3">
      <c r="A2473" s="43"/>
      <c r="B2473" s="62">
        <v>6001</v>
      </c>
      <c r="C2473" s="44" t="s">
        <v>576</v>
      </c>
      <c r="D2473" s="45"/>
      <c r="E2473" s="46" t="s">
        <v>1953</v>
      </c>
      <c r="F2473" s="63"/>
      <c r="G2473" s="60"/>
      <c r="H2473" s="48"/>
    </row>
    <row r="2474" spans="1:8" x14ac:dyDescent="0.3">
      <c r="A2474" s="40"/>
      <c r="B2474" s="64" t="s">
        <v>0</v>
      </c>
      <c r="C2474" s="49" t="s">
        <v>1</v>
      </c>
      <c r="D2474" s="50" t="s">
        <v>2</v>
      </c>
      <c r="E2474" s="51" t="s">
        <v>3</v>
      </c>
      <c r="F2474" s="65" t="s">
        <v>4</v>
      </c>
      <c r="G2474" s="51" t="s">
        <v>5</v>
      </c>
      <c r="H2474" s="52" t="s">
        <v>6</v>
      </c>
    </row>
    <row r="2475" spans="1:8" ht="72" x14ac:dyDescent="0.3">
      <c r="A2475" s="40">
        <v>1</v>
      </c>
      <c r="B2475" s="64" t="s">
        <v>1413</v>
      </c>
      <c r="C2475" s="40">
        <v>1</v>
      </c>
      <c r="D2475" s="54">
        <v>1225</v>
      </c>
      <c r="E2475" s="40">
        <v>450</v>
      </c>
      <c r="F2475" s="68">
        <f>C2475*D2475*E2475</f>
        <v>551250</v>
      </c>
      <c r="G2475" s="55">
        <v>0.2</v>
      </c>
      <c r="H2475" s="42">
        <f>F2475*(1-G2475)</f>
        <v>441000</v>
      </c>
    </row>
    <row r="2476" spans="1:8" ht="28.8" x14ac:dyDescent="0.3">
      <c r="A2476" s="40">
        <v>2</v>
      </c>
      <c r="B2476" s="64" t="s">
        <v>648</v>
      </c>
      <c r="C2476" s="40">
        <v>1</v>
      </c>
      <c r="D2476" s="54">
        <f>115*4</f>
        <v>460</v>
      </c>
      <c r="E2476" s="40">
        <v>30</v>
      </c>
      <c r="F2476" s="68">
        <f>C2476*D2476*E2476</f>
        <v>13800</v>
      </c>
      <c r="G2476" s="55">
        <v>0.6</v>
      </c>
      <c r="H2476" s="42">
        <f>F2476*(1-G2476)</f>
        <v>5520</v>
      </c>
    </row>
    <row r="2477" spans="1:8" x14ac:dyDescent="0.3">
      <c r="A2477" s="40"/>
      <c r="B2477" s="70" t="s">
        <v>7</v>
      </c>
      <c r="C2477" s="40"/>
      <c r="D2477" s="54"/>
      <c r="E2477" s="40"/>
      <c r="F2477" s="68"/>
      <c r="G2477" s="55"/>
      <c r="H2477" s="58">
        <f>SUM(H2475:H2476)</f>
        <v>446520</v>
      </c>
    </row>
    <row r="2478" spans="1:8" x14ac:dyDescent="0.3">
      <c r="A2478" s="40">
        <v>3</v>
      </c>
      <c r="B2478" s="70" t="s">
        <v>8</v>
      </c>
      <c r="C2478" s="40">
        <v>1</v>
      </c>
      <c r="D2478" s="54">
        <v>13317</v>
      </c>
      <c r="E2478" s="40">
        <v>5</v>
      </c>
      <c r="F2478" s="68">
        <f>(10000*E2478)+(3317*E2478*0.75)</f>
        <v>62438.75</v>
      </c>
      <c r="G2478" s="55">
        <v>0</v>
      </c>
      <c r="H2478" s="58">
        <f>(1-G2478)*F2478</f>
        <v>62438.75</v>
      </c>
    </row>
    <row r="2479" spans="1:8" x14ac:dyDescent="0.3">
      <c r="A2479" s="51"/>
      <c r="B2479" s="70" t="s">
        <v>9</v>
      </c>
      <c r="C2479" s="39"/>
      <c r="D2479" s="59"/>
      <c r="E2479" s="39"/>
      <c r="F2479" s="71"/>
      <c r="G2479" s="39"/>
      <c r="H2479" s="58">
        <f>H2477+H2478</f>
        <v>508958.75</v>
      </c>
    </row>
    <row r="2480" spans="1:8" x14ac:dyDescent="0.3">
      <c r="A2480" s="43"/>
      <c r="B2480" s="181">
        <v>6002</v>
      </c>
      <c r="C2480" s="44" t="s">
        <v>1188</v>
      </c>
      <c r="D2480" s="73"/>
      <c r="E2480" s="44"/>
      <c r="F2480" s="60" t="s">
        <v>1189</v>
      </c>
      <c r="G2480" s="60"/>
      <c r="H2480" s="48"/>
    </row>
    <row r="2481" spans="1:8" x14ac:dyDescent="0.3">
      <c r="A2481" s="40"/>
      <c r="B2481" s="49" t="s">
        <v>10</v>
      </c>
      <c r="C2481" s="49" t="s">
        <v>1</v>
      </c>
      <c r="D2481" s="50" t="s">
        <v>2</v>
      </c>
      <c r="E2481" s="51" t="s">
        <v>3</v>
      </c>
      <c r="F2481" s="51" t="s">
        <v>4</v>
      </c>
      <c r="G2481" s="51" t="s">
        <v>5</v>
      </c>
      <c r="H2481" s="52" t="s">
        <v>6</v>
      </c>
    </row>
    <row r="2482" spans="1:8" ht="100.8" x14ac:dyDescent="0.3">
      <c r="A2482" s="53">
        <v>1</v>
      </c>
      <c r="B2482" s="53" t="s">
        <v>1879</v>
      </c>
      <c r="C2482" s="40">
        <v>1</v>
      </c>
      <c r="D2482" s="91">
        <v>56.25</v>
      </c>
      <c r="E2482" s="40">
        <v>100</v>
      </c>
      <c r="F2482" s="40">
        <f>C2482*D2482*E2482</f>
        <v>5625</v>
      </c>
      <c r="G2482" s="55">
        <v>0.4</v>
      </c>
      <c r="H2482" s="42">
        <f>F2482*(1-G2482)</f>
        <v>3375</v>
      </c>
    </row>
    <row r="2483" spans="1:8" x14ac:dyDescent="0.3">
      <c r="A2483" s="53"/>
      <c r="B2483" s="57" t="s">
        <v>7</v>
      </c>
      <c r="C2483" s="40"/>
      <c r="D2483" s="54"/>
      <c r="E2483" s="40"/>
      <c r="F2483" s="40"/>
      <c r="G2483" s="55"/>
      <c r="H2483" s="58">
        <f>SUM(H2482:H2482)</f>
        <v>3375</v>
      </c>
    </row>
    <row r="2484" spans="1:8" x14ac:dyDescent="0.3">
      <c r="A2484" s="53">
        <v>2</v>
      </c>
      <c r="B2484" s="57" t="s">
        <v>8</v>
      </c>
      <c r="C2484" s="40">
        <v>1</v>
      </c>
      <c r="D2484" s="54">
        <v>13317</v>
      </c>
      <c r="E2484" s="40">
        <v>5</v>
      </c>
      <c r="F2484" s="40">
        <f>10000*5+3317*3.75</f>
        <v>62438.75</v>
      </c>
      <c r="G2484" s="55">
        <v>0</v>
      </c>
      <c r="H2484" s="42">
        <f>F2484*(1-G2484)</f>
        <v>62438.75</v>
      </c>
    </row>
    <row r="2485" spans="1:8" x14ac:dyDescent="0.3">
      <c r="A2485" s="53"/>
      <c r="B2485" s="57" t="s">
        <v>9</v>
      </c>
      <c r="C2485" s="39"/>
      <c r="D2485" s="59"/>
      <c r="E2485" s="39"/>
      <c r="F2485" s="39"/>
      <c r="G2485" s="39"/>
      <c r="H2485" s="58">
        <f>H2483+H2484</f>
        <v>65813.75</v>
      </c>
    </row>
    <row r="2486" spans="1:8" x14ac:dyDescent="0.3">
      <c r="A2486" s="60"/>
      <c r="B2486" s="95">
        <v>6003</v>
      </c>
      <c r="C2486" s="47" t="s">
        <v>460</v>
      </c>
      <c r="D2486" s="156"/>
      <c r="E2486" s="47" t="s">
        <v>933</v>
      </c>
      <c r="F2486" s="47"/>
      <c r="G2486" s="60"/>
      <c r="H2486" s="48"/>
    </row>
    <row r="2487" spans="1:8" x14ac:dyDescent="0.3">
      <c r="A2487" s="40"/>
      <c r="B2487" s="151" t="s">
        <v>10</v>
      </c>
      <c r="C2487" s="173" t="s">
        <v>1</v>
      </c>
      <c r="D2487" s="174" t="s">
        <v>2</v>
      </c>
      <c r="E2487" s="151" t="s">
        <v>3</v>
      </c>
      <c r="F2487" s="151" t="s">
        <v>4</v>
      </c>
      <c r="G2487" s="151" t="s">
        <v>5</v>
      </c>
      <c r="H2487" s="175" t="s">
        <v>6</v>
      </c>
    </row>
    <row r="2488" spans="1:8" ht="100.8" x14ac:dyDescent="0.3">
      <c r="A2488" s="40">
        <v>1</v>
      </c>
      <c r="B2488" s="53" t="s">
        <v>934</v>
      </c>
      <c r="C2488" s="40">
        <v>1</v>
      </c>
      <c r="D2488" s="41">
        <v>1300.8399999999999</v>
      </c>
      <c r="E2488" s="40">
        <v>250</v>
      </c>
      <c r="F2488" s="40">
        <f>C2488*D2488*E2488</f>
        <v>325210</v>
      </c>
      <c r="G2488" s="55">
        <v>0.6</v>
      </c>
      <c r="H2488" s="42">
        <f>(1-G2488)*F2488</f>
        <v>130084</v>
      </c>
    </row>
    <row r="2489" spans="1:8" ht="28.8" x14ac:dyDescent="0.3">
      <c r="A2489" s="40">
        <v>2</v>
      </c>
      <c r="B2489" s="53" t="s">
        <v>935</v>
      </c>
      <c r="C2489" s="40">
        <v>1</v>
      </c>
      <c r="D2489" s="54">
        <v>356</v>
      </c>
      <c r="E2489" s="113">
        <f>0.5*13</f>
        <v>6.5</v>
      </c>
      <c r="F2489" s="40">
        <f>C2489*D2489*E2489</f>
        <v>2314</v>
      </c>
      <c r="G2489" s="74">
        <v>0.5</v>
      </c>
      <c r="H2489" s="42">
        <f>F2489*(1-G2489)</f>
        <v>1157</v>
      </c>
    </row>
    <row r="2490" spans="1:8" x14ac:dyDescent="0.3">
      <c r="A2490" s="40"/>
      <c r="B2490" s="40" t="s">
        <v>11</v>
      </c>
      <c r="C2490" s="57"/>
      <c r="D2490" s="105"/>
      <c r="E2490" s="39"/>
      <c r="F2490" s="39"/>
      <c r="G2490" s="39"/>
      <c r="H2490" s="58">
        <f>H2488+H2489</f>
        <v>131241</v>
      </c>
    </row>
    <row r="2491" spans="1:8" x14ac:dyDescent="0.3">
      <c r="A2491" s="40">
        <v>3</v>
      </c>
      <c r="B2491" s="40" t="s">
        <v>8</v>
      </c>
      <c r="C2491" s="40">
        <v>1</v>
      </c>
      <c r="D2491" s="146">
        <v>31627</v>
      </c>
      <c r="E2491" s="40">
        <v>5</v>
      </c>
      <c r="F2491" s="169">
        <f>(10000*5)+(10000*3.75)+(10000*2.5)+(1627*1.25)</f>
        <v>114533.75</v>
      </c>
      <c r="G2491" s="55">
        <v>0</v>
      </c>
      <c r="H2491" s="42">
        <f>(1-G2491)*F2491</f>
        <v>114533.75</v>
      </c>
    </row>
    <row r="2492" spans="1:8" x14ac:dyDescent="0.3">
      <c r="A2492" s="40"/>
      <c r="B2492" s="39" t="s">
        <v>9</v>
      </c>
      <c r="C2492" s="39"/>
      <c r="D2492" s="105"/>
      <c r="E2492" s="39"/>
      <c r="F2492" s="170"/>
      <c r="G2492" s="39"/>
      <c r="H2492" s="58">
        <f>H2490+H2491</f>
        <v>245774.75</v>
      </c>
    </row>
    <row r="2493" spans="1:8" x14ac:dyDescent="0.3">
      <c r="A2493" s="51"/>
      <c r="B2493" s="70"/>
      <c r="C2493" s="39"/>
      <c r="D2493" s="59"/>
      <c r="E2493" s="39"/>
      <c r="F2493" s="71"/>
      <c r="G2493" s="39"/>
      <c r="H2493" s="58"/>
    </row>
    <row r="2494" spans="1:8" x14ac:dyDescent="0.3">
      <c r="A2494" s="43"/>
      <c r="B2494" s="181">
        <v>6004</v>
      </c>
      <c r="C2494" s="44" t="s">
        <v>1190</v>
      </c>
      <c r="D2494" s="73"/>
      <c r="E2494" s="47" t="s">
        <v>1191</v>
      </c>
      <c r="F2494" s="47"/>
      <c r="G2494" s="60"/>
      <c r="H2494" s="48"/>
    </row>
    <row r="2495" spans="1:8" x14ac:dyDescent="0.3">
      <c r="A2495" s="40"/>
      <c r="B2495" s="49" t="s">
        <v>10</v>
      </c>
      <c r="C2495" s="49" t="s">
        <v>1</v>
      </c>
      <c r="D2495" s="50" t="s">
        <v>2</v>
      </c>
      <c r="E2495" s="51" t="s">
        <v>3</v>
      </c>
      <c r="F2495" s="51" t="s">
        <v>4</v>
      </c>
      <c r="G2495" s="51" t="s">
        <v>5</v>
      </c>
      <c r="H2495" s="52" t="s">
        <v>6</v>
      </c>
    </row>
    <row r="2496" spans="1:8" ht="100.8" x14ac:dyDescent="0.3">
      <c r="A2496" s="53">
        <v>1</v>
      </c>
      <c r="B2496" s="53" t="s">
        <v>1668</v>
      </c>
      <c r="C2496" s="40">
        <v>1</v>
      </c>
      <c r="D2496" s="91">
        <v>55.75</v>
      </c>
      <c r="E2496" s="40">
        <v>600</v>
      </c>
      <c r="F2496" s="40">
        <f>C2496*D2496*E2496</f>
        <v>33450</v>
      </c>
      <c r="G2496" s="55">
        <v>0.5</v>
      </c>
      <c r="H2496" s="42">
        <f>F2496*(1-G2496)</f>
        <v>16725</v>
      </c>
    </row>
    <row r="2497" spans="1:8" ht="86.4" x14ac:dyDescent="0.3">
      <c r="A2497" s="53">
        <v>2</v>
      </c>
      <c r="B2497" s="53" t="s">
        <v>1192</v>
      </c>
      <c r="C2497" s="40">
        <v>1</v>
      </c>
      <c r="D2497" s="91">
        <v>2.1</v>
      </c>
      <c r="E2497" s="40">
        <v>100</v>
      </c>
      <c r="F2497" s="40">
        <f>C2497*D2497*E2497</f>
        <v>210</v>
      </c>
      <c r="G2497" s="55">
        <v>0.4</v>
      </c>
      <c r="H2497" s="42">
        <f>F2497*(1-G2497)</f>
        <v>126</v>
      </c>
    </row>
    <row r="2498" spans="1:8" ht="72" x14ac:dyDescent="0.3">
      <c r="A2498" s="53">
        <v>3</v>
      </c>
      <c r="B2498" s="53" t="s">
        <v>1193</v>
      </c>
      <c r="C2498" s="40">
        <v>1</v>
      </c>
      <c r="D2498" s="91">
        <v>33.799999999999997</v>
      </c>
      <c r="E2498" s="40">
        <v>100</v>
      </c>
      <c r="F2498" s="40">
        <f>C2498*D2498*E2498</f>
        <v>3379.9999999999995</v>
      </c>
      <c r="G2498" s="55">
        <v>0.5</v>
      </c>
      <c r="H2498" s="42">
        <f>F2498*(1-G2498)</f>
        <v>1689.9999999999998</v>
      </c>
    </row>
    <row r="2499" spans="1:8" ht="28.8" x14ac:dyDescent="0.3">
      <c r="A2499" s="53">
        <v>4</v>
      </c>
      <c r="B2499" s="53" t="s">
        <v>1481</v>
      </c>
      <c r="C2499" s="40">
        <v>1</v>
      </c>
      <c r="D2499" s="91">
        <v>120.42</v>
      </c>
      <c r="E2499" s="40">
        <v>45</v>
      </c>
      <c r="F2499" s="40">
        <f>C2499*D2499*E2499</f>
        <v>5418.9</v>
      </c>
      <c r="G2499" s="55">
        <v>0.5</v>
      </c>
      <c r="H2499" s="42">
        <f>F2499*(1-G2499)</f>
        <v>2709.45</v>
      </c>
    </row>
    <row r="2500" spans="1:8" x14ac:dyDescent="0.3">
      <c r="A2500" s="53"/>
      <c r="B2500" s="57" t="s">
        <v>7</v>
      </c>
      <c r="C2500" s="40"/>
      <c r="D2500" s="54"/>
      <c r="E2500" s="40"/>
      <c r="F2500" s="40"/>
      <c r="G2500" s="55"/>
      <c r="H2500" s="58">
        <f>SUM(H2496:H2499)</f>
        <v>21250.45</v>
      </c>
    </row>
    <row r="2501" spans="1:8" x14ac:dyDescent="0.3">
      <c r="A2501" s="53">
        <v>5</v>
      </c>
      <c r="B2501" s="57" t="s">
        <v>8</v>
      </c>
      <c r="C2501" s="40">
        <v>1</v>
      </c>
      <c r="D2501" s="54">
        <v>14500</v>
      </c>
      <c r="E2501" s="40">
        <v>5</v>
      </c>
      <c r="F2501" s="40">
        <f>10000*5+4500*0.75*E2501</f>
        <v>66875</v>
      </c>
      <c r="G2501" s="55">
        <v>0</v>
      </c>
      <c r="H2501" s="58">
        <f>(1-G2501)*F2501</f>
        <v>66875</v>
      </c>
    </row>
    <row r="2502" spans="1:8" x14ac:dyDescent="0.3">
      <c r="A2502" s="53"/>
      <c r="B2502" s="57" t="s">
        <v>9</v>
      </c>
      <c r="C2502" s="39"/>
      <c r="D2502" s="59"/>
      <c r="E2502" s="39"/>
      <c r="F2502" s="39"/>
      <c r="G2502" s="39"/>
      <c r="H2502" s="58">
        <f>H2500+H2501</f>
        <v>88125.45</v>
      </c>
    </row>
    <row r="2503" spans="1:8" x14ac:dyDescent="0.3">
      <c r="A2503" s="142"/>
      <c r="B2503" s="187">
        <v>6005</v>
      </c>
      <c r="C2503" s="140" t="s">
        <v>1194</v>
      </c>
      <c r="D2503" s="141"/>
      <c r="E2503" s="140" t="s">
        <v>1195</v>
      </c>
      <c r="F2503" s="140"/>
      <c r="G2503" s="142"/>
      <c r="H2503" s="143"/>
    </row>
    <row r="2504" spans="1:8" x14ac:dyDescent="0.3">
      <c r="A2504" s="40"/>
      <c r="B2504" s="49" t="s">
        <v>10</v>
      </c>
      <c r="C2504" s="49" t="s">
        <v>1</v>
      </c>
      <c r="D2504" s="50" t="s">
        <v>2</v>
      </c>
      <c r="E2504" s="51" t="s">
        <v>3</v>
      </c>
      <c r="F2504" s="51" t="s">
        <v>4</v>
      </c>
      <c r="G2504" s="51" t="s">
        <v>5</v>
      </c>
      <c r="H2504" s="52" t="s">
        <v>6</v>
      </c>
    </row>
    <row r="2505" spans="1:8" ht="115.2" x14ac:dyDescent="0.3">
      <c r="A2505" s="53">
        <v>1</v>
      </c>
      <c r="B2505" s="53" t="s">
        <v>1880</v>
      </c>
      <c r="C2505" s="40">
        <v>1</v>
      </c>
      <c r="D2505" s="91">
        <v>126.95</v>
      </c>
      <c r="E2505" s="40">
        <v>400</v>
      </c>
      <c r="F2505" s="40">
        <f>C2505*D2505*E2505</f>
        <v>50780</v>
      </c>
      <c r="G2505" s="55">
        <v>0.5</v>
      </c>
      <c r="H2505" s="42">
        <f>F2505*(1-G2505)</f>
        <v>25390</v>
      </c>
    </row>
    <row r="2506" spans="1:8" ht="86.4" x14ac:dyDescent="0.3">
      <c r="A2506" s="53">
        <v>2</v>
      </c>
      <c r="B2506" s="53" t="s">
        <v>1196</v>
      </c>
      <c r="C2506" s="40">
        <v>1</v>
      </c>
      <c r="D2506" s="91">
        <v>243.2</v>
      </c>
      <c r="E2506" s="40">
        <v>300</v>
      </c>
      <c r="F2506" s="40">
        <f>C2506*D2506*E2506</f>
        <v>72960</v>
      </c>
      <c r="G2506" s="55">
        <v>0.5</v>
      </c>
      <c r="H2506" s="42">
        <f>F2506*(1-G2506)</f>
        <v>36480</v>
      </c>
    </row>
    <row r="2507" spans="1:8" ht="72" x14ac:dyDescent="0.3">
      <c r="A2507" s="53">
        <v>3</v>
      </c>
      <c r="B2507" s="53" t="s">
        <v>1193</v>
      </c>
      <c r="C2507" s="40">
        <v>1</v>
      </c>
      <c r="D2507" s="91">
        <v>6.25</v>
      </c>
      <c r="E2507" s="40">
        <v>100</v>
      </c>
      <c r="F2507" s="40">
        <v>150</v>
      </c>
      <c r="G2507" s="55">
        <v>0.4</v>
      </c>
      <c r="H2507" s="42">
        <f>F2507*(1-G2507)</f>
        <v>90</v>
      </c>
    </row>
    <row r="2508" spans="1:8" ht="86.4" x14ac:dyDescent="0.3">
      <c r="A2508" s="53">
        <v>4</v>
      </c>
      <c r="B2508" s="53" t="s">
        <v>1197</v>
      </c>
      <c r="C2508" s="40">
        <v>1</v>
      </c>
      <c r="D2508" s="91">
        <v>39.6</v>
      </c>
      <c r="E2508" s="40">
        <v>100</v>
      </c>
      <c r="F2508" s="40">
        <v>200</v>
      </c>
      <c r="G2508" s="55">
        <v>0.5</v>
      </c>
      <c r="H2508" s="42">
        <f>F2508*(1-G2508)</f>
        <v>100</v>
      </c>
    </row>
    <row r="2509" spans="1:8" ht="28.8" x14ac:dyDescent="0.3">
      <c r="A2509" s="53">
        <v>5</v>
      </c>
      <c r="B2509" s="53" t="s">
        <v>1482</v>
      </c>
      <c r="C2509" s="40">
        <v>1</v>
      </c>
      <c r="D2509" s="91">
        <v>400</v>
      </c>
      <c r="E2509" s="40">
        <v>45</v>
      </c>
      <c r="F2509" s="40">
        <f>C2509*D2509*E2509*0.5</f>
        <v>9000</v>
      </c>
      <c r="G2509" s="55">
        <v>0.5</v>
      </c>
      <c r="H2509" s="42">
        <f>F2509*(1-G2509)</f>
        <v>4500</v>
      </c>
    </row>
    <row r="2510" spans="1:8" x14ac:dyDescent="0.3">
      <c r="A2510" s="53"/>
      <c r="B2510" s="57" t="s">
        <v>7</v>
      </c>
      <c r="C2510" s="40"/>
      <c r="D2510" s="54"/>
      <c r="E2510" s="40"/>
      <c r="F2510" s="40"/>
      <c r="G2510" s="55"/>
      <c r="H2510" s="58">
        <f>SUM(H2505:H2509)</f>
        <v>66560</v>
      </c>
    </row>
    <row r="2511" spans="1:8" x14ac:dyDescent="0.3">
      <c r="A2511" s="53">
        <v>6</v>
      </c>
      <c r="B2511" s="57" t="s">
        <v>8</v>
      </c>
      <c r="C2511" s="40">
        <v>1</v>
      </c>
      <c r="D2511" s="54">
        <v>10000</v>
      </c>
      <c r="E2511" s="40">
        <v>5</v>
      </c>
      <c r="F2511" s="40">
        <f>C2511*D2511*E2511</f>
        <v>50000</v>
      </c>
      <c r="G2511" s="55">
        <v>0</v>
      </c>
      <c r="H2511" s="58">
        <f>(1-G2511)*F2511</f>
        <v>50000</v>
      </c>
    </row>
    <row r="2512" spans="1:8" x14ac:dyDescent="0.3">
      <c r="A2512" s="53"/>
      <c r="B2512" s="57" t="s">
        <v>9</v>
      </c>
      <c r="C2512" s="39"/>
      <c r="D2512" s="59"/>
      <c r="E2512" s="39"/>
      <c r="F2512" s="39"/>
      <c r="G2512" s="39"/>
      <c r="H2512" s="58">
        <f>H2510+H2511</f>
        <v>116560</v>
      </c>
    </row>
    <row r="2513" spans="1:8" x14ac:dyDescent="0.3">
      <c r="A2513" s="43"/>
      <c r="B2513" s="181">
        <v>6006</v>
      </c>
      <c r="C2513" s="44" t="s">
        <v>1198</v>
      </c>
      <c r="D2513" s="73"/>
      <c r="E2513" s="44"/>
      <c r="F2513" s="47" t="s">
        <v>1199</v>
      </c>
      <c r="G2513" s="60"/>
      <c r="H2513" s="48"/>
    </row>
    <row r="2514" spans="1:8" x14ac:dyDescent="0.3">
      <c r="A2514" s="40"/>
      <c r="B2514" s="49" t="s">
        <v>10</v>
      </c>
      <c r="C2514" s="49" t="s">
        <v>1</v>
      </c>
      <c r="D2514" s="50" t="s">
        <v>2</v>
      </c>
      <c r="E2514" s="51" t="s">
        <v>3</v>
      </c>
      <c r="F2514" s="51" t="s">
        <v>4</v>
      </c>
      <c r="G2514" s="51" t="s">
        <v>5</v>
      </c>
      <c r="H2514" s="52" t="s">
        <v>6</v>
      </c>
    </row>
    <row r="2515" spans="1:8" x14ac:dyDescent="0.3">
      <c r="A2515" s="40"/>
      <c r="B2515" s="49" t="s">
        <v>1167</v>
      </c>
      <c r="C2515" s="49"/>
      <c r="D2515" s="50"/>
      <c r="E2515" s="51"/>
      <c r="F2515" s="51"/>
      <c r="G2515" s="51"/>
      <c r="H2515" s="52"/>
    </row>
    <row r="2516" spans="1:8" x14ac:dyDescent="0.3">
      <c r="A2516" s="53">
        <v>1</v>
      </c>
      <c r="B2516" s="57" t="s">
        <v>8</v>
      </c>
      <c r="C2516" s="40">
        <v>1</v>
      </c>
      <c r="D2516" s="54">
        <v>10000</v>
      </c>
      <c r="E2516" s="40">
        <v>5</v>
      </c>
      <c r="F2516" s="40">
        <f>C2516*D2516*E2516</f>
        <v>50000</v>
      </c>
      <c r="G2516" s="55">
        <v>0</v>
      </c>
      <c r="H2516" s="58">
        <f>(1-G2516)*F2516</f>
        <v>50000</v>
      </c>
    </row>
    <row r="2517" spans="1:8" x14ac:dyDescent="0.3">
      <c r="A2517" s="53"/>
      <c r="B2517" s="57" t="s">
        <v>9</v>
      </c>
      <c r="C2517" s="39"/>
      <c r="D2517" s="59"/>
      <c r="E2517" s="39"/>
      <c r="F2517" s="39"/>
      <c r="G2517" s="39"/>
      <c r="H2517" s="58">
        <f>H2516</f>
        <v>50000</v>
      </c>
    </row>
    <row r="2518" spans="1:8" x14ac:dyDescent="0.3">
      <c r="A2518" s="53"/>
      <c r="B2518" s="57"/>
      <c r="C2518" s="39"/>
      <c r="D2518" s="59"/>
      <c r="E2518" s="39"/>
      <c r="F2518" s="39"/>
      <c r="G2518" s="39"/>
      <c r="H2518" s="58"/>
    </row>
    <row r="2519" spans="1:8" x14ac:dyDescent="0.3">
      <c r="A2519" s="43"/>
      <c r="B2519" s="181">
        <v>6007</v>
      </c>
      <c r="C2519" s="44" t="s">
        <v>1200</v>
      </c>
      <c r="D2519" s="73"/>
      <c r="E2519" s="44"/>
      <c r="F2519" s="47" t="s">
        <v>1954</v>
      </c>
      <c r="G2519" s="60"/>
      <c r="H2519" s="48"/>
    </row>
    <row r="2520" spans="1:8" x14ac:dyDescent="0.3">
      <c r="A2520" s="40"/>
      <c r="B2520" s="49" t="s">
        <v>10</v>
      </c>
      <c r="C2520" s="49" t="s">
        <v>1</v>
      </c>
      <c r="D2520" s="50" t="s">
        <v>2</v>
      </c>
      <c r="E2520" s="51" t="s">
        <v>3</v>
      </c>
      <c r="F2520" s="51" t="s">
        <v>4</v>
      </c>
      <c r="G2520" s="51" t="s">
        <v>5</v>
      </c>
      <c r="H2520" s="52" t="s">
        <v>6</v>
      </c>
    </row>
    <row r="2521" spans="1:8" x14ac:dyDescent="0.3">
      <c r="A2521" s="40"/>
      <c r="B2521" s="49" t="s">
        <v>1167</v>
      </c>
      <c r="C2521" s="49"/>
      <c r="D2521" s="50"/>
      <c r="E2521" s="51"/>
      <c r="F2521" s="51"/>
      <c r="G2521" s="51"/>
      <c r="H2521" s="52"/>
    </row>
    <row r="2522" spans="1:8" x14ac:dyDescent="0.3">
      <c r="A2522" s="53">
        <v>1</v>
      </c>
      <c r="B2522" s="57" t="s">
        <v>8</v>
      </c>
      <c r="C2522" s="40">
        <v>1</v>
      </c>
      <c r="D2522" s="54">
        <v>2037</v>
      </c>
      <c r="E2522" s="40">
        <v>5</v>
      </c>
      <c r="F2522" s="40">
        <f>C2522*D2522*E2522</f>
        <v>10185</v>
      </c>
      <c r="G2522" s="55">
        <v>0</v>
      </c>
      <c r="H2522" s="58">
        <f>(1-G2522)*F2522</f>
        <v>10185</v>
      </c>
    </row>
    <row r="2523" spans="1:8" x14ac:dyDescent="0.3">
      <c r="A2523" s="53"/>
      <c r="B2523" s="57" t="s">
        <v>9</v>
      </c>
      <c r="C2523" s="39"/>
      <c r="D2523" s="59"/>
      <c r="E2523" s="39"/>
      <c r="F2523" s="39"/>
      <c r="G2523" s="39"/>
      <c r="H2523" s="58">
        <f>H2522</f>
        <v>10185</v>
      </c>
    </row>
    <row r="2524" spans="1:8" s="31" customFormat="1" x14ac:dyDescent="0.3">
      <c r="A2524" s="53"/>
      <c r="B2524" s="57"/>
      <c r="C2524" s="39"/>
      <c r="D2524" s="59"/>
      <c r="E2524" s="39"/>
      <c r="F2524" s="39"/>
      <c r="G2524" s="39"/>
      <c r="H2524" s="58"/>
    </row>
    <row r="2525" spans="1:8" x14ac:dyDescent="0.3">
      <c r="A2525" s="43"/>
      <c r="B2525" s="181">
        <v>6008</v>
      </c>
      <c r="C2525" s="44" t="s">
        <v>1201</v>
      </c>
      <c r="D2525" s="73"/>
      <c r="E2525" s="44"/>
      <c r="F2525" s="47" t="s">
        <v>1202</v>
      </c>
      <c r="G2525" s="60"/>
      <c r="H2525" s="48"/>
    </row>
    <row r="2526" spans="1:8" x14ac:dyDescent="0.3">
      <c r="A2526" s="40"/>
      <c r="B2526" s="49" t="s">
        <v>10</v>
      </c>
      <c r="C2526" s="49" t="s">
        <v>1</v>
      </c>
      <c r="D2526" s="50" t="s">
        <v>2</v>
      </c>
      <c r="E2526" s="51" t="s">
        <v>3</v>
      </c>
      <c r="F2526" s="51" t="s">
        <v>4</v>
      </c>
      <c r="G2526" s="51" t="s">
        <v>5</v>
      </c>
      <c r="H2526" s="52" t="s">
        <v>6</v>
      </c>
    </row>
    <row r="2527" spans="1:8" ht="100.8" x14ac:dyDescent="0.3">
      <c r="A2527" s="53">
        <v>1</v>
      </c>
      <c r="B2527" s="53" t="s">
        <v>1881</v>
      </c>
      <c r="C2527" s="40">
        <v>1</v>
      </c>
      <c r="D2527" s="91">
        <v>594</v>
      </c>
      <c r="E2527" s="40">
        <v>300</v>
      </c>
      <c r="F2527" s="40">
        <f>C2527*D2527*E2527</f>
        <v>178200</v>
      </c>
      <c r="G2527" s="55">
        <v>0.3</v>
      </c>
      <c r="H2527" s="42">
        <f>F2527*(1-G2527)</f>
        <v>124739.99999999999</v>
      </c>
    </row>
    <row r="2528" spans="1:8" ht="115.2" x14ac:dyDescent="0.3">
      <c r="A2528" s="53">
        <v>2</v>
      </c>
      <c r="B2528" s="53" t="s">
        <v>1882</v>
      </c>
      <c r="C2528" s="40">
        <v>1</v>
      </c>
      <c r="D2528" s="91">
        <v>132.30000000000001</v>
      </c>
      <c r="E2528" s="40">
        <v>350</v>
      </c>
      <c r="F2528" s="40">
        <f>C2528*D2528*E2528</f>
        <v>46305.000000000007</v>
      </c>
      <c r="G2528" s="55">
        <v>0.3</v>
      </c>
      <c r="H2528" s="42">
        <f>F2528*(1-G2528)</f>
        <v>32413.500000000004</v>
      </c>
    </row>
    <row r="2529" spans="1:8" ht="129.6" x14ac:dyDescent="0.3">
      <c r="A2529" s="53">
        <v>3</v>
      </c>
      <c r="B2529" s="53" t="s">
        <v>1883</v>
      </c>
      <c r="C2529" s="40">
        <v>1</v>
      </c>
      <c r="D2529" s="91">
        <v>165.75</v>
      </c>
      <c r="E2529" s="40">
        <v>450</v>
      </c>
      <c r="F2529" s="40">
        <f>C2529*D2529*E2529</f>
        <v>74587.5</v>
      </c>
      <c r="G2529" s="55">
        <v>0.4</v>
      </c>
      <c r="H2529" s="42">
        <f>F2529*(1-G2529)</f>
        <v>44752.5</v>
      </c>
    </row>
    <row r="2530" spans="1:8" ht="86.4" x14ac:dyDescent="0.3">
      <c r="A2530" s="53">
        <v>4</v>
      </c>
      <c r="B2530" s="53" t="s">
        <v>1203</v>
      </c>
      <c r="C2530" s="40">
        <v>1</v>
      </c>
      <c r="D2530" s="91">
        <v>57.2</v>
      </c>
      <c r="E2530" s="40">
        <v>200</v>
      </c>
      <c r="F2530" s="40">
        <f>C2530*D2530*E2530</f>
        <v>11440</v>
      </c>
      <c r="G2530" s="55">
        <v>0.4</v>
      </c>
      <c r="H2530" s="42">
        <f>F2530*(1-G2530)</f>
        <v>6864</v>
      </c>
    </row>
    <row r="2531" spans="1:8" ht="28.8" x14ac:dyDescent="0.3">
      <c r="A2531" s="53">
        <v>5</v>
      </c>
      <c r="B2531" s="53" t="s">
        <v>1483</v>
      </c>
      <c r="C2531" s="40">
        <v>1</v>
      </c>
      <c r="D2531" s="91">
        <v>400</v>
      </c>
      <c r="E2531" s="40">
        <v>45</v>
      </c>
      <c r="F2531" s="40">
        <f>C2531*D2531*E2531</f>
        <v>18000</v>
      </c>
      <c r="G2531" s="55">
        <v>0.4</v>
      </c>
      <c r="H2531" s="42">
        <f>F2531*(1-G2531)</f>
        <v>10800</v>
      </c>
    </row>
    <row r="2532" spans="1:8" x14ac:dyDescent="0.3">
      <c r="A2532" s="53"/>
      <c r="B2532" s="57" t="s">
        <v>7</v>
      </c>
      <c r="C2532" s="40"/>
      <c r="D2532" s="54"/>
      <c r="E2532" s="40"/>
      <c r="F2532" s="40"/>
      <c r="G2532" s="55"/>
      <c r="H2532" s="58">
        <f>SUM(H2527:H2531)</f>
        <v>219570</v>
      </c>
    </row>
    <row r="2533" spans="1:8" x14ac:dyDescent="0.3">
      <c r="A2533" s="53">
        <v>6</v>
      </c>
      <c r="B2533" s="57" t="s">
        <v>8</v>
      </c>
      <c r="C2533" s="40">
        <v>1</v>
      </c>
      <c r="D2533" s="54">
        <v>10000</v>
      </c>
      <c r="E2533" s="40">
        <v>5</v>
      </c>
      <c r="F2533" s="40">
        <f>C2533*D2533*E2533</f>
        <v>50000</v>
      </c>
      <c r="G2533" s="55">
        <v>0</v>
      </c>
      <c r="H2533" s="58">
        <f>(1-G2533)*F2533</f>
        <v>50000</v>
      </c>
    </row>
    <row r="2534" spans="1:8" x14ac:dyDescent="0.3">
      <c r="A2534" s="53"/>
      <c r="B2534" s="57" t="s">
        <v>9</v>
      </c>
      <c r="C2534" s="39"/>
      <c r="D2534" s="59"/>
      <c r="E2534" s="39"/>
      <c r="F2534" s="39"/>
      <c r="G2534" s="39"/>
      <c r="H2534" s="58">
        <f>H2532+H2533</f>
        <v>269570</v>
      </c>
    </row>
    <row r="2535" spans="1:8" x14ac:dyDescent="0.3">
      <c r="A2535" s="51"/>
      <c r="B2535" s="70"/>
      <c r="C2535" s="39"/>
      <c r="D2535" s="59"/>
      <c r="E2535" s="39"/>
      <c r="F2535" s="71"/>
      <c r="G2535" s="39"/>
      <c r="H2535" s="58"/>
    </row>
    <row r="2536" spans="1:8" x14ac:dyDescent="0.3">
      <c r="A2536" s="60"/>
      <c r="B2536" s="95">
        <v>6010</v>
      </c>
      <c r="C2536" s="47" t="s">
        <v>1045</v>
      </c>
      <c r="D2536" s="138"/>
      <c r="E2536" s="47" t="s">
        <v>1955</v>
      </c>
      <c r="F2536" s="60"/>
      <c r="G2536" s="60"/>
      <c r="H2536" s="48"/>
    </row>
    <row r="2537" spans="1:8" x14ac:dyDescent="0.3">
      <c r="A2537" s="40"/>
      <c r="B2537" s="53" t="s">
        <v>10</v>
      </c>
      <c r="C2537" s="53" t="s">
        <v>1</v>
      </c>
      <c r="D2537" s="54" t="s">
        <v>2</v>
      </c>
      <c r="E2537" s="40" t="s">
        <v>3</v>
      </c>
      <c r="F2537" s="40" t="s">
        <v>4</v>
      </c>
      <c r="G2537" s="40" t="s">
        <v>5</v>
      </c>
      <c r="H2537" s="42" t="s">
        <v>6</v>
      </c>
    </row>
    <row r="2538" spans="1:8" x14ac:dyDescent="0.3">
      <c r="A2538" s="53">
        <v>1</v>
      </c>
      <c r="B2538" s="53" t="s">
        <v>15</v>
      </c>
      <c r="C2538" s="40"/>
      <c r="D2538" s="91"/>
      <c r="E2538" s="40"/>
      <c r="F2538" s="40"/>
      <c r="G2538" s="55"/>
      <c r="H2538" s="42"/>
    </row>
    <row r="2539" spans="1:8" x14ac:dyDescent="0.3">
      <c r="A2539" s="53">
        <v>2</v>
      </c>
      <c r="B2539" s="57" t="s">
        <v>8</v>
      </c>
      <c r="C2539" s="40">
        <v>1</v>
      </c>
      <c r="D2539" s="54">
        <v>12500</v>
      </c>
      <c r="E2539" s="40">
        <v>5</v>
      </c>
      <c r="F2539" s="40">
        <f>(10000*5)+(2500*3.75)</f>
        <v>59375</v>
      </c>
      <c r="G2539" s="55">
        <v>0</v>
      </c>
      <c r="H2539" s="58">
        <f>(1-G2539)*F2539</f>
        <v>59375</v>
      </c>
    </row>
    <row r="2540" spans="1:8" x14ac:dyDescent="0.3">
      <c r="A2540" s="53"/>
      <c r="B2540" s="57" t="s">
        <v>9</v>
      </c>
      <c r="C2540" s="39"/>
      <c r="D2540" s="59"/>
      <c r="E2540" s="39"/>
      <c r="F2540" s="39"/>
      <c r="G2540" s="39"/>
      <c r="H2540" s="58">
        <f>H2539</f>
        <v>59375</v>
      </c>
    </row>
    <row r="2541" spans="1:8" x14ac:dyDescent="0.3">
      <c r="A2541" s="53"/>
      <c r="B2541" s="57"/>
      <c r="C2541" s="39"/>
      <c r="D2541" s="59"/>
      <c r="E2541" s="39"/>
      <c r="F2541" s="39"/>
      <c r="G2541" s="39"/>
      <c r="H2541" s="58"/>
    </row>
    <row r="2542" spans="1:8" ht="28.8" x14ac:dyDescent="0.3">
      <c r="A2542" s="60"/>
      <c r="B2542" s="62">
        <v>6012</v>
      </c>
      <c r="C2542" s="86" t="s">
        <v>649</v>
      </c>
      <c r="D2542" s="156"/>
      <c r="E2542" s="44" t="s">
        <v>650</v>
      </c>
      <c r="F2542" s="63"/>
      <c r="G2542" s="60"/>
      <c r="H2542" s="48"/>
    </row>
    <row r="2543" spans="1:8" x14ac:dyDescent="0.3">
      <c r="A2543" s="40"/>
      <c r="B2543" s="64" t="s">
        <v>0</v>
      </c>
      <c r="C2543" s="49" t="s">
        <v>1</v>
      </c>
      <c r="D2543" s="50" t="s">
        <v>2</v>
      </c>
      <c r="E2543" s="51" t="s">
        <v>3</v>
      </c>
      <c r="F2543" s="65" t="s">
        <v>4</v>
      </c>
      <c r="G2543" s="51" t="s">
        <v>5</v>
      </c>
      <c r="H2543" s="52" t="s">
        <v>6</v>
      </c>
    </row>
    <row r="2544" spans="1:8" ht="57.6" x14ac:dyDescent="0.3">
      <c r="A2544" s="40">
        <v>1</v>
      </c>
      <c r="B2544" s="144" t="s">
        <v>1445</v>
      </c>
      <c r="C2544" s="40">
        <v>1</v>
      </c>
      <c r="D2544" s="41">
        <v>26</v>
      </c>
      <c r="E2544" s="40">
        <v>60</v>
      </c>
      <c r="F2544" s="68">
        <f>C2544*D2544*E2544</f>
        <v>1560</v>
      </c>
      <c r="G2544" s="55">
        <v>0.5</v>
      </c>
      <c r="H2544" s="42">
        <f>(1-G2544)*F2544</f>
        <v>780</v>
      </c>
    </row>
    <row r="2545" spans="1:8" ht="57.6" x14ac:dyDescent="0.3">
      <c r="A2545" s="40">
        <v>2</v>
      </c>
      <c r="B2545" s="144" t="s">
        <v>1446</v>
      </c>
      <c r="C2545" s="40">
        <v>1</v>
      </c>
      <c r="D2545" s="41">
        <v>7</v>
      </c>
      <c r="E2545" s="40">
        <v>60</v>
      </c>
      <c r="F2545" s="68">
        <f>C2545*D2545*E2545</f>
        <v>420</v>
      </c>
      <c r="G2545" s="55">
        <v>0.5</v>
      </c>
      <c r="H2545" s="42">
        <f>(1-G2545)*F2545</f>
        <v>210</v>
      </c>
    </row>
    <row r="2546" spans="1:8" x14ac:dyDescent="0.3">
      <c r="A2546" s="53"/>
      <c r="B2546" s="70" t="s">
        <v>7</v>
      </c>
      <c r="C2546" s="40"/>
      <c r="D2546" s="54"/>
      <c r="E2546" s="40"/>
      <c r="F2546" s="68"/>
      <c r="G2546" s="55"/>
      <c r="H2546" s="58">
        <f>SUM(H2544:H2545)</f>
        <v>990</v>
      </c>
    </row>
    <row r="2547" spans="1:8" s="100" customFormat="1" x14ac:dyDescent="0.3">
      <c r="A2547" s="53">
        <v>3</v>
      </c>
      <c r="B2547" s="70" t="s">
        <v>8</v>
      </c>
      <c r="C2547" s="40">
        <v>1</v>
      </c>
      <c r="D2547" s="54">
        <v>21047</v>
      </c>
      <c r="E2547" s="40">
        <v>5</v>
      </c>
      <c r="F2547" s="68">
        <f>(10000*E2547)+(10000*E2547*0.75)+(1047*E2547*0.5)</f>
        <v>90117.5</v>
      </c>
      <c r="G2547" s="55">
        <v>0</v>
      </c>
      <c r="H2547" s="58">
        <f>(1-G2547)*F2547</f>
        <v>90117.5</v>
      </c>
    </row>
    <row r="2548" spans="1:8" s="100" customFormat="1" x14ac:dyDescent="0.3">
      <c r="A2548" s="53"/>
      <c r="B2548" s="70" t="s">
        <v>9</v>
      </c>
      <c r="C2548" s="39"/>
      <c r="D2548" s="59"/>
      <c r="E2548" s="39"/>
      <c r="F2548" s="71"/>
      <c r="G2548" s="39"/>
      <c r="H2548" s="58">
        <f>H2546+H2547</f>
        <v>91107.5</v>
      </c>
    </row>
    <row r="2549" spans="1:8" s="100" customFormat="1" x14ac:dyDescent="0.3">
      <c r="A2549" s="53"/>
      <c r="B2549" s="70"/>
      <c r="C2549" s="39"/>
      <c r="D2549" s="59"/>
      <c r="E2549" s="39"/>
      <c r="F2549" s="71"/>
      <c r="G2549" s="39"/>
      <c r="H2549" s="58"/>
    </row>
    <row r="2550" spans="1:8" s="100" customFormat="1" ht="28.8" x14ac:dyDescent="0.3">
      <c r="A2550" s="60"/>
      <c r="B2550" s="62" t="s">
        <v>651</v>
      </c>
      <c r="C2550" s="86" t="s">
        <v>649</v>
      </c>
      <c r="D2550" s="156"/>
      <c r="E2550" s="44" t="s">
        <v>652</v>
      </c>
      <c r="F2550" s="63"/>
      <c r="G2550" s="60"/>
      <c r="H2550" s="48"/>
    </row>
    <row r="2551" spans="1:8" s="100" customFormat="1" x14ac:dyDescent="0.3">
      <c r="A2551" s="40"/>
      <c r="B2551" s="64" t="s">
        <v>0</v>
      </c>
      <c r="C2551" s="49" t="s">
        <v>1</v>
      </c>
      <c r="D2551" s="50" t="s">
        <v>2</v>
      </c>
      <c r="E2551" s="51" t="s">
        <v>3</v>
      </c>
      <c r="F2551" s="65" t="s">
        <v>4</v>
      </c>
      <c r="G2551" s="51" t="s">
        <v>5</v>
      </c>
      <c r="H2551" s="52" t="s">
        <v>6</v>
      </c>
    </row>
    <row r="2552" spans="1:8" ht="57.6" x14ac:dyDescent="0.3">
      <c r="A2552" s="40">
        <v>1</v>
      </c>
      <c r="B2552" s="144" t="s">
        <v>1884</v>
      </c>
      <c r="C2552" s="40">
        <v>1</v>
      </c>
      <c r="D2552" s="41">
        <v>164</v>
      </c>
      <c r="E2552" s="40">
        <v>250</v>
      </c>
      <c r="F2552" s="68">
        <f t="shared" ref="F2552:F2557" si="157">C2552*D2552*E2552</f>
        <v>41000</v>
      </c>
      <c r="G2552" s="55">
        <v>0.4</v>
      </c>
      <c r="H2552" s="42">
        <f>(1-G2552)*F2552</f>
        <v>24600</v>
      </c>
    </row>
    <row r="2553" spans="1:8" x14ac:dyDescent="0.3">
      <c r="A2553" s="40">
        <v>2</v>
      </c>
      <c r="B2553" s="144" t="s">
        <v>653</v>
      </c>
      <c r="C2553" s="40">
        <v>1</v>
      </c>
      <c r="D2553" s="41">
        <v>252</v>
      </c>
      <c r="E2553" s="40">
        <v>100</v>
      </c>
      <c r="F2553" s="68">
        <f t="shared" si="157"/>
        <v>25200</v>
      </c>
      <c r="G2553" s="55">
        <v>0.75</v>
      </c>
      <c r="H2553" s="42">
        <f>(1-G2553)*F2553</f>
        <v>6300</v>
      </c>
    </row>
    <row r="2554" spans="1:8" ht="57.6" x14ac:dyDescent="0.3">
      <c r="A2554" s="40">
        <v>3</v>
      </c>
      <c r="B2554" s="144" t="s">
        <v>1885</v>
      </c>
      <c r="C2554" s="40">
        <v>1</v>
      </c>
      <c r="D2554" s="41">
        <v>67</v>
      </c>
      <c r="E2554" s="40">
        <v>60</v>
      </c>
      <c r="F2554" s="68">
        <f t="shared" si="157"/>
        <v>4020</v>
      </c>
      <c r="G2554" s="55">
        <v>0.5</v>
      </c>
      <c r="H2554" s="42">
        <f>(1-G2554)*F2554</f>
        <v>2010</v>
      </c>
    </row>
    <row r="2555" spans="1:8" ht="43.2" x14ac:dyDescent="0.3">
      <c r="A2555" s="40">
        <v>3</v>
      </c>
      <c r="B2555" s="144" t="s">
        <v>605</v>
      </c>
      <c r="C2555" s="40">
        <v>1</v>
      </c>
      <c r="D2555" s="41">
        <v>24</v>
      </c>
      <c r="E2555" s="40">
        <v>50</v>
      </c>
      <c r="F2555" s="68">
        <f t="shared" si="157"/>
        <v>1200</v>
      </c>
      <c r="G2555" s="55">
        <v>0.6</v>
      </c>
      <c r="H2555" s="42">
        <f>(1-G2555)*F2555</f>
        <v>480</v>
      </c>
    </row>
    <row r="2556" spans="1:8" ht="57.6" x14ac:dyDescent="0.3">
      <c r="A2556" s="40">
        <v>4</v>
      </c>
      <c r="B2556" s="144" t="s">
        <v>654</v>
      </c>
      <c r="C2556" s="40">
        <v>1</v>
      </c>
      <c r="D2556" s="41">
        <v>9.1999999999999993</v>
      </c>
      <c r="E2556" s="40">
        <v>100</v>
      </c>
      <c r="F2556" s="68">
        <f t="shared" si="157"/>
        <v>919.99999999999989</v>
      </c>
      <c r="G2556" s="55">
        <v>0.6</v>
      </c>
      <c r="H2556" s="42">
        <f>(1-G2556)*F2556</f>
        <v>368</v>
      </c>
    </row>
    <row r="2557" spans="1:8" ht="28.8" x14ac:dyDescent="0.3">
      <c r="A2557" s="53">
        <v>5</v>
      </c>
      <c r="B2557" s="144" t="s">
        <v>655</v>
      </c>
      <c r="C2557" s="40">
        <v>1</v>
      </c>
      <c r="D2557" s="54">
        <f>116*4</f>
        <v>464</v>
      </c>
      <c r="E2557" s="40">
        <v>22</v>
      </c>
      <c r="F2557" s="68">
        <f t="shared" si="157"/>
        <v>10208</v>
      </c>
      <c r="G2557" s="74">
        <v>0.5</v>
      </c>
      <c r="H2557" s="42">
        <f>F2557*(1-G2557)</f>
        <v>5104</v>
      </c>
    </row>
    <row r="2558" spans="1:8" x14ac:dyDescent="0.3">
      <c r="A2558" s="53"/>
      <c r="B2558" s="70" t="s">
        <v>7</v>
      </c>
      <c r="C2558" s="40"/>
      <c r="D2558" s="54"/>
      <c r="E2558" s="40"/>
      <c r="F2558" s="68"/>
      <c r="G2558" s="55"/>
      <c r="H2558" s="58">
        <f>SUM(H2552:H2557)</f>
        <v>38862</v>
      </c>
    </row>
    <row r="2559" spans="1:8" x14ac:dyDescent="0.3">
      <c r="A2559" s="53">
        <v>6</v>
      </c>
      <c r="B2559" s="70" t="s">
        <v>8</v>
      </c>
      <c r="C2559" s="40">
        <v>1</v>
      </c>
      <c r="D2559" s="54">
        <v>13500</v>
      </c>
      <c r="E2559" s="40">
        <v>5</v>
      </c>
      <c r="F2559" s="68">
        <f>(10000*E2559)+(3500*E2559*0.75)</f>
        <v>63125</v>
      </c>
      <c r="G2559" s="55">
        <v>0</v>
      </c>
      <c r="H2559" s="58">
        <f>(1-G2559)*F2559</f>
        <v>63125</v>
      </c>
    </row>
    <row r="2560" spans="1:8" x14ac:dyDescent="0.3">
      <c r="A2560" s="53"/>
      <c r="B2560" s="70" t="s">
        <v>9</v>
      </c>
      <c r="C2560" s="39"/>
      <c r="D2560" s="59"/>
      <c r="E2560" s="39"/>
      <c r="F2560" s="71"/>
      <c r="G2560" s="39"/>
      <c r="H2560" s="58">
        <f>H2558+H2559</f>
        <v>101987</v>
      </c>
    </row>
    <row r="2561" spans="1:8" x14ac:dyDescent="0.3">
      <c r="A2561" s="43"/>
      <c r="B2561" s="62">
        <v>6014</v>
      </c>
      <c r="C2561" s="44" t="s">
        <v>625</v>
      </c>
      <c r="D2561" s="45"/>
      <c r="E2561" s="46" t="s">
        <v>656</v>
      </c>
      <c r="F2561" s="63"/>
      <c r="G2561" s="60"/>
      <c r="H2561" s="48"/>
    </row>
    <row r="2562" spans="1:8" x14ac:dyDescent="0.3">
      <c r="A2562" s="40"/>
      <c r="B2562" s="64" t="s">
        <v>0</v>
      </c>
      <c r="C2562" s="49" t="s">
        <v>1</v>
      </c>
      <c r="D2562" s="50" t="s">
        <v>2</v>
      </c>
      <c r="E2562" s="51" t="s">
        <v>3</v>
      </c>
      <c r="F2562" s="65" t="s">
        <v>4</v>
      </c>
      <c r="G2562" s="51" t="s">
        <v>5</v>
      </c>
      <c r="H2562" s="52" t="s">
        <v>6</v>
      </c>
    </row>
    <row r="2563" spans="1:8" ht="72" x14ac:dyDescent="0.3">
      <c r="A2563" s="40">
        <v>1</v>
      </c>
      <c r="B2563" s="64" t="s">
        <v>1414</v>
      </c>
      <c r="C2563" s="40">
        <v>1</v>
      </c>
      <c r="D2563" s="54">
        <v>594</v>
      </c>
      <c r="E2563" s="40">
        <v>150</v>
      </c>
      <c r="F2563" s="68">
        <f t="shared" ref="F2563:F2568" si="158">C2563*D2563*E2563</f>
        <v>89100</v>
      </c>
      <c r="G2563" s="55">
        <v>0.5</v>
      </c>
      <c r="H2563" s="42">
        <f t="shared" ref="H2563:H2569" si="159">F2563*(1-G2563)</f>
        <v>44550</v>
      </c>
    </row>
    <row r="2564" spans="1:8" ht="72" x14ac:dyDescent="0.3">
      <c r="A2564" s="40">
        <v>2</v>
      </c>
      <c r="B2564" s="64" t="s">
        <v>657</v>
      </c>
      <c r="C2564" s="40">
        <v>1</v>
      </c>
      <c r="D2564" s="54">
        <v>318</v>
      </c>
      <c r="E2564" s="40">
        <v>200</v>
      </c>
      <c r="F2564" s="68">
        <f t="shared" si="158"/>
        <v>63600</v>
      </c>
      <c r="G2564" s="55">
        <v>0.2</v>
      </c>
      <c r="H2564" s="42">
        <f t="shared" si="159"/>
        <v>50880</v>
      </c>
    </row>
    <row r="2565" spans="1:8" ht="72" x14ac:dyDescent="0.3">
      <c r="A2565" s="40">
        <v>3</v>
      </c>
      <c r="B2565" s="64" t="s">
        <v>658</v>
      </c>
      <c r="C2565" s="40">
        <v>1</v>
      </c>
      <c r="D2565" s="54">
        <v>180</v>
      </c>
      <c r="E2565" s="40">
        <v>400</v>
      </c>
      <c r="F2565" s="68">
        <f t="shared" si="158"/>
        <v>72000</v>
      </c>
      <c r="G2565" s="55">
        <v>0.5</v>
      </c>
      <c r="H2565" s="42">
        <f t="shared" si="159"/>
        <v>36000</v>
      </c>
    </row>
    <row r="2566" spans="1:8" ht="43.2" x14ac:dyDescent="0.3">
      <c r="A2566" s="40">
        <v>4</v>
      </c>
      <c r="B2566" s="144" t="s">
        <v>1830</v>
      </c>
      <c r="C2566" s="40">
        <v>1</v>
      </c>
      <c r="D2566" s="54">
        <v>12.5</v>
      </c>
      <c r="E2566" s="40">
        <v>100</v>
      </c>
      <c r="F2566" s="68">
        <f t="shared" si="158"/>
        <v>1250</v>
      </c>
      <c r="G2566" s="55">
        <v>0.5</v>
      </c>
      <c r="H2566" s="42">
        <f t="shared" si="159"/>
        <v>625</v>
      </c>
    </row>
    <row r="2567" spans="1:8" ht="57.6" x14ac:dyDescent="0.3">
      <c r="A2567" s="40">
        <v>5</v>
      </c>
      <c r="B2567" s="144" t="s">
        <v>503</v>
      </c>
      <c r="C2567" s="40">
        <v>1</v>
      </c>
      <c r="D2567" s="54">
        <v>44</v>
      </c>
      <c r="E2567" s="40">
        <v>100</v>
      </c>
      <c r="F2567" s="68">
        <f t="shared" si="158"/>
        <v>4400</v>
      </c>
      <c r="G2567" s="55">
        <v>0.5</v>
      </c>
      <c r="H2567" s="42">
        <f t="shared" si="159"/>
        <v>2200</v>
      </c>
    </row>
    <row r="2568" spans="1:8" ht="57.6" x14ac:dyDescent="0.3">
      <c r="A2568" s="40">
        <v>6</v>
      </c>
      <c r="B2568" s="144" t="s">
        <v>1425</v>
      </c>
      <c r="C2568" s="40">
        <v>1</v>
      </c>
      <c r="D2568" s="54">
        <v>7.84</v>
      </c>
      <c r="E2568" s="40">
        <v>100</v>
      </c>
      <c r="F2568" s="68">
        <f t="shared" si="158"/>
        <v>784</v>
      </c>
      <c r="G2568" s="55"/>
      <c r="H2568" s="42">
        <f t="shared" si="159"/>
        <v>784</v>
      </c>
    </row>
    <row r="2569" spans="1:8" ht="28.8" x14ac:dyDescent="0.3">
      <c r="A2569" s="40">
        <v>7</v>
      </c>
      <c r="B2569" s="144" t="s">
        <v>1443</v>
      </c>
      <c r="C2569" s="40">
        <v>1</v>
      </c>
      <c r="D2569" s="54">
        <f>130*4</f>
        <v>520</v>
      </c>
      <c r="E2569" s="40">
        <v>45</v>
      </c>
      <c r="F2569" s="68">
        <f>C2569*D2569*E2569*0.5</f>
        <v>11700</v>
      </c>
      <c r="G2569" s="55">
        <v>0.5</v>
      </c>
      <c r="H2569" s="42">
        <f t="shared" si="159"/>
        <v>5850</v>
      </c>
    </row>
    <row r="2570" spans="1:8" x14ac:dyDescent="0.3">
      <c r="A2570" s="40"/>
      <c r="B2570" s="70" t="s">
        <v>7</v>
      </c>
      <c r="C2570" s="40"/>
      <c r="D2570" s="54"/>
      <c r="E2570" s="40"/>
      <c r="F2570" s="68"/>
      <c r="G2570" s="55"/>
      <c r="H2570" s="58">
        <f>SUM(H2563:H2569)</f>
        <v>140889</v>
      </c>
    </row>
    <row r="2571" spans="1:8" x14ac:dyDescent="0.3">
      <c r="A2571" s="40">
        <v>8</v>
      </c>
      <c r="B2571" s="70" t="s">
        <v>8</v>
      </c>
      <c r="C2571" s="40">
        <v>1</v>
      </c>
      <c r="D2571" s="54">
        <v>16813</v>
      </c>
      <c r="E2571" s="40">
        <v>5</v>
      </c>
      <c r="F2571" s="68">
        <f>(10000*E2571)+(6813*E2571*0.75)</f>
        <v>75548.75</v>
      </c>
      <c r="G2571" s="55">
        <v>0</v>
      </c>
      <c r="H2571" s="58">
        <f>(1-G2571)*F2571</f>
        <v>75548.75</v>
      </c>
    </row>
    <row r="2572" spans="1:8" x14ac:dyDescent="0.3">
      <c r="A2572" s="51"/>
      <c r="B2572" s="70" t="s">
        <v>9</v>
      </c>
      <c r="C2572" s="39"/>
      <c r="D2572" s="59"/>
      <c r="E2572" s="39"/>
      <c r="F2572" s="71"/>
      <c r="G2572" s="39"/>
      <c r="H2572" s="58">
        <f>H2570+H2571</f>
        <v>216437.75</v>
      </c>
    </row>
    <row r="2573" spans="1:8" ht="28.8" x14ac:dyDescent="0.3">
      <c r="A2573" s="60"/>
      <c r="B2573" s="62" t="s">
        <v>659</v>
      </c>
      <c r="C2573" s="86" t="s">
        <v>660</v>
      </c>
      <c r="D2573" s="156"/>
      <c r="E2573" s="44" t="s">
        <v>661</v>
      </c>
      <c r="F2573" s="63"/>
      <c r="G2573" s="60"/>
      <c r="H2573" s="48"/>
    </row>
    <row r="2574" spans="1:8" x14ac:dyDescent="0.3">
      <c r="A2574" s="40"/>
      <c r="B2574" s="64" t="s">
        <v>0</v>
      </c>
      <c r="C2574" s="49" t="s">
        <v>1</v>
      </c>
      <c r="D2574" s="50" t="s">
        <v>2</v>
      </c>
      <c r="E2574" s="51" t="s">
        <v>3</v>
      </c>
      <c r="F2574" s="65" t="s">
        <v>4</v>
      </c>
      <c r="G2574" s="51" t="s">
        <v>5</v>
      </c>
      <c r="H2574" s="52" t="s">
        <v>6</v>
      </c>
    </row>
    <row r="2575" spans="1:8" ht="72" x14ac:dyDescent="0.3">
      <c r="A2575" s="40">
        <v>1</v>
      </c>
      <c r="B2575" s="144" t="s">
        <v>1669</v>
      </c>
      <c r="C2575" s="40">
        <v>1</v>
      </c>
      <c r="D2575" s="41">
        <v>208</v>
      </c>
      <c r="E2575" s="40">
        <v>300</v>
      </c>
      <c r="F2575" s="68">
        <f>C2575*D2575*E2575</f>
        <v>62400</v>
      </c>
      <c r="G2575" s="55">
        <v>0.5</v>
      </c>
      <c r="H2575" s="42">
        <f>(1-G2575)*F2575</f>
        <v>31200</v>
      </c>
    </row>
    <row r="2576" spans="1:8" ht="43.2" x14ac:dyDescent="0.3">
      <c r="A2576" s="40">
        <v>2</v>
      </c>
      <c r="B2576" s="144" t="s">
        <v>605</v>
      </c>
      <c r="C2576" s="40">
        <v>1</v>
      </c>
      <c r="D2576" s="41">
        <v>17.5</v>
      </c>
      <c r="E2576" s="40">
        <v>50</v>
      </c>
      <c r="F2576" s="68">
        <f>C2576*D2576*E2576</f>
        <v>875</v>
      </c>
      <c r="G2576" s="55">
        <v>0.4</v>
      </c>
      <c r="H2576" s="42">
        <f>(1-G2576)*F2576</f>
        <v>525</v>
      </c>
    </row>
    <row r="2577" spans="1:8" ht="72" x14ac:dyDescent="0.3">
      <c r="A2577" s="40">
        <v>3</v>
      </c>
      <c r="B2577" s="144" t="s">
        <v>662</v>
      </c>
      <c r="C2577" s="40">
        <v>1</v>
      </c>
      <c r="D2577" s="41">
        <v>235</v>
      </c>
      <c r="E2577" s="40">
        <v>400</v>
      </c>
      <c r="F2577" s="68">
        <f>C2577*D2577*E2577</f>
        <v>94000</v>
      </c>
      <c r="G2577" s="55">
        <v>0.4</v>
      </c>
      <c r="H2577" s="42">
        <f>(1-G2577)*F2577</f>
        <v>56400</v>
      </c>
    </row>
    <row r="2578" spans="1:8" ht="72" x14ac:dyDescent="0.3">
      <c r="A2578" s="40">
        <v>4</v>
      </c>
      <c r="B2578" s="144" t="s">
        <v>663</v>
      </c>
      <c r="C2578" s="40">
        <v>1</v>
      </c>
      <c r="D2578" s="41">
        <v>90</v>
      </c>
      <c r="E2578" s="40">
        <v>200</v>
      </c>
      <c r="F2578" s="68">
        <f>C2578*D2578*E2578</f>
        <v>18000</v>
      </c>
      <c r="G2578" s="55">
        <v>0.5</v>
      </c>
      <c r="H2578" s="42">
        <f>(1-G2578)*F2578</f>
        <v>9000</v>
      </c>
    </row>
    <row r="2579" spans="1:8" x14ac:dyDescent="0.3">
      <c r="A2579" s="53"/>
      <c r="B2579" s="70" t="s">
        <v>7</v>
      </c>
      <c r="C2579" s="40"/>
      <c r="D2579" s="54"/>
      <c r="E2579" s="40"/>
      <c r="F2579" s="68"/>
      <c r="G2579" s="55"/>
      <c r="H2579" s="58">
        <f>SUM(H2575:H2578)</f>
        <v>97125</v>
      </c>
    </row>
    <row r="2580" spans="1:8" x14ac:dyDescent="0.3">
      <c r="A2580" s="53">
        <v>5</v>
      </c>
      <c r="B2580" s="70" t="s">
        <v>8</v>
      </c>
      <c r="C2580" s="40">
        <v>1</v>
      </c>
      <c r="D2580" s="54">
        <v>53677</v>
      </c>
      <c r="E2580" s="40">
        <v>5</v>
      </c>
      <c r="F2580" s="68">
        <f>(10000*E2580)+(10000*E2580*0.75)+(10000*E2580*0.5)+(23677*E2580*0.25)</f>
        <v>142096.25</v>
      </c>
      <c r="G2580" s="55">
        <v>0</v>
      </c>
      <c r="H2580" s="58">
        <f>(1-G2580)*F2580</f>
        <v>142096.25</v>
      </c>
    </row>
    <row r="2581" spans="1:8" x14ac:dyDescent="0.3">
      <c r="A2581" s="53"/>
      <c r="B2581" s="144" t="s">
        <v>9</v>
      </c>
      <c r="C2581" s="39"/>
      <c r="D2581" s="59"/>
      <c r="E2581" s="39"/>
      <c r="F2581" s="71"/>
      <c r="G2581" s="39"/>
      <c r="H2581" s="58">
        <f>H2579+H2580</f>
        <v>239221.25</v>
      </c>
    </row>
    <row r="2582" spans="1:8" ht="28.8" x14ac:dyDescent="0.3">
      <c r="A2582" s="60"/>
      <c r="B2582" s="62">
        <v>6017</v>
      </c>
      <c r="C2582" s="86" t="s">
        <v>664</v>
      </c>
      <c r="D2582" s="156"/>
      <c r="E2582" s="44" t="s">
        <v>1956</v>
      </c>
      <c r="F2582" s="63"/>
      <c r="G2582" s="60"/>
      <c r="H2582" s="48"/>
    </row>
    <row r="2583" spans="1:8" x14ac:dyDescent="0.3">
      <c r="A2583" s="40"/>
      <c r="B2583" s="64" t="s">
        <v>0</v>
      </c>
      <c r="C2583" s="49" t="s">
        <v>1</v>
      </c>
      <c r="D2583" s="50" t="s">
        <v>2</v>
      </c>
      <c r="E2583" s="51" t="s">
        <v>3</v>
      </c>
      <c r="F2583" s="65" t="s">
        <v>4</v>
      </c>
      <c r="G2583" s="51" t="s">
        <v>5</v>
      </c>
      <c r="H2583" s="52" t="s">
        <v>6</v>
      </c>
    </row>
    <row r="2584" spans="1:8" x14ac:dyDescent="0.3">
      <c r="A2584" s="40">
        <v>1</v>
      </c>
      <c r="B2584" s="144" t="s">
        <v>665</v>
      </c>
      <c r="C2584" s="40">
        <v>1</v>
      </c>
      <c r="D2584" s="41"/>
      <c r="E2584" s="40"/>
      <c r="F2584" s="68"/>
      <c r="G2584" s="55"/>
      <c r="H2584" s="42"/>
    </row>
    <row r="2585" spans="1:8" x14ac:dyDescent="0.3">
      <c r="A2585" s="53"/>
      <c r="B2585" s="70" t="s">
        <v>7</v>
      </c>
      <c r="C2585" s="40"/>
      <c r="D2585" s="54"/>
      <c r="E2585" s="40"/>
      <c r="F2585" s="68"/>
      <c r="G2585" s="55"/>
      <c r="H2585" s="58">
        <f>SUM(H2584:H2584)</f>
        <v>0</v>
      </c>
    </row>
    <row r="2586" spans="1:8" x14ac:dyDescent="0.3">
      <c r="A2586" s="53">
        <v>2</v>
      </c>
      <c r="B2586" s="70" t="s">
        <v>8</v>
      </c>
      <c r="C2586" s="40">
        <v>1</v>
      </c>
      <c r="D2586" s="54">
        <v>33825</v>
      </c>
      <c r="E2586" s="40">
        <v>5</v>
      </c>
      <c r="F2586" s="68">
        <f>(10000*E2586)+(10000*E2586*0.75)+(10000*E2586*0.5)+(3825*E2586*0.25)</f>
        <v>117281.25</v>
      </c>
      <c r="G2586" s="55">
        <v>0</v>
      </c>
      <c r="H2586" s="58">
        <f>(1-G2586)*F2586</f>
        <v>117281.25</v>
      </c>
    </row>
    <row r="2587" spans="1:8" x14ac:dyDescent="0.3">
      <c r="A2587" s="53"/>
      <c r="B2587" s="70" t="s">
        <v>9</v>
      </c>
      <c r="C2587" s="39"/>
      <c r="D2587" s="59"/>
      <c r="E2587" s="39"/>
      <c r="F2587" s="71"/>
      <c r="G2587" s="39"/>
      <c r="H2587" s="58">
        <f>H2585+H2586</f>
        <v>117281.25</v>
      </c>
    </row>
    <row r="2588" spans="1:8" ht="28.8" x14ac:dyDescent="0.3">
      <c r="A2588" s="60"/>
      <c r="B2588" s="62">
        <v>6018</v>
      </c>
      <c r="C2588" s="86" t="s">
        <v>664</v>
      </c>
      <c r="D2588" s="156"/>
      <c r="E2588" s="44" t="s">
        <v>666</v>
      </c>
      <c r="F2588" s="63"/>
      <c r="G2588" s="60"/>
      <c r="H2588" s="48"/>
    </row>
    <row r="2589" spans="1:8" x14ac:dyDescent="0.3">
      <c r="A2589" s="40"/>
      <c r="B2589" s="64" t="s">
        <v>0</v>
      </c>
      <c r="C2589" s="49" t="s">
        <v>1</v>
      </c>
      <c r="D2589" s="50" t="s">
        <v>2</v>
      </c>
      <c r="E2589" s="51" t="s">
        <v>3</v>
      </c>
      <c r="F2589" s="65" t="s">
        <v>4</v>
      </c>
      <c r="G2589" s="51" t="s">
        <v>5</v>
      </c>
      <c r="H2589" s="52" t="s">
        <v>6</v>
      </c>
    </row>
    <row r="2590" spans="1:8" x14ac:dyDescent="0.3">
      <c r="A2590" s="40">
        <v>1</v>
      </c>
      <c r="B2590" s="144" t="s">
        <v>665</v>
      </c>
      <c r="C2590" s="40"/>
      <c r="D2590" s="41"/>
      <c r="E2590" s="40"/>
      <c r="F2590" s="68"/>
      <c r="G2590" s="55"/>
      <c r="H2590" s="42"/>
    </row>
    <row r="2591" spans="1:8" x14ac:dyDescent="0.3">
      <c r="A2591" s="53"/>
      <c r="B2591" s="70" t="s">
        <v>7</v>
      </c>
      <c r="C2591" s="40"/>
      <c r="D2591" s="54"/>
      <c r="E2591" s="40"/>
      <c r="F2591" s="68"/>
      <c r="G2591" s="55"/>
      <c r="H2591" s="58">
        <f>SUM(H2590:H2590)</f>
        <v>0</v>
      </c>
    </row>
    <row r="2592" spans="1:8" x14ac:dyDescent="0.3">
      <c r="A2592" s="53">
        <v>2</v>
      </c>
      <c r="B2592" s="70" t="s">
        <v>8</v>
      </c>
      <c r="C2592" s="40">
        <v>1</v>
      </c>
      <c r="D2592" s="54">
        <v>25575</v>
      </c>
      <c r="E2592" s="40">
        <v>5</v>
      </c>
      <c r="F2592" s="68">
        <f>(10000*E2592)+(10000*E2592*0.75)+(5575*E2592*0.5)</f>
        <v>101437.5</v>
      </c>
      <c r="G2592" s="55">
        <v>0</v>
      </c>
      <c r="H2592" s="58">
        <f>(1-G2592)*F2592</f>
        <v>101437.5</v>
      </c>
    </row>
    <row r="2593" spans="1:9" x14ac:dyDescent="0.3">
      <c r="A2593" s="53"/>
      <c r="B2593" s="70" t="s">
        <v>9</v>
      </c>
      <c r="C2593" s="39"/>
      <c r="D2593" s="59"/>
      <c r="E2593" s="39"/>
      <c r="F2593" s="71"/>
      <c r="G2593" s="39"/>
      <c r="H2593" s="58">
        <f>H2591+H2592</f>
        <v>101437.5</v>
      </c>
    </row>
    <row r="2594" spans="1:9" x14ac:dyDescent="0.3">
      <c r="A2594" s="60"/>
      <c r="B2594" s="62">
        <v>6019</v>
      </c>
      <c r="C2594" s="86" t="s">
        <v>460</v>
      </c>
      <c r="D2594" s="156"/>
      <c r="E2594" s="44" t="s">
        <v>667</v>
      </c>
      <c r="F2594" s="63"/>
      <c r="G2594" s="60"/>
      <c r="H2594" s="48"/>
    </row>
    <row r="2595" spans="1:9" x14ac:dyDescent="0.3">
      <c r="A2595" s="40"/>
      <c r="B2595" s="64" t="s">
        <v>0</v>
      </c>
      <c r="C2595" s="49" t="s">
        <v>1</v>
      </c>
      <c r="D2595" s="50" t="s">
        <v>2</v>
      </c>
      <c r="E2595" s="51" t="s">
        <v>3</v>
      </c>
      <c r="F2595" s="65" t="s">
        <v>4</v>
      </c>
      <c r="G2595" s="51" t="s">
        <v>5</v>
      </c>
      <c r="H2595" s="52" t="s">
        <v>6</v>
      </c>
    </row>
    <row r="2596" spans="1:9" ht="43.2" x14ac:dyDescent="0.3">
      <c r="A2596" s="40">
        <v>1</v>
      </c>
      <c r="B2596" s="144" t="s">
        <v>668</v>
      </c>
      <c r="C2596" s="40">
        <v>1</v>
      </c>
      <c r="D2596" s="41">
        <v>232</v>
      </c>
      <c r="E2596" s="40">
        <v>70</v>
      </c>
      <c r="F2596" s="68">
        <f>C2596*D2596*E2596</f>
        <v>16240</v>
      </c>
      <c r="G2596" s="55">
        <v>0.5</v>
      </c>
      <c r="H2596" s="42">
        <f>(1-G2596)*F2596</f>
        <v>8120</v>
      </c>
    </row>
    <row r="2597" spans="1:9" ht="28.8" x14ac:dyDescent="0.3">
      <c r="A2597" s="53">
        <v>2</v>
      </c>
      <c r="B2597" s="144" t="s">
        <v>419</v>
      </c>
      <c r="C2597" s="40">
        <v>1</v>
      </c>
      <c r="D2597" s="54">
        <f>143.61*4</f>
        <v>574.44000000000005</v>
      </c>
      <c r="E2597" s="40">
        <v>22</v>
      </c>
      <c r="F2597" s="68">
        <f>C2597*D2597*E2597</f>
        <v>12637.68</v>
      </c>
      <c r="G2597" s="74">
        <v>0.5</v>
      </c>
      <c r="H2597" s="42">
        <f>F2597*(1-G2597)</f>
        <v>6318.84</v>
      </c>
    </row>
    <row r="2598" spans="1:9" x14ac:dyDescent="0.3">
      <c r="A2598" s="53"/>
      <c r="B2598" s="70" t="s">
        <v>7</v>
      </c>
      <c r="C2598" s="40"/>
      <c r="D2598" s="54"/>
      <c r="E2598" s="40"/>
      <c r="F2598" s="68"/>
      <c r="G2598" s="55"/>
      <c r="H2598" s="58">
        <f>SUM(H2596:H2597)</f>
        <v>14438.84</v>
      </c>
    </row>
    <row r="2599" spans="1:9" x14ac:dyDescent="0.3">
      <c r="A2599" s="53">
        <v>3</v>
      </c>
      <c r="B2599" s="70" t="s">
        <v>8</v>
      </c>
      <c r="C2599" s="40">
        <v>1</v>
      </c>
      <c r="D2599" s="54">
        <v>20625</v>
      </c>
      <c r="E2599" s="40">
        <v>5</v>
      </c>
      <c r="F2599" s="68">
        <f>(10000*E2599)+(10000*E2599*0.75)+(625*E2599*0.5)</f>
        <v>89062.5</v>
      </c>
      <c r="G2599" s="55">
        <v>0</v>
      </c>
      <c r="H2599" s="58">
        <f>(1-G2599)*F2599</f>
        <v>89062.5</v>
      </c>
    </row>
    <row r="2600" spans="1:9" x14ac:dyDescent="0.3">
      <c r="A2600" s="53"/>
      <c r="B2600" s="70" t="s">
        <v>9</v>
      </c>
      <c r="C2600" s="39"/>
      <c r="D2600" s="59"/>
      <c r="E2600" s="39"/>
      <c r="F2600" s="71"/>
      <c r="G2600" s="39"/>
      <c r="H2600" s="58">
        <f>H2598+H2599</f>
        <v>103501.34</v>
      </c>
    </row>
    <row r="2601" spans="1:9" ht="28.8" x14ac:dyDescent="0.3">
      <c r="A2601" s="60"/>
      <c r="B2601" s="62">
        <v>6020</v>
      </c>
      <c r="C2601" s="86" t="s">
        <v>509</v>
      </c>
      <c r="D2601" s="156"/>
      <c r="E2601" s="44" t="s">
        <v>510</v>
      </c>
      <c r="F2601" s="63"/>
      <c r="G2601" s="60"/>
      <c r="H2601" s="143"/>
      <c r="I2601" s="204"/>
    </row>
    <row r="2602" spans="1:9" x14ac:dyDescent="0.3">
      <c r="A2602" s="39"/>
      <c r="B2602" s="147" t="s">
        <v>0</v>
      </c>
      <c r="C2602" s="107" t="s">
        <v>1</v>
      </c>
      <c r="D2602" s="108" t="s">
        <v>2</v>
      </c>
      <c r="E2602" s="109" t="s">
        <v>3</v>
      </c>
      <c r="F2602" s="122" t="s">
        <v>4</v>
      </c>
      <c r="G2602" s="109" t="s">
        <v>5</v>
      </c>
      <c r="H2602" s="106" t="s">
        <v>6</v>
      </c>
    </row>
    <row r="2603" spans="1:9" ht="43.2" x14ac:dyDescent="0.3">
      <c r="A2603" s="40">
        <v>1</v>
      </c>
      <c r="B2603" s="144" t="s">
        <v>511</v>
      </c>
      <c r="C2603" s="40">
        <v>1</v>
      </c>
      <c r="D2603" s="41">
        <v>672</v>
      </c>
      <c r="E2603" s="40">
        <v>300</v>
      </c>
      <c r="F2603" s="68">
        <f>C2603*D2603*E2603</f>
        <v>201600</v>
      </c>
      <c r="G2603" s="55">
        <v>0.5</v>
      </c>
      <c r="H2603" s="42">
        <f>(1-G2603)*F2603</f>
        <v>100800</v>
      </c>
    </row>
    <row r="2604" spans="1:9" ht="43.2" x14ac:dyDescent="0.3">
      <c r="A2604" s="40">
        <v>2</v>
      </c>
      <c r="B2604" s="144" t="s">
        <v>512</v>
      </c>
      <c r="C2604" s="40">
        <v>1</v>
      </c>
      <c r="D2604" s="41">
        <v>90</v>
      </c>
      <c r="E2604" s="40">
        <v>300</v>
      </c>
      <c r="F2604" s="68">
        <f>C2604*D2604*E2604</f>
        <v>27000</v>
      </c>
      <c r="G2604" s="55">
        <v>0.5</v>
      </c>
      <c r="H2604" s="42">
        <f>(1-G2604)*F2604</f>
        <v>13500</v>
      </c>
    </row>
    <row r="2605" spans="1:9" ht="57.6" x14ac:dyDescent="0.3">
      <c r="A2605" s="40">
        <v>3</v>
      </c>
      <c r="B2605" s="144" t="s">
        <v>1435</v>
      </c>
      <c r="C2605" s="40">
        <v>1</v>
      </c>
      <c r="D2605" s="41">
        <v>51</v>
      </c>
      <c r="E2605" s="40">
        <v>60</v>
      </c>
      <c r="F2605" s="68">
        <f>C2605*D2605*E2605</f>
        <v>3060</v>
      </c>
      <c r="G2605" s="55">
        <v>0.5</v>
      </c>
      <c r="H2605" s="42">
        <f>(1-G2605)*F2605</f>
        <v>1530</v>
      </c>
    </row>
    <row r="2606" spans="1:9" ht="43.2" x14ac:dyDescent="0.3">
      <c r="A2606" s="40">
        <v>4</v>
      </c>
      <c r="B2606" s="144" t="s">
        <v>513</v>
      </c>
      <c r="C2606" s="40">
        <v>1</v>
      </c>
      <c r="D2606" s="41">
        <v>76.5</v>
      </c>
      <c r="E2606" s="40">
        <v>50</v>
      </c>
      <c r="F2606" s="68">
        <f>C2606*D2606*E2606</f>
        <v>3825</v>
      </c>
      <c r="G2606" s="55">
        <v>0.5</v>
      </c>
      <c r="H2606" s="42">
        <f>(1-G2606)*F2606</f>
        <v>1912.5</v>
      </c>
    </row>
    <row r="2607" spans="1:9" ht="28.8" x14ac:dyDescent="0.3">
      <c r="A2607" s="53">
        <v>5</v>
      </c>
      <c r="B2607" s="144" t="s">
        <v>514</v>
      </c>
      <c r="C2607" s="40">
        <v>1</v>
      </c>
      <c r="D2607" s="54">
        <f>143.6*4</f>
        <v>574.4</v>
      </c>
      <c r="E2607" s="40">
        <v>45</v>
      </c>
      <c r="F2607" s="68">
        <f>C2607*D2607*E2607</f>
        <v>25848</v>
      </c>
      <c r="G2607" s="74">
        <v>0.5</v>
      </c>
      <c r="H2607" s="42">
        <f>F2607*(1-G2607)</f>
        <v>12924</v>
      </c>
    </row>
    <row r="2608" spans="1:9" x14ac:dyDescent="0.3">
      <c r="A2608" s="53"/>
      <c r="B2608" s="70" t="s">
        <v>7</v>
      </c>
      <c r="C2608" s="40"/>
      <c r="D2608" s="54"/>
      <c r="E2608" s="40"/>
      <c r="F2608" s="68"/>
      <c r="G2608" s="55"/>
      <c r="H2608" s="58">
        <f>SUM(H2603:H2607)</f>
        <v>130666.5</v>
      </c>
    </row>
    <row r="2609" spans="1:9" x14ac:dyDescent="0.3">
      <c r="A2609" s="53">
        <v>6</v>
      </c>
      <c r="B2609" s="70" t="s">
        <v>8</v>
      </c>
      <c r="C2609" s="40">
        <v>1</v>
      </c>
      <c r="D2609" s="54">
        <v>20625</v>
      </c>
      <c r="E2609" s="40">
        <v>5</v>
      </c>
      <c r="F2609" s="68">
        <f>(10000*E2609)+(10000*E2609*0.75)+(625*E2609*0.5)</f>
        <v>89062.5</v>
      </c>
      <c r="G2609" s="55">
        <v>0</v>
      </c>
      <c r="H2609" s="58">
        <f>(1-G2609)*F2609</f>
        <v>89062.5</v>
      </c>
    </row>
    <row r="2610" spans="1:9" x14ac:dyDescent="0.3">
      <c r="A2610" s="53"/>
      <c r="B2610" s="70" t="s">
        <v>9</v>
      </c>
      <c r="C2610" s="39"/>
      <c r="D2610" s="59"/>
      <c r="E2610" s="39"/>
      <c r="F2610" s="71"/>
      <c r="G2610" s="39"/>
      <c r="H2610" s="58">
        <f>H2608+H2609</f>
        <v>219729</v>
      </c>
    </row>
    <row r="2611" spans="1:9" x14ac:dyDescent="0.3">
      <c r="A2611" s="53"/>
      <c r="B2611" s="70"/>
      <c r="C2611" s="39"/>
      <c r="D2611" s="59"/>
      <c r="E2611" s="39"/>
      <c r="F2611" s="71"/>
      <c r="G2611" s="39"/>
      <c r="H2611" s="58"/>
    </row>
    <row r="2612" spans="1:9" x14ac:dyDescent="0.3">
      <c r="A2612" s="60"/>
      <c r="B2612" s="62">
        <v>6021</v>
      </c>
      <c r="C2612" s="86" t="s">
        <v>460</v>
      </c>
      <c r="D2612" s="156"/>
      <c r="E2612" s="44" t="s">
        <v>1957</v>
      </c>
      <c r="F2612" s="63"/>
      <c r="G2612" s="60"/>
      <c r="H2612" s="48"/>
      <c r="I2612" s="37"/>
    </row>
    <row r="2613" spans="1:9" x14ac:dyDescent="0.3">
      <c r="A2613" s="40"/>
      <c r="B2613" s="64" t="s">
        <v>0</v>
      </c>
      <c r="C2613" s="49" t="s">
        <v>1</v>
      </c>
      <c r="D2613" s="50" t="s">
        <v>2</v>
      </c>
      <c r="E2613" s="51" t="s">
        <v>3</v>
      </c>
      <c r="F2613" s="65" t="s">
        <v>4</v>
      </c>
      <c r="G2613" s="51" t="s">
        <v>5</v>
      </c>
      <c r="H2613" s="52" t="s">
        <v>6</v>
      </c>
    </row>
    <row r="2614" spans="1:9" x14ac:dyDescent="0.3">
      <c r="A2614" s="40">
        <v>1</v>
      </c>
      <c r="B2614" s="144" t="s">
        <v>665</v>
      </c>
      <c r="C2614" s="40"/>
      <c r="D2614" s="41"/>
      <c r="E2614" s="40"/>
      <c r="F2614" s="68"/>
      <c r="G2614" s="55"/>
      <c r="H2614" s="42"/>
    </row>
    <row r="2615" spans="1:9" x14ac:dyDescent="0.3">
      <c r="A2615" s="53"/>
      <c r="B2615" s="70" t="s">
        <v>7</v>
      </c>
      <c r="C2615" s="40"/>
      <c r="D2615" s="54"/>
      <c r="E2615" s="40"/>
      <c r="F2615" s="68"/>
      <c r="G2615" s="55"/>
      <c r="H2615" s="58">
        <f>SUM(H2614:H2614)</f>
        <v>0</v>
      </c>
    </row>
    <row r="2616" spans="1:9" x14ac:dyDescent="0.3">
      <c r="A2616" s="53">
        <v>2</v>
      </c>
      <c r="B2616" s="70" t="s">
        <v>8</v>
      </c>
      <c r="C2616" s="40">
        <v>1</v>
      </c>
      <c r="D2616" s="54">
        <v>25426</v>
      </c>
      <c r="E2616" s="40">
        <v>5</v>
      </c>
      <c r="F2616" s="68">
        <f>(10000*E2616)+(10000*E2616*0.75)+(5426*E2616*0.5)</f>
        <v>101065</v>
      </c>
      <c r="G2616" s="55">
        <v>0</v>
      </c>
      <c r="H2616" s="58">
        <f>(1-G2616)*F2616</f>
        <v>101065</v>
      </c>
    </row>
    <row r="2617" spans="1:9" x14ac:dyDescent="0.3">
      <c r="A2617" s="53"/>
      <c r="B2617" s="70" t="s">
        <v>9</v>
      </c>
      <c r="C2617" s="39"/>
      <c r="D2617" s="59"/>
      <c r="E2617" s="39"/>
      <c r="F2617" s="71"/>
      <c r="G2617" s="39"/>
      <c r="H2617" s="58">
        <f>H2615+H2616</f>
        <v>101065</v>
      </c>
    </row>
    <row r="2618" spans="1:9" x14ac:dyDescent="0.3">
      <c r="A2618" s="60"/>
      <c r="B2618" s="62">
        <v>6022</v>
      </c>
      <c r="C2618" s="86" t="s">
        <v>460</v>
      </c>
      <c r="D2618" s="156"/>
      <c r="E2618" s="44" t="s">
        <v>1958</v>
      </c>
      <c r="F2618" s="63"/>
      <c r="G2618" s="60"/>
      <c r="H2618" s="48"/>
    </row>
    <row r="2619" spans="1:9" x14ac:dyDescent="0.3">
      <c r="A2619" s="40"/>
      <c r="B2619" s="64" t="s">
        <v>0</v>
      </c>
      <c r="C2619" s="49" t="s">
        <v>1</v>
      </c>
      <c r="D2619" s="50" t="s">
        <v>2</v>
      </c>
      <c r="E2619" s="51" t="s">
        <v>3</v>
      </c>
      <c r="F2619" s="65" t="s">
        <v>4</v>
      </c>
      <c r="G2619" s="51" t="s">
        <v>5</v>
      </c>
      <c r="H2619" s="52" t="s">
        <v>6</v>
      </c>
    </row>
    <row r="2620" spans="1:9" x14ac:dyDescent="0.3">
      <c r="A2620" s="40">
        <v>1</v>
      </c>
      <c r="B2620" s="144" t="s">
        <v>665</v>
      </c>
      <c r="C2620" s="40"/>
      <c r="D2620" s="41"/>
      <c r="E2620" s="40"/>
      <c r="F2620" s="68"/>
      <c r="G2620" s="55"/>
      <c r="H2620" s="42"/>
    </row>
    <row r="2621" spans="1:9" x14ac:dyDescent="0.3">
      <c r="A2621" s="53"/>
      <c r="B2621" s="70" t="s">
        <v>7</v>
      </c>
      <c r="C2621" s="40"/>
      <c r="D2621" s="54"/>
      <c r="E2621" s="40"/>
      <c r="F2621" s="68"/>
      <c r="G2621" s="55"/>
      <c r="H2621" s="58">
        <f>SUM(H2620:H2620)</f>
        <v>0</v>
      </c>
    </row>
    <row r="2622" spans="1:9" x14ac:dyDescent="0.3">
      <c r="A2622" s="53">
        <v>2</v>
      </c>
      <c r="B2622" s="70" t="s">
        <v>8</v>
      </c>
      <c r="C2622" s="40">
        <v>1</v>
      </c>
      <c r="D2622" s="54">
        <v>14000</v>
      </c>
      <c r="E2622" s="40">
        <v>5</v>
      </c>
      <c r="F2622" s="68">
        <f>(10000*E2622)+(4000*E2622*0.75)</f>
        <v>65000</v>
      </c>
      <c r="G2622" s="55">
        <v>0</v>
      </c>
      <c r="H2622" s="58">
        <f>(1-G2622)*F2622</f>
        <v>65000</v>
      </c>
    </row>
    <row r="2623" spans="1:9" x14ac:dyDescent="0.3">
      <c r="A2623" s="53"/>
      <c r="B2623" s="70" t="s">
        <v>9</v>
      </c>
      <c r="C2623" s="39"/>
      <c r="D2623" s="59"/>
      <c r="E2623" s="39"/>
      <c r="F2623" s="71"/>
      <c r="G2623" s="39"/>
      <c r="H2623" s="58">
        <f>H2621+H2622</f>
        <v>65000</v>
      </c>
    </row>
    <row r="2624" spans="1:9" x14ac:dyDescent="0.3">
      <c r="A2624" s="60"/>
      <c r="B2624" s="62">
        <v>6023</v>
      </c>
      <c r="C2624" s="86" t="s">
        <v>460</v>
      </c>
      <c r="D2624" s="156"/>
      <c r="E2624" s="44" t="s">
        <v>1988</v>
      </c>
      <c r="F2624" s="63"/>
      <c r="G2624" s="60"/>
      <c r="H2624" s="48"/>
    </row>
    <row r="2625" spans="1:8" x14ac:dyDescent="0.3">
      <c r="A2625" s="40"/>
      <c r="B2625" s="64" t="s">
        <v>0</v>
      </c>
      <c r="C2625" s="49" t="s">
        <v>1</v>
      </c>
      <c r="D2625" s="50" t="s">
        <v>2</v>
      </c>
      <c r="E2625" s="51" t="s">
        <v>3</v>
      </c>
      <c r="F2625" s="65" t="s">
        <v>4</v>
      </c>
      <c r="G2625" s="51" t="s">
        <v>5</v>
      </c>
      <c r="H2625" s="52" t="s">
        <v>6</v>
      </c>
    </row>
    <row r="2626" spans="1:8" x14ac:dyDescent="0.3">
      <c r="A2626" s="40">
        <v>1</v>
      </c>
      <c r="B2626" s="144" t="s">
        <v>665</v>
      </c>
      <c r="C2626" s="40"/>
      <c r="D2626" s="41"/>
      <c r="E2626" s="40"/>
      <c r="F2626" s="68"/>
      <c r="G2626" s="55"/>
      <c r="H2626" s="42"/>
    </row>
    <row r="2627" spans="1:8" x14ac:dyDescent="0.3">
      <c r="A2627" s="53"/>
      <c r="B2627" s="70" t="s">
        <v>7</v>
      </c>
      <c r="C2627" s="40"/>
      <c r="D2627" s="54"/>
      <c r="E2627" s="40"/>
      <c r="F2627" s="68"/>
      <c r="G2627" s="55"/>
      <c r="H2627" s="58">
        <f>SUM(H2626:H2626)</f>
        <v>0</v>
      </c>
    </row>
    <row r="2628" spans="1:8" x14ac:dyDescent="0.3">
      <c r="A2628" s="53">
        <v>2</v>
      </c>
      <c r="B2628" s="70" t="s">
        <v>8</v>
      </c>
      <c r="C2628" s="40">
        <v>1</v>
      </c>
      <c r="D2628" s="54">
        <v>27902</v>
      </c>
      <c r="E2628" s="40">
        <v>5</v>
      </c>
      <c r="F2628" s="68">
        <f>(10000*E2628)+(10000*E2628*0.75)+(7902*E2628*0.5)</f>
        <v>107255</v>
      </c>
      <c r="G2628" s="55">
        <v>0</v>
      </c>
      <c r="H2628" s="58">
        <f>(1-G2628)*F2628</f>
        <v>107255</v>
      </c>
    </row>
    <row r="2629" spans="1:8" x14ac:dyDescent="0.3">
      <c r="A2629" s="53"/>
      <c r="B2629" s="70" t="s">
        <v>9</v>
      </c>
      <c r="C2629" s="39"/>
      <c r="D2629" s="59"/>
      <c r="E2629" s="39"/>
      <c r="F2629" s="71"/>
      <c r="G2629" s="39"/>
      <c r="H2629" s="58">
        <f>H2627+H2628</f>
        <v>107255</v>
      </c>
    </row>
    <row r="2630" spans="1:8" x14ac:dyDescent="0.3">
      <c r="A2630" s="60"/>
      <c r="B2630" s="62">
        <v>6024</v>
      </c>
      <c r="C2630" s="86" t="s">
        <v>460</v>
      </c>
      <c r="D2630" s="156"/>
      <c r="E2630" s="44" t="s">
        <v>1959</v>
      </c>
      <c r="F2630" s="63"/>
      <c r="G2630" s="60"/>
      <c r="H2630" s="48"/>
    </row>
    <row r="2631" spans="1:8" x14ac:dyDescent="0.3">
      <c r="A2631" s="40"/>
      <c r="B2631" s="64" t="s">
        <v>0</v>
      </c>
      <c r="C2631" s="49" t="s">
        <v>1</v>
      </c>
      <c r="D2631" s="50" t="s">
        <v>2</v>
      </c>
      <c r="E2631" s="51" t="s">
        <v>3</v>
      </c>
      <c r="F2631" s="65" t="s">
        <v>4</v>
      </c>
      <c r="G2631" s="51" t="s">
        <v>5</v>
      </c>
      <c r="H2631" s="52" t="s">
        <v>6</v>
      </c>
    </row>
    <row r="2632" spans="1:8" x14ac:dyDescent="0.3">
      <c r="A2632" s="40">
        <v>1</v>
      </c>
      <c r="B2632" s="144" t="s">
        <v>665</v>
      </c>
      <c r="C2632" s="40"/>
      <c r="D2632" s="41"/>
      <c r="E2632" s="40"/>
      <c r="F2632" s="68"/>
      <c r="G2632" s="55"/>
      <c r="H2632" s="42"/>
    </row>
    <row r="2633" spans="1:8" x14ac:dyDescent="0.3">
      <c r="A2633" s="53"/>
      <c r="B2633" s="70" t="s">
        <v>7</v>
      </c>
      <c r="C2633" s="40"/>
      <c r="D2633" s="54"/>
      <c r="E2633" s="40"/>
      <c r="F2633" s="68"/>
      <c r="G2633" s="55"/>
      <c r="H2633" s="58">
        <f>SUM(H2632:H2632)</f>
        <v>0</v>
      </c>
    </row>
    <row r="2634" spans="1:8" x14ac:dyDescent="0.3">
      <c r="A2634" s="53">
        <v>2</v>
      </c>
      <c r="B2634" s="70" t="s">
        <v>8</v>
      </c>
      <c r="C2634" s="40">
        <v>1</v>
      </c>
      <c r="D2634" s="54">
        <v>32900</v>
      </c>
      <c r="E2634" s="40">
        <v>5</v>
      </c>
      <c r="F2634" s="68">
        <f>(10000*E2634)+(10000*E2634*0.75)+(1000*E2634*0.5)+(2900*E2634*0.25)</f>
        <v>93625</v>
      </c>
      <c r="G2634" s="55">
        <v>0</v>
      </c>
      <c r="H2634" s="58">
        <f>(1-G2634)*F2634</f>
        <v>93625</v>
      </c>
    </row>
    <row r="2635" spans="1:8" x14ac:dyDescent="0.3">
      <c r="A2635" s="53"/>
      <c r="B2635" s="70" t="s">
        <v>9</v>
      </c>
      <c r="C2635" s="39"/>
      <c r="D2635" s="59"/>
      <c r="E2635" s="39"/>
      <c r="F2635" s="71"/>
      <c r="G2635" s="39"/>
      <c r="H2635" s="58">
        <f>H2633+H2634</f>
        <v>93625</v>
      </c>
    </row>
    <row r="2636" spans="1:8" x14ac:dyDescent="0.3">
      <c r="A2636" s="43"/>
      <c r="B2636" s="72" t="s">
        <v>1204</v>
      </c>
      <c r="C2636" s="44" t="s">
        <v>1205</v>
      </c>
      <c r="D2636" s="73"/>
      <c r="E2636" s="47" t="s">
        <v>1206</v>
      </c>
      <c r="F2636" s="60"/>
      <c r="G2636" s="60"/>
      <c r="H2636" s="48"/>
    </row>
    <row r="2637" spans="1:8" x14ac:dyDescent="0.3">
      <c r="A2637" s="40"/>
      <c r="B2637" s="49" t="s">
        <v>10</v>
      </c>
      <c r="C2637" s="49" t="s">
        <v>1</v>
      </c>
      <c r="D2637" s="50" t="s">
        <v>2</v>
      </c>
      <c r="E2637" s="51" t="s">
        <v>3</v>
      </c>
      <c r="F2637" s="51" t="s">
        <v>4</v>
      </c>
      <c r="G2637" s="51" t="s">
        <v>5</v>
      </c>
      <c r="H2637" s="52" t="s">
        <v>6</v>
      </c>
    </row>
    <row r="2638" spans="1:8" x14ac:dyDescent="0.3">
      <c r="A2638" s="53"/>
      <c r="B2638" s="57" t="s">
        <v>1207</v>
      </c>
      <c r="C2638" s="40"/>
      <c r="D2638" s="54"/>
      <c r="E2638" s="40"/>
      <c r="F2638" s="40"/>
      <c r="G2638" s="55"/>
      <c r="H2638" s="42"/>
    </row>
    <row r="2639" spans="1:8" x14ac:dyDescent="0.3">
      <c r="A2639" s="53">
        <v>1</v>
      </c>
      <c r="B2639" s="57" t="s">
        <v>8</v>
      </c>
      <c r="C2639" s="40">
        <v>1</v>
      </c>
      <c r="D2639" s="54">
        <v>2070</v>
      </c>
      <c r="E2639" s="40">
        <v>5</v>
      </c>
      <c r="F2639" s="40">
        <f>C2639*D2639*E2639</f>
        <v>10350</v>
      </c>
      <c r="G2639" s="55">
        <v>0</v>
      </c>
      <c r="H2639" s="58">
        <f>(1-G2639)*F2639</f>
        <v>10350</v>
      </c>
    </row>
    <row r="2640" spans="1:8" x14ac:dyDescent="0.3">
      <c r="A2640" s="53"/>
      <c r="B2640" s="57" t="s">
        <v>9</v>
      </c>
      <c r="C2640" s="39"/>
      <c r="D2640" s="59"/>
      <c r="E2640" s="39"/>
      <c r="F2640" s="39"/>
      <c r="G2640" s="39"/>
      <c r="H2640" s="58">
        <f>H2639</f>
        <v>10350</v>
      </c>
    </row>
    <row r="2641" spans="1:8" x14ac:dyDescent="0.3">
      <c r="A2641" s="53"/>
      <c r="B2641" s="70"/>
      <c r="C2641" s="39"/>
      <c r="D2641" s="59"/>
      <c r="E2641" s="39"/>
      <c r="F2641" s="71"/>
      <c r="G2641" s="39"/>
      <c r="H2641" s="58"/>
    </row>
    <row r="2642" spans="1:8" x14ac:dyDescent="0.3">
      <c r="A2642" s="43"/>
      <c r="B2642" s="62" t="s">
        <v>1024</v>
      </c>
      <c r="C2642" s="92" t="s">
        <v>1025</v>
      </c>
      <c r="D2642" s="73"/>
      <c r="E2642" s="44" t="s">
        <v>1026</v>
      </c>
      <c r="F2642" s="60"/>
      <c r="G2642" s="60"/>
      <c r="H2642" s="48"/>
    </row>
    <row r="2643" spans="1:8" x14ac:dyDescent="0.3">
      <c r="A2643" s="40"/>
      <c r="B2643" s="49" t="s">
        <v>10</v>
      </c>
      <c r="C2643" s="49" t="s">
        <v>1</v>
      </c>
      <c r="D2643" s="50" t="s">
        <v>2</v>
      </c>
      <c r="E2643" s="51" t="s">
        <v>3</v>
      </c>
      <c r="F2643" s="51" t="s">
        <v>4</v>
      </c>
      <c r="G2643" s="51" t="s">
        <v>5</v>
      </c>
      <c r="H2643" s="52" t="s">
        <v>6</v>
      </c>
    </row>
    <row r="2644" spans="1:8" x14ac:dyDescent="0.3">
      <c r="A2644" s="53">
        <v>1</v>
      </c>
      <c r="B2644" s="53" t="s">
        <v>15</v>
      </c>
      <c r="C2644" s="40"/>
      <c r="D2644" s="91"/>
      <c r="E2644" s="40"/>
      <c r="F2644" s="40"/>
      <c r="G2644" s="55"/>
      <c r="H2644" s="42"/>
    </row>
    <row r="2645" spans="1:8" x14ac:dyDescent="0.3">
      <c r="A2645" s="53">
        <v>2</v>
      </c>
      <c r="B2645" s="57" t="s">
        <v>8</v>
      </c>
      <c r="C2645" s="40">
        <v>1</v>
      </c>
      <c r="D2645" s="54">
        <v>2105</v>
      </c>
      <c r="E2645" s="40">
        <v>5</v>
      </c>
      <c r="F2645" s="40">
        <f>C2645*D2645*E2645</f>
        <v>10525</v>
      </c>
      <c r="G2645" s="55">
        <v>0</v>
      </c>
      <c r="H2645" s="58">
        <f>(1-G2645)*F2645</f>
        <v>10525</v>
      </c>
    </row>
    <row r="2646" spans="1:8" x14ac:dyDescent="0.3">
      <c r="A2646" s="53"/>
      <c r="B2646" s="57" t="s">
        <v>9</v>
      </c>
      <c r="C2646" s="39"/>
      <c r="D2646" s="59"/>
      <c r="E2646" s="39"/>
      <c r="F2646" s="39"/>
      <c r="G2646" s="39"/>
      <c r="H2646" s="58">
        <f>H2645</f>
        <v>10525</v>
      </c>
    </row>
    <row r="2647" spans="1:8" x14ac:dyDescent="0.3">
      <c r="A2647" s="53"/>
      <c r="B2647" s="70"/>
      <c r="C2647" s="40"/>
      <c r="D2647" s="41"/>
      <c r="E2647" s="40"/>
      <c r="F2647" s="68"/>
      <c r="G2647" s="40"/>
      <c r="H2647" s="58"/>
    </row>
    <row r="2648" spans="1:8" x14ac:dyDescent="0.3">
      <c r="A2648" s="43"/>
      <c r="B2648" s="62" t="s">
        <v>1027</v>
      </c>
      <c r="C2648" s="92" t="s">
        <v>1025</v>
      </c>
      <c r="D2648" s="73"/>
      <c r="E2648" s="44" t="s">
        <v>1026</v>
      </c>
      <c r="F2648" s="60"/>
      <c r="G2648" s="60"/>
      <c r="H2648" s="48"/>
    </row>
    <row r="2649" spans="1:8" x14ac:dyDescent="0.3">
      <c r="A2649" s="40"/>
      <c r="B2649" s="49" t="s">
        <v>10</v>
      </c>
      <c r="C2649" s="49" t="s">
        <v>1</v>
      </c>
      <c r="D2649" s="50" t="s">
        <v>2</v>
      </c>
      <c r="E2649" s="51" t="s">
        <v>3</v>
      </c>
      <c r="F2649" s="51" t="s">
        <v>4</v>
      </c>
      <c r="G2649" s="51" t="s">
        <v>5</v>
      </c>
      <c r="H2649" s="52" t="s">
        <v>6</v>
      </c>
    </row>
    <row r="2650" spans="1:8" ht="72" x14ac:dyDescent="0.3">
      <c r="A2650" s="53">
        <v>1</v>
      </c>
      <c r="B2650" s="53" t="s">
        <v>1630</v>
      </c>
      <c r="C2650" s="40">
        <v>1</v>
      </c>
      <c r="D2650" s="91">
        <v>300</v>
      </c>
      <c r="E2650" s="40">
        <v>450</v>
      </c>
      <c r="F2650" s="40">
        <f>C2650*D2650*E2650</f>
        <v>135000</v>
      </c>
      <c r="G2650" s="55">
        <v>0.4</v>
      </c>
      <c r="H2650" s="42">
        <f>F2650*(1-G2650)</f>
        <v>81000</v>
      </c>
    </row>
    <row r="2651" spans="1:8" ht="86.4" x14ac:dyDescent="0.3">
      <c r="A2651" s="53">
        <v>2</v>
      </c>
      <c r="B2651" s="53" t="s">
        <v>1886</v>
      </c>
      <c r="C2651" s="40">
        <v>1</v>
      </c>
      <c r="D2651" s="91">
        <v>60</v>
      </c>
      <c r="E2651" s="40">
        <v>300</v>
      </c>
      <c r="F2651" s="40">
        <f>C2651*D2651*E2651</f>
        <v>18000</v>
      </c>
      <c r="G2651" s="55">
        <v>0.5</v>
      </c>
      <c r="H2651" s="42">
        <f>F2651*(1-G2651)</f>
        <v>9000</v>
      </c>
    </row>
    <row r="2652" spans="1:8" ht="28.8" x14ac:dyDescent="0.3">
      <c r="A2652" s="53">
        <v>3</v>
      </c>
      <c r="B2652" s="53" t="s">
        <v>1484</v>
      </c>
      <c r="C2652" s="40">
        <v>1</v>
      </c>
      <c r="D2652" s="91">
        <v>92.26</v>
      </c>
      <c r="E2652" s="40">
        <v>45</v>
      </c>
      <c r="F2652" s="40">
        <f>C2652*D2652*E2652</f>
        <v>4151.7</v>
      </c>
      <c r="G2652" s="55">
        <v>0.4</v>
      </c>
      <c r="H2652" s="42">
        <f>F2652*(1-G2652)</f>
        <v>2491.02</v>
      </c>
    </row>
    <row r="2653" spans="1:8" x14ac:dyDescent="0.3">
      <c r="A2653" s="53"/>
      <c r="B2653" s="57" t="s">
        <v>7</v>
      </c>
      <c r="C2653" s="40"/>
      <c r="D2653" s="54"/>
      <c r="E2653" s="40"/>
      <c r="F2653" s="40"/>
      <c r="G2653" s="55"/>
      <c r="H2653" s="58">
        <f>SUM(H2650:H2652)</f>
        <v>92491.02</v>
      </c>
    </row>
    <row r="2654" spans="1:8" x14ac:dyDescent="0.3">
      <c r="A2654" s="53">
        <v>4</v>
      </c>
      <c r="B2654" s="57" t="s">
        <v>8</v>
      </c>
      <c r="C2654" s="40">
        <v>1</v>
      </c>
      <c r="D2654" s="54">
        <v>2128</v>
      </c>
      <c r="E2654" s="40">
        <v>5</v>
      </c>
      <c r="F2654" s="40">
        <f>C2654*D2654*E2654</f>
        <v>10640</v>
      </c>
      <c r="G2654" s="55">
        <v>0</v>
      </c>
      <c r="H2654" s="58">
        <f>(1-G2654)*F2654</f>
        <v>10640</v>
      </c>
    </row>
    <row r="2655" spans="1:8" x14ac:dyDescent="0.3">
      <c r="A2655" s="53"/>
      <c r="B2655" s="57" t="s">
        <v>9</v>
      </c>
      <c r="C2655" s="39"/>
      <c r="D2655" s="59"/>
      <c r="E2655" s="39"/>
      <c r="F2655" s="39"/>
      <c r="G2655" s="39"/>
      <c r="H2655" s="58">
        <f>H2653+H2654</f>
        <v>103131.02</v>
      </c>
    </row>
    <row r="2656" spans="1:8" x14ac:dyDescent="0.3">
      <c r="A2656" s="43"/>
      <c r="B2656" s="62" t="s">
        <v>1028</v>
      </c>
      <c r="C2656" s="92" t="s">
        <v>1025</v>
      </c>
      <c r="D2656" s="73"/>
      <c r="E2656" s="44" t="s">
        <v>1029</v>
      </c>
      <c r="F2656" s="60"/>
      <c r="G2656" s="60"/>
      <c r="H2656" s="48"/>
    </row>
    <row r="2657" spans="1:8" x14ac:dyDescent="0.3">
      <c r="A2657" s="40"/>
      <c r="B2657" s="49" t="s">
        <v>10</v>
      </c>
      <c r="C2657" s="49" t="s">
        <v>1</v>
      </c>
      <c r="D2657" s="50" t="s">
        <v>2</v>
      </c>
      <c r="E2657" s="51" t="s">
        <v>3</v>
      </c>
      <c r="F2657" s="51" t="s">
        <v>4</v>
      </c>
      <c r="G2657" s="51" t="s">
        <v>5</v>
      </c>
      <c r="H2657" s="52" t="s">
        <v>6</v>
      </c>
    </row>
    <row r="2658" spans="1:8" ht="86.4" x14ac:dyDescent="0.3">
      <c r="A2658" s="53">
        <v>1</v>
      </c>
      <c r="B2658" s="53" t="s">
        <v>1631</v>
      </c>
      <c r="C2658" s="40">
        <v>1</v>
      </c>
      <c r="D2658" s="91">
        <v>325</v>
      </c>
      <c r="E2658" s="40">
        <v>400</v>
      </c>
      <c r="F2658" s="40">
        <f>C2658*D2658*E2658</f>
        <v>130000</v>
      </c>
      <c r="G2658" s="55">
        <v>0.4</v>
      </c>
      <c r="H2658" s="42">
        <f>F2658*(1-G2658)</f>
        <v>78000</v>
      </c>
    </row>
    <row r="2659" spans="1:8" ht="86.4" x14ac:dyDescent="0.3">
      <c r="A2659" s="53">
        <v>2</v>
      </c>
      <c r="B2659" s="53" t="s">
        <v>1887</v>
      </c>
      <c r="C2659" s="40">
        <v>1</v>
      </c>
      <c r="D2659" s="91">
        <v>125</v>
      </c>
      <c r="E2659" s="40">
        <v>300</v>
      </c>
      <c r="F2659" s="40">
        <f>C2659*D2659*E2659</f>
        <v>37500</v>
      </c>
      <c r="G2659" s="55">
        <v>0.5</v>
      </c>
      <c r="H2659" s="42">
        <f>F2659*(1-G2659)</f>
        <v>18750</v>
      </c>
    </row>
    <row r="2660" spans="1:8" ht="28.8" x14ac:dyDescent="0.3">
      <c r="A2660" s="53">
        <v>3</v>
      </c>
      <c r="B2660" s="53" t="s">
        <v>1484</v>
      </c>
      <c r="C2660" s="40">
        <v>1</v>
      </c>
      <c r="D2660" s="91">
        <v>89.47</v>
      </c>
      <c r="E2660" s="40">
        <v>45</v>
      </c>
      <c r="F2660" s="40">
        <f>C2660*D2660*E2660</f>
        <v>4026.15</v>
      </c>
      <c r="G2660" s="55">
        <v>0.4</v>
      </c>
      <c r="H2660" s="42">
        <f>F2660*(1-G2660)</f>
        <v>2415.69</v>
      </c>
    </row>
    <row r="2661" spans="1:8" x14ac:dyDescent="0.3">
      <c r="A2661" s="53"/>
      <c r="B2661" s="57" t="s">
        <v>7</v>
      </c>
      <c r="C2661" s="40"/>
      <c r="D2661" s="54"/>
      <c r="E2661" s="40"/>
      <c r="F2661" s="40"/>
      <c r="G2661" s="55"/>
      <c r="H2661" s="58">
        <f>SUM(H2658:H2660)</f>
        <v>99165.69</v>
      </c>
    </row>
    <row r="2662" spans="1:8" x14ac:dyDescent="0.3">
      <c r="A2662" s="53">
        <v>4</v>
      </c>
      <c r="B2662" s="57" t="s">
        <v>8</v>
      </c>
      <c r="C2662" s="40">
        <v>1</v>
      </c>
      <c r="D2662" s="54">
        <v>2001</v>
      </c>
      <c r="E2662" s="40">
        <v>5</v>
      </c>
      <c r="F2662" s="40">
        <f>C2662*D2662*E2662</f>
        <v>10005</v>
      </c>
      <c r="G2662" s="55">
        <v>0</v>
      </c>
      <c r="H2662" s="58">
        <f>(1-G2662)*F2662</f>
        <v>10005</v>
      </c>
    </row>
    <row r="2663" spans="1:8" x14ac:dyDescent="0.3">
      <c r="A2663" s="53"/>
      <c r="B2663" s="57" t="s">
        <v>9</v>
      </c>
      <c r="C2663" s="39"/>
      <c r="D2663" s="59"/>
      <c r="E2663" s="39"/>
      <c r="F2663" s="39"/>
      <c r="G2663" s="39"/>
      <c r="H2663" s="58">
        <f>H2661+H2662</f>
        <v>109170.69</v>
      </c>
    </row>
    <row r="2664" spans="1:8" x14ac:dyDescent="0.3">
      <c r="A2664" s="43"/>
      <c r="B2664" s="72" t="s">
        <v>1212</v>
      </c>
      <c r="C2664" s="44" t="s">
        <v>1205</v>
      </c>
      <c r="D2664" s="73"/>
      <c r="E2664" s="44" t="s">
        <v>1029</v>
      </c>
      <c r="F2664" s="60"/>
      <c r="G2664" s="60"/>
      <c r="H2664" s="48"/>
    </row>
    <row r="2665" spans="1:8" x14ac:dyDescent="0.3">
      <c r="A2665" s="40"/>
      <c r="B2665" s="49" t="s">
        <v>10</v>
      </c>
      <c r="C2665" s="49" t="s">
        <v>1</v>
      </c>
      <c r="D2665" s="50" t="s">
        <v>2</v>
      </c>
      <c r="E2665" s="51" t="s">
        <v>3</v>
      </c>
      <c r="F2665" s="51" t="s">
        <v>4</v>
      </c>
      <c r="G2665" s="51" t="s">
        <v>5</v>
      </c>
      <c r="H2665" s="52" t="s">
        <v>6</v>
      </c>
    </row>
    <row r="2666" spans="1:8" ht="100.8" x14ac:dyDescent="0.3">
      <c r="A2666" s="53">
        <v>1</v>
      </c>
      <c r="B2666" s="53" t="s">
        <v>1374</v>
      </c>
      <c r="C2666" s="40">
        <v>1</v>
      </c>
      <c r="D2666" s="54">
        <v>85.43</v>
      </c>
      <c r="E2666" s="40">
        <v>400</v>
      </c>
      <c r="F2666" s="40">
        <f>C2666*D2666*E2666</f>
        <v>34172</v>
      </c>
      <c r="G2666" s="55">
        <v>0.5</v>
      </c>
      <c r="H2666" s="42">
        <f>F2666*(1-G2666)</f>
        <v>17086</v>
      </c>
    </row>
    <row r="2667" spans="1:8" ht="72" x14ac:dyDescent="0.3">
      <c r="A2667" s="53">
        <v>2</v>
      </c>
      <c r="B2667" s="53" t="s">
        <v>1213</v>
      </c>
      <c r="C2667" s="40">
        <v>1</v>
      </c>
      <c r="D2667" s="54">
        <v>7.99</v>
      </c>
      <c r="E2667" s="40">
        <v>100</v>
      </c>
      <c r="F2667" s="40">
        <f>C2667*D2667*E2667</f>
        <v>799</v>
      </c>
      <c r="G2667" s="55">
        <v>0.5</v>
      </c>
      <c r="H2667" s="42">
        <f>F2667*(1-G2667)</f>
        <v>399.5</v>
      </c>
    </row>
    <row r="2668" spans="1:8" ht="28.8" x14ac:dyDescent="0.3">
      <c r="A2668" s="53">
        <v>3</v>
      </c>
      <c r="B2668" s="53" t="s">
        <v>1211</v>
      </c>
      <c r="C2668" s="40">
        <v>1</v>
      </c>
      <c r="D2668" s="54">
        <v>47.58</v>
      </c>
      <c r="E2668" s="40">
        <v>22</v>
      </c>
      <c r="F2668" s="40">
        <f>C2668*D2668*E2668</f>
        <v>1046.76</v>
      </c>
      <c r="G2668" s="55">
        <v>0.5</v>
      </c>
      <c r="H2668" s="42">
        <f>F2668*(1-G2668)</f>
        <v>523.38</v>
      </c>
    </row>
    <row r="2669" spans="1:8" ht="28.8" x14ac:dyDescent="0.3">
      <c r="A2669" s="53"/>
      <c r="B2669" s="53" t="s">
        <v>1214</v>
      </c>
      <c r="C2669" s="40">
        <v>1</v>
      </c>
      <c r="D2669" s="54">
        <f>D2668*3</f>
        <v>142.74</v>
      </c>
      <c r="E2669" s="40">
        <v>45</v>
      </c>
      <c r="F2669" s="40">
        <f>C2669*D2669*E2669</f>
        <v>6423.3</v>
      </c>
      <c r="G2669" s="55">
        <v>0.5</v>
      </c>
      <c r="H2669" s="42">
        <f>F2669*(1-G2669)</f>
        <v>3211.65</v>
      </c>
    </row>
    <row r="2670" spans="1:8" x14ac:dyDescent="0.3">
      <c r="A2670" s="53"/>
      <c r="B2670" s="57" t="s">
        <v>7</v>
      </c>
      <c r="C2670" s="40"/>
      <c r="D2670" s="54"/>
      <c r="E2670" s="40"/>
      <c r="F2670" s="40"/>
      <c r="G2670" s="55"/>
      <c r="H2670" s="58">
        <f>SUM(H2666:H2669)</f>
        <v>21220.530000000002</v>
      </c>
    </row>
    <row r="2671" spans="1:8" x14ac:dyDescent="0.3">
      <c r="A2671" s="53">
        <v>4</v>
      </c>
      <c r="B2671" s="57" t="s">
        <v>8</v>
      </c>
      <c r="C2671" s="40">
        <v>1</v>
      </c>
      <c r="D2671" s="54">
        <v>2264</v>
      </c>
      <c r="E2671" s="40">
        <v>5</v>
      </c>
      <c r="F2671" s="40">
        <f>C2671*D2671*E2671</f>
        <v>11320</v>
      </c>
      <c r="G2671" s="55">
        <v>0</v>
      </c>
      <c r="H2671" s="58">
        <f>(1-G2671)*F2671</f>
        <v>11320</v>
      </c>
    </row>
    <row r="2672" spans="1:8" x14ac:dyDescent="0.3">
      <c r="A2672" s="53"/>
      <c r="B2672" s="57" t="s">
        <v>9</v>
      </c>
      <c r="C2672" s="39"/>
      <c r="D2672" s="59"/>
      <c r="E2672" s="39"/>
      <c r="F2672" s="39"/>
      <c r="G2672" s="39"/>
      <c r="H2672" s="58">
        <f>H2670+H2671</f>
        <v>32540.530000000002</v>
      </c>
    </row>
    <row r="2673" spans="1:8" x14ac:dyDescent="0.3">
      <c r="A2673" s="43"/>
      <c r="B2673" s="72" t="s">
        <v>1215</v>
      </c>
      <c r="C2673" s="44" t="s">
        <v>1205</v>
      </c>
      <c r="D2673" s="73"/>
      <c r="E2673" s="47" t="s">
        <v>1216</v>
      </c>
      <c r="F2673" s="47"/>
      <c r="G2673" s="60"/>
      <c r="H2673" s="48"/>
    </row>
    <row r="2674" spans="1:8" x14ac:dyDescent="0.3">
      <c r="A2674" s="40"/>
      <c r="B2674" s="49" t="s">
        <v>10</v>
      </c>
      <c r="C2674" s="49" t="s">
        <v>1</v>
      </c>
      <c r="D2674" s="50" t="s">
        <v>2</v>
      </c>
      <c r="E2674" s="51" t="s">
        <v>3</v>
      </c>
      <c r="F2674" s="51" t="s">
        <v>4</v>
      </c>
      <c r="G2674" s="51" t="s">
        <v>5</v>
      </c>
      <c r="H2674" s="52" t="s">
        <v>6</v>
      </c>
    </row>
    <row r="2675" spans="1:8" x14ac:dyDescent="0.3">
      <c r="A2675" s="53"/>
      <c r="B2675" s="57" t="s">
        <v>1217</v>
      </c>
      <c r="C2675" s="40"/>
      <c r="D2675" s="54"/>
      <c r="E2675" s="40"/>
      <c r="F2675" s="40"/>
      <c r="G2675" s="55"/>
      <c r="H2675" s="42"/>
    </row>
    <row r="2676" spans="1:8" x14ac:dyDescent="0.3">
      <c r="A2676" s="53">
        <v>1</v>
      </c>
      <c r="B2676" s="57" t="s">
        <v>8</v>
      </c>
      <c r="C2676" s="40">
        <v>1</v>
      </c>
      <c r="D2676" s="54">
        <v>14265</v>
      </c>
      <c r="E2676" s="40">
        <v>5</v>
      </c>
      <c r="F2676" s="40">
        <f>(10000*5)+(4265*3.75)</f>
        <v>65993.75</v>
      </c>
      <c r="G2676" s="55">
        <v>0</v>
      </c>
      <c r="H2676" s="58">
        <f>(1-G2676)*F2676</f>
        <v>65993.75</v>
      </c>
    </row>
    <row r="2677" spans="1:8" x14ac:dyDescent="0.3">
      <c r="A2677" s="53"/>
      <c r="B2677" s="57" t="s">
        <v>9</v>
      </c>
      <c r="C2677" s="39"/>
      <c r="D2677" s="59"/>
      <c r="E2677" s="39"/>
      <c r="F2677" s="39"/>
      <c r="G2677" s="39"/>
      <c r="H2677" s="58">
        <f>H2676</f>
        <v>65993.75</v>
      </c>
    </row>
    <row r="2678" spans="1:8" x14ac:dyDescent="0.3">
      <c r="A2678" s="43"/>
      <c r="B2678" s="72" t="s">
        <v>1208</v>
      </c>
      <c r="C2678" s="44" t="s">
        <v>1209</v>
      </c>
      <c r="D2678" s="73"/>
      <c r="E2678" s="47" t="s">
        <v>1216</v>
      </c>
      <c r="F2678" s="47"/>
      <c r="G2678" s="60"/>
      <c r="H2678" s="48"/>
    </row>
    <row r="2679" spans="1:8" x14ac:dyDescent="0.3">
      <c r="A2679" s="40"/>
      <c r="B2679" s="49" t="s">
        <v>10</v>
      </c>
      <c r="C2679" s="49" t="s">
        <v>1</v>
      </c>
      <c r="D2679" s="50" t="s">
        <v>2</v>
      </c>
      <c r="E2679" s="51" t="s">
        <v>3</v>
      </c>
      <c r="F2679" s="51" t="s">
        <v>4</v>
      </c>
      <c r="G2679" s="51" t="s">
        <v>5</v>
      </c>
      <c r="H2679" s="52" t="s">
        <v>6</v>
      </c>
    </row>
    <row r="2680" spans="1:8" ht="115.2" x14ac:dyDescent="0.3">
      <c r="A2680" s="53">
        <v>1</v>
      </c>
      <c r="B2680" s="53" t="s">
        <v>1888</v>
      </c>
      <c r="C2680" s="40">
        <v>1</v>
      </c>
      <c r="D2680" s="54">
        <v>804.36</v>
      </c>
      <c r="E2680" s="40">
        <v>450</v>
      </c>
      <c r="F2680" s="40">
        <f>C2680*D2680*E2680</f>
        <v>361962</v>
      </c>
      <c r="G2680" s="55">
        <v>0.5</v>
      </c>
      <c r="H2680" s="42">
        <f>F2680*(1-G2680)</f>
        <v>180981</v>
      </c>
    </row>
    <row r="2681" spans="1:8" ht="28.8" x14ac:dyDescent="0.3">
      <c r="A2681" s="53">
        <v>2</v>
      </c>
      <c r="B2681" s="53" t="s">
        <v>1210</v>
      </c>
      <c r="C2681" s="40">
        <v>1</v>
      </c>
      <c r="D2681" s="54">
        <v>50.13</v>
      </c>
      <c r="E2681" s="40">
        <v>45</v>
      </c>
      <c r="F2681" s="40">
        <f>C2681*D2681*E2681*0.5</f>
        <v>1127.925</v>
      </c>
      <c r="G2681" s="55">
        <v>0.5</v>
      </c>
      <c r="H2681" s="42">
        <f>F2681*(1-G2681)</f>
        <v>563.96249999999998</v>
      </c>
    </row>
    <row r="2682" spans="1:8" ht="28.8" x14ac:dyDescent="0.3">
      <c r="A2682" s="53"/>
      <c r="B2682" s="53" t="s">
        <v>1211</v>
      </c>
      <c r="C2682" s="40">
        <v>1</v>
      </c>
      <c r="D2682" s="54">
        <f>D2681*3</f>
        <v>150.39000000000001</v>
      </c>
      <c r="E2682" s="40">
        <v>22</v>
      </c>
      <c r="F2682" s="40">
        <f>C2682*D2682*E2682*0.5</f>
        <v>1654.2900000000002</v>
      </c>
      <c r="G2682" s="55">
        <v>0.5</v>
      </c>
      <c r="H2682" s="42">
        <f>F2682*(1-G2682)</f>
        <v>827.1450000000001</v>
      </c>
    </row>
    <row r="2683" spans="1:8" x14ac:dyDescent="0.3">
      <c r="A2683" s="53"/>
      <c r="B2683" s="57" t="s">
        <v>7</v>
      </c>
      <c r="C2683" s="40"/>
      <c r="D2683" s="54"/>
      <c r="E2683" s="40"/>
      <c r="F2683" s="40"/>
      <c r="G2683" s="55"/>
      <c r="H2683" s="58">
        <f>SUM(H2680:H2682)</f>
        <v>182372.10749999998</v>
      </c>
    </row>
    <row r="2684" spans="1:8" x14ac:dyDescent="0.3">
      <c r="A2684" s="53">
        <v>3</v>
      </c>
      <c r="B2684" s="57" t="s">
        <v>8</v>
      </c>
      <c r="C2684" s="40">
        <v>1</v>
      </c>
      <c r="D2684" s="54">
        <v>2513</v>
      </c>
      <c r="E2684" s="40">
        <v>5</v>
      </c>
      <c r="F2684" s="40">
        <f>C2684*D2684*E2684</f>
        <v>12565</v>
      </c>
      <c r="G2684" s="55">
        <v>0</v>
      </c>
      <c r="H2684" s="58">
        <f>(1-G2684)*F2684</f>
        <v>12565</v>
      </c>
    </row>
    <row r="2685" spans="1:8" x14ac:dyDescent="0.3">
      <c r="A2685" s="53"/>
      <c r="B2685" s="57" t="s">
        <v>9</v>
      </c>
      <c r="C2685" s="39"/>
      <c r="D2685" s="59"/>
      <c r="E2685" s="39"/>
      <c r="F2685" s="39"/>
      <c r="G2685" s="39"/>
      <c r="H2685" s="58">
        <f>H2683+H2684</f>
        <v>194937.10749999998</v>
      </c>
    </row>
    <row r="2686" spans="1:8" x14ac:dyDescent="0.3">
      <c r="A2686" s="53"/>
      <c r="B2686" s="70"/>
      <c r="C2686" s="39"/>
      <c r="D2686" s="59"/>
      <c r="E2686" s="39"/>
      <c r="F2686" s="71"/>
      <c r="G2686" s="39"/>
      <c r="H2686" s="58"/>
    </row>
    <row r="2687" spans="1:8" x14ac:dyDescent="0.3">
      <c r="A2687" s="60"/>
      <c r="B2687" s="95">
        <v>7135</v>
      </c>
      <c r="C2687" s="47" t="s">
        <v>926</v>
      </c>
      <c r="D2687" s="156"/>
      <c r="E2687" s="47" t="s">
        <v>936</v>
      </c>
      <c r="F2687" s="47"/>
      <c r="G2687" s="60"/>
      <c r="H2687" s="48"/>
    </row>
    <row r="2688" spans="1:8" x14ac:dyDescent="0.3">
      <c r="A2688" s="40"/>
      <c r="B2688" s="151" t="s">
        <v>10</v>
      </c>
      <c r="C2688" s="173" t="s">
        <v>1</v>
      </c>
      <c r="D2688" s="174" t="s">
        <v>2</v>
      </c>
      <c r="E2688" s="151" t="s">
        <v>3</v>
      </c>
      <c r="F2688" s="151" t="s">
        <v>4</v>
      </c>
      <c r="G2688" s="151" t="s">
        <v>5</v>
      </c>
      <c r="H2688" s="175" t="s">
        <v>6</v>
      </c>
    </row>
    <row r="2689" spans="1:9" ht="43.2" x14ac:dyDescent="0.3">
      <c r="A2689" s="40">
        <v>1</v>
      </c>
      <c r="B2689" s="53" t="s">
        <v>937</v>
      </c>
      <c r="C2689" s="40">
        <v>1</v>
      </c>
      <c r="D2689" s="41">
        <v>481.84</v>
      </c>
      <c r="E2689" s="40">
        <v>150</v>
      </c>
      <c r="F2689" s="40">
        <f>C2689*D2689*E2689</f>
        <v>72276</v>
      </c>
      <c r="G2689" s="55">
        <v>0.6</v>
      </c>
      <c r="H2689" s="42">
        <f>(1-G2689)*F2689</f>
        <v>28910.400000000001</v>
      </c>
    </row>
    <row r="2690" spans="1:9" ht="72" x14ac:dyDescent="0.3">
      <c r="A2690" s="113">
        <v>2</v>
      </c>
      <c r="B2690" s="53" t="s">
        <v>938</v>
      </c>
      <c r="C2690" s="40">
        <v>1</v>
      </c>
      <c r="D2690" s="54">
        <v>104.32</v>
      </c>
      <c r="E2690" s="40">
        <v>400</v>
      </c>
      <c r="F2690" s="40">
        <f>C2690*D2690*E2690</f>
        <v>41728</v>
      </c>
      <c r="G2690" s="55">
        <v>0.6</v>
      </c>
      <c r="H2690" s="42">
        <f>F2690*(1-G2690)</f>
        <v>16691.2</v>
      </c>
    </row>
    <row r="2691" spans="1:9" ht="72" x14ac:dyDescent="0.3">
      <c r="A2691" s="151">
        <v>3</v>
      </c>
      <c r="B2691" s="53" t="s">
        <v>939</v>
      </c>
      <c r="C2691" s="40">
        <v>1</v>
      </c>
      <c r="D2691" s="54">
        <v>77.849999999999994</v>
      </c>
      <c r="E2691" s="40">
        <v>250</v>
      </c>
      <c r="F2691" s="40">
        <f>C2691*D2691*E2691</f>
        <v>19462.5</v>
      </c>
      <c r="G2691" s="55">
        <v>0.7</v>
      </c>
      <c r="H2691" s="42">
        <f>F2691*(1-G2691)</f>
        <v>5838.7500000000009</v>
      </c>
    </row>
    <row r="2692" spans="1:9" ht="72" x14ac:dyDescent="0.3">
      <c r="A2692" s="40">
        <v>4</v>
      </c>
      <c r="B2692" s="53" t="s">
        <v>940</v>
      </c>
      <c r="C2692" s="40">
        <v>1</v>
      </c>
      <c r="D2692" s="54">
        <v>45.51</v>
      </c>
      <c r="E2692" s="40">
        <v>100</v>
      </c>
      <c r="F2692" s="40">
        <f>C2692*D2692*E2692</f>
        <v>4551</v>
      </c>
      <c r="G2692" s="55">
        <v>0.7</v>
      </c>
      <c r="H2692" s="42">
        <f>F2692*(1-G2692)</f>
        <v>1365.3000000000002</v>
      </c>
    </row>
    <row r="2693" spans="1:9" ht="57.6" x14ac:dyDescent="0.3">
      <c r="A2693" s="40">
        <v>5</v>
      </c>
      <c r="B2693" s="53" t="s">
        <v>941</v>
      </c>
      <c r="C2693" s="40">
        <v>1</v>
      </c>
      <c r="D2693" s="54">
        <v>16</v>
      </c>
      <c r="E2693" s="40">
        <v>100</v>
      </c>
      <c r="F2693" s="40">
        <f>C2693*D2693*E2693</f>
        <v>1600</v>
      </c>
      <c r="G2693" s="55">
        <v>0.7</v>
      </c>
      <c r="H2693" s="42">
        <f>F2693*(1-G2693)</f>
        <v>480.00000000000006</v>
      </c>
    </row>
    <row r="2694" spans="1:9" x14ac:dyDescent="0.3">
      <c r="A2694" s="40"/>
      <c r="B2694" s="40" t="s">
        <v>11</v>
      </c>
      <c r="C2694" s="57"/>
      <c r="D2694" s="105"/>
      <c r="E2694" s="39"/>
      <c r="F2694" s="39"/>
      <c r="G2694" s="39"/>
      <c r="H2694" s="58">
        <f>SUM(H2689:H2693)</f>
        <v>53285.650000000009</v>
      </c>
      <c r="I2694" s="37"/>
    </row>
    <row r="2695" spans="1:9" x14ac:dyDescent="0.3">
      <c r="A2695" s="40">
        <v>6</v>
      </c>
      <c r="B2695" s="40" t="s">
        <v>8</v>
      </c>
      <c r="C2695" s="40">
        <v>1</v>
      </c>
      <c r="D2695" s="146">
        <v>13663</v>
      </c>
      <c r="E2695" s="40">
        <v>5</v>
      </c>
      <c r="F2695" s="40">
        <f>(10000*5)+(3663*3.75)</f>
        <v>63736.25</v>
      </c>
      <c r="G2695" s="55">
        <v>0</v>
      </c>
      <c r="H2695" s="42">
        <f>(1-G2695)*F2695</f>
        <v>63736.25</v>
      </c>
    </row>
    <row r="2696" spans="1:9" x14ac:dyDescent="0.3">
      <c r="A2696" s="40"/>
      <c r="B2696" s="39" t="s">
        <v>9</v>
      </c>
      <c r="C2696" s="39"/>
      <c r="D2696" s="105"/>
      <c r="E2696" s="39"/>
      <c r="F2696" s="170"/>
      <c r="G2696" s="39"/>
      <c r="H2696" s="58">
        <f>H2694+H2695</f>
        <v>117021.90000000001</v>
      </c>
    </row>
    <row r="2697" spans="1:9" x14ac:dyDescent="0.3">
      <c r="A2697" s="44"/>
      <c r="B2697" s="86">
        <v>7552</v>
      </c>
      <c r="C2697" s="44" t="s">
        <v>223</v>
      </c>
      <c r="D2697" s="73"/>
      <c r="E2697" s="46" t="s">
        <v>230</v>
      </c>
      <c r="F2697" s="47"/>
      <c r="G2697" s="47"/>
      <c r="H2697" s="98"/>
    </row>
    <row r="2698" spans="1:9" x14ac:dyDescent="0.3">
      <c r="A2698" s="39"/>
      <c r="B2698" s="107" t="s">
        <v>0</v>
      </c>
      <c r="C2698" s="107" t="s">
        <v>1</v>
      </c>
      <c r="D2698" s="108" t="s">
        <v>2</v>
      </c>
      <c r="E2698" s="109" t="s">
        <v>3</v>
      </c>
      <c r="F2698" s="109" t="s">
        <v>4</v>
      </c>
      <c r="G2698" s="109" t="s">
        <v>5</v>
      </c>
      <c r="H2698" s="106" t="s">
        <v>6</v>
      </c>
    </row>
    <row r="2699" spans="1:9" ht="72" x14ac:dyDescent="0.3">
      <c r="A2699" s="40">
        <v>1</v>
      </c>
      <c r="B2699" s="110" t="s">
        <v>1798</v>
      </c>
      <c r="C2699" s="40">
        <v>1</v>
      </c>
      <c r="D2699" s="54">
        <f>(9.4*14)+(3*2.2)+(3*2.2)</f>
        <v>144.79999999999998</v>
      </c>
      <c r="E2699" s="40">
        <v>250</v>
      </c>
      <c r="F2699" s="40">
        <f t="shared" ref="F2699:F2704" si="160">C2699*D2699*E2699</f>
        <v>36199.999999999993</v>
      </c>
      <c r="G2699" s="55">
        <v>0.4</v>
      </c>
      <c r="H2699" s="42">
        <f>F2699*(1-G2699)</f>
        <v>21719.999999999996</v>
      </c>
    </row>
    <row r="2700" spans="1:9" ht="72" x14ac:dyDescent="0.3">
      <c r="A2700" s="40">
        <v>2</v>
      </c>
      <c r="B2700" s="110" t="s">
        <v>231</v>
      </c>
      <c r="C2700" s="40">
        <v>1</v>
      </c>
      <c r="D2700" s="54">
        <v>33.75</v>
      </c>
      <c r="E2700" s="40">
        <v>100</v>
      </c>
      <c r="F2700" s="40">
        <f t="shared" si="160"/>
        <v>3375</v>
      </c>
      <c r="G2700" s="55">
        <v>0.4</v>
      </c>
      <c r="H2700" s="42">
        <f>F2700*(1-G2700)</f>
        <v>2025</v>
      </c>
    </row>
    <row r="2701" spans="1:9" ht="43.2" x14ac:dyDescent="0.3">
      <c r="A2701" s="40">
        <v>3</v>
      </c>
      <c r="B2701" s="53" t="s">
        <v>232</v>
      </c>
      <c r="C2701" s="40">
        <v>1</v>
      </c>
      <c r="D2701" s="54">
        <v>172.8</v>
      </c>
      <c r="E2701" s="40">
        <v>50</v>
      </c>
      <c r="F2701" s="40">
        <f t="shared" si="160"/>
        <v>8640</v>
      </c>
      <c r="G2701" s="55">
        <v>0.4</v>
      </c>
      <c r="H2701" s="42">
        <f>F2701*(1-G2701)</f>
        <v>5184</v>
      </c>
    </row>
    <row r="2702" spans="1:9" x14ac:dyDescent="0.3">
      <c r="A2702" s="40">
        <v>4</v>
      </c>
      <c r="B2702" s="110" t="s">
        <v>1539</v>
      </c>
      <c r="C2702" s="40">
        <v>1</v>
      </c>
      <c r="D2702" s="54">
        <v>274</v>
      </c>
      <c r="E2702" s="40">
        <v>45</v>
      </c>
      <c r="F2702" s="40">
        <f t="shared" si="160"/>
        <v>12330</v>
      </c>
      <c r="G2702" s="55">
        <v>0.7</v>
      </c>
      <c r="H2702" s="42">
        <f>F2702*(1-G2702)</f>
        <v>3699.0000000000005</v>
      </c>
    </row>
    <row r="2703" spans="1:9" x14ac:dyDescent="0.3">
      <c r="A2703" s="40"/>
      <c r="B2703" s="57" t="s">
        <v>7</v>
      </c>
      <c r="C2703" s="40"/>
      <c r="D2703" s="54"/>
      <c r="E2703" s="40"/>
      <c r="F2703" s="40"/>
      <c r="G2703" s="55"/>
      <c r="H2703" s="58">
        <f>SUM(H2699:H2702)</f>
        <v>32627.999999999996</v>
      </c>
    </row>
    <row r="2704" spans="1:9" x14ac:dyDescent="0.3">
      <c r="A2704" s="40">
        <v>5</v>
      </c>
      <c r="B2704" s="57" t="s">
        <v>8</v>
      </c>
      <c r="C2704" s="40">
        <v>1</v>
      </c>
      <c r="D2704" s="54">
        <v>4675</v>
      </c>
      <c r="E2704" s="40">
        <v>5</v>
      </c>
      <c r="F2704" s="40">
        <f t="shared" si="160"/>
        <v>23375</v>
      </c>
      <c r="G2704" s="55">
        <v>0</v>
      </c>
      <c r="H2704" s="58">
        <f>(1-G2704)*F2704</f>
        <v>23375</v>
      </c>
    </row>
    <row r="2705" spans="1:8" x14ac:dyDescent="0.3">
      <c r="A2705" s="51"/>
      <c r="B2705" s="57" t="s">
        <v>9</v>
      </c>
      <c r="C2705" s="39"/>
      <c r="D2705" s="59"/>
      <c r="E2705" s="39"/>
      <c r="F2705" s="39"/>
      <c r="G2705" s="39"/>
      <c r="H2705" s="58">
        <f>H2703+H2704</f>
        <v>56003</v>
      </c>
    </row>
    <row r="2706" spans="1:8" x14ac:dyDescent="0.3">
      <c r="A2706" s="51"/>
      <c r="B2706" s="57"/>
      <c r="C2706" s="39"/>
      <c r="D2706" s="59"/>
      <c r="E2706" s="39"/>
      <c r="F2706" s="39"/>
      <c r="G2706" s="39"/>
      <c r="H2706" s="58"/>
    </row>
    <row r="2707" spans="1:8" x14ac:dyDescent="0.3">
      <c r="A2707" s="60"/>
      <c r="B2707" s="95">
        <v>7754</v>
      </c>
      <c r="C2707" s="47" t="s">
        <v>601</v>
      </c>
      <c r="D2707" s="156"/>
      <c r="E2707" s="47"/>
      <c r="F2707" s="47" t="s">
        <v>1988</v>
      </c>
      <c r="G2707" s="60"/>
      <c r="H2707" s="48"/>
    </row>
    <row r="2708" spans="1:8" x14ac:dyDescent="0.3">
      <c r="A2708" s="40"/>
      <c r="B2708" s="151" t="s">
        <v>10</v>
      </c>
      <c r="C2708" s="173" t="s">
        <v>1</v>
      </c>
      <c r="D2708" s="174" t="s">
        <v>2</v>
      </c>
      <c r="E2708" s="151" t="s">
        <v>3</v>
      </c>
      <c r="F2708" s="151" t="s">
        <v>4</v>
      </c>
      <c r="G2708" s="151" t="s">
        <v>5</v>
      </c>
      <c r="H2708" s="175" t="s">
        <v>6</v>
      </c>
    </row>
    <row r="2709" spans="1:8" x14ac:dyDescent="0.3">
      <c r="A2709" s="40">
        <v>1</v>
      </c>
      <c r="B2709" s="53" t="s">
        <v>15</v>
      </c>
      <c r="C2709" s="40"/>
      <c r="D2709" s="54"/>
      <c r="E2709" s="40"/>
      <c r="F2709" s="40"/>
      <c r="G2709" s="55"/>
      <c r="H2709" s="42"/>
    </row>
    <row r="2710" spans="1:8" x14ac:dyDescent="0.3">
      <c r="A2710" s="40"/>
      <c r="B2710" s="40" t="s">
        <v>11</v>
      </c>
      <c r="C2710" s="40"/>
      <c r="D2710" s="146"/>
      <c r="E2710" s="40"/>
      <c r="F2710" s="169"/>
      <c r="G2710" s="55"/>
      <c r="H2710" s="42"/>
    </row>
    <row r="2711" spans="1:8" x14ac:dyDescent="0.3">
      <c r="A2711" s="40">
        <v>2</v>
      </c>
      <c r="B2711" s="40" t="s">
        <v>8</v>
      </c>
      <c r="C2711" s="40">
        <v>1</v>
      </c>
      <c r="D2711" s="146">
        <v>3280</v>
      </c>
      <c r="E2711" s="40">
        <v>5</v>
      </c>
      <c r="F2711" s="169">
        <f>C2711*D2711*E2711</f>
        <v>16400</v>
      </c>
      <c r="G2711" s="55">
        <v>0</v>
      </c>
      <c r="H2711" s="42">
        <f>(1-G2711)*F2711</f>
        <v>16400</v>
      </c>
    </row>
    <row r="2712" spans="1:8" x14ac:dyDescent="0.3">
      <c r="A2712" s="39"/>
      <c r="B2712" s="39" t="s">
        <v>9</v>
      </c>
      <c r="C2712" s="39"/>
      <c r="D2712" s="59"/>
      <c r="E2712" s="39"/>
      <c r="F2712" s="39"/>
      <c r="G2712" s="39"/>
      <c r="H2712" s="58">
        <f>SUM(H2711)</f>
        <v>16400</v>
      </c>
    </row>
    <row r="2713" spans="1:8" x14ac:dyDescent="0.3">
      <c r="A2713" s="51"/>
      <c r="B2713" s="57"/>
      <c r="C2713" s="39"/>
      <c r="D2713" s="59"/>
      <c r="E2713" s="39"/>
      <c r="F2713" s="39"/>
      <c r="G2713" s="39"/>
      <c r="H2713" s="58"/>
    </row>
    <row r="2714" spans="1:8" x14ac:dyDescent="0.3">
      <c r="A2714" s="43"/>
      <c r="B2714" s="62">
        <v>7755</v>
      </c>
      <c r="C2714" s="47" t="s">
        <v>601</v>
      </c>
      <c r="D2714" s="45"/>
      <c r="E2714" s="46" t="s">
        <v>669</v>
      </c>
      <c r="F2714" s="63"/>
      <c r="G2714" s="60"/>
      <c r="H2714" s="48"/>
    </row>
    <row r="2715" spans="1:8" x14ac:dyDescent="0.3">
      <c r="A2715" s="40"/>
      <c r="B2715" s="64" t="s">
        <v>0</v>
      </c>
      <c r="C2715" s="49" t="s">
        <v>1</v>
      </c>
      <c r="D2715" s="50" t="s">
        <v>2</v>
      </c>
      <c r="E2715" s="51" t="s">
        <v>3</v>
      </c>
      <c r="F2715" s="65" t="s">
        <v>4</v>
      </c>
      <c r="G2715" s="51" t="s">
        <v>5</v>
      </c>
      <c r="H2715" s="52" t="s">
        <v>6</v>
      </c>
    </row>
    <row r="2716" spans="1:8" ht="86.4" x14ac:dyDescent="0.3">
      <c r="A2716" s="40">
        <v>1</v>
      </c>
      <c r="B2716" s="66" t="s">
        <v>670</v>
      </c>
      <c r="C2716" s="40">
        <v>1</v>
      </c>
      <c r="D2716" s="67">
        <v>350</v>
      </c>
      <c r="E2716" s="40">
        <v>400</v>
      </c>
      <c r="F2716" s="68">
        <f t="shared" ref="F2716:F2721" si="161">C2716*D2716*E2716</f>
        <v>140000</v>
      </c>
      <c r="G2716" s="55">
        <v>0.5</v>
      </c>
      <c r="H2716" s="42">
        <f t="shared" ref="H2716:H2721" si="162">F2716*(1-G2716)</f>
        <v>70000</v>
      </c>
    </row>
    <row r="2717" spans="1:8" ht="57.6" x14ac:dyDescent="0.3">
      <c r="A2717" s="40">
        <v>2</v>
      </c>
      <c r="B2717" s="66" t="s">
        <v>671</v>
      </c>
      <c r="C2717" s="40">
        <v>1</v>
      </c>
      <c r="D2717" s="67">
        <v>36</v>
      </c>
      <c r="E2717" s="40">
        <v>100</v>
      </c>
      <c r="F2717" s="68">
        <f t="shared" si="161"/>
        <v>3600</v>
      </c>
      <c r="G2717" s="55">
        <v>0.5</v>
      </c>
      <c r="H2717" s="42">
        <f t="shared" si="162"/>
        <v>1800</v>
      </c>
    </row>
    <row r="2718" spans="1:8" ht="57.6" x14ac:dyDescent="0.3">
      <c r="A2718" s="40">
        <v>3</v>
      </c>
      <c r="B2718" s="66" t="s">
        <v>672</v>
      </c>
      <c r="C2718" s="40">
        <v>1</v>
      </c>
      <c r="D2718" s="67">
        <v>23.5</v>
      </c>
      <c r="E2718" s="40">
        <v>100</v>
      </c>
      <c r="F2718" s="68">
        <f t="shared" si="161"/>
        <v>2350</v>
      </c>
      <c r="G2718" s="55">
        <v>0.5</v>
      </c>
      <c r="H2718" s="42">
        <f t="shared" si="162"/>
        <v>1175</v>
      </c>
    </row>
    <row r="2719" spans="1:8" ht="57.6" x14ac:dyDescent="0.3">
      <c r="A2719" s="40">
        <v>4</v>
      </c>
      <c r="B2719" s="66" t="s">
        <v>673</v>
      </c>
      <c r="C2719" s="40">
        <v>1</v>
      </c>
      <c r="D2719" s="67">
        <v>25.5</v>
      </c>
      <c r="E2719" s="40">
        <v>100</v>
      </c>
      <c r="F2719" s="68">
        <f t="shared" si="161"/>
        <v>2550</v>
      </c>
      <c r="G2719" s="55">
        <v>0.5</v>
      </c>
      <c r="H2719" s="42">
        <f t="shared" si="162"/>
        <v>1275</v>
      </c>
    </row>
    <row r="2720" spans="1:8" ht="43.2" x14ac:dyDescent="0.3">
      <c r="A2720" s="40">
        <v>5</v>
      </c>
      <c r="B2720" s="66" t="s">
        <v>674</v>
      </c>
      <c r="C2720" s="40">
        <v>2</v>
      </c>
      <c r="D2720" s="67">
        <v>54</v>
      </c>
      <c r="E2720" s="40">
        <v>50</v>
      </c>
      <c r="F2720" s="68">
        <f t="shared" si="161"/>
        <v>5400</v>
      </c>
      <c r="G2720" s="55">
        <v>0.5</v>
      </c>
      <c r="H2720" s="42">
        <f t="shared" si="162"/>
        <v>2700</v>
      </c>
    </row>
    <row r="2721" spans="1:8" ht="28.8" x14ac:dyDescent="0.3">
      <c r="A2721" s="40">
        <v>6</v>
      </c>
      <c r="B2721" s="66" t="s">
        <v>606</v>
      </c>
      <c r="C2721" s="40">
        <v>1</v>
      </c>
      <c r="D2721" s="67"/>
      <c r="E2721" s="40">
        <v>22</v>
      </c>
      <c r="F2721" s="68">
        <f t="shared" si="161"/>
        <v>0</v>
      </c>
      <c r="G2721" s="55">
        <v>0.5</v>
      </c>
      <c r="H2721" s="42">
        <f t="shared" si="162"/>
        <v>0</v>
      </c>
    </row>
    <row r="2722" spans="1:8" x14ac:dyDescent="0.3">
      <c r="A2722" s="40"/>
      <c r="B2722" s="70" t="s">
        <v>7</v>
      </c>
      <c r="C2722" s="40"/>
      <c r="D2722" s="54"/>
      <c r="E2722" s="40"/>
      <c r="F2722" s="68"/>
      <c r="G2722" s="55"/>
      <c r="H2722" s="58">
        <f>SUM(H2716:H2721)</f>
        <v>76950</v>
      </c>
    </row>
    <row r="2723" spans="1:8" s="31" customFormat="1" x14ac:dyDescent="0.3">
      <c r="A2723" s="40">
        <v>7</v>
      </c>
      <c r="B2723" s="70" t="s">
        <v>8</v>
      </c>
      <c r="C2723" s="40">
        <v>1</v>
      </c>
      <c r="D2723" s="54">
        <v>4400</v>
      </c>
      <c r="E2723" s="40">
        <v>5</v>
      </c>
      <c r="F2723" s="68">
        <f>C2723*D2723*E2723</f>
        <v>22000</v>
      </c>
      <c r="G2723" s="55">
        <v>0</v>
      </c>
      <c r="H2723" s="58">
        <f>(1-G2723)*F2723</f>
        <v>22000</v>
      </c>
    </row>
    <row r="2724" spans="1:8" s="3" customFormat="1" x14ac:dyDescent="0.3">
      <c r="A2724" s="51"/>
      <c r="B2724" s="70" t="s">
        <v>9</v>
      </c>
      <c r="C2724" s="39"/>
      <c r="D2724" s="59"/>
      <c r="E2724" s="39"/>
      <c r="F2724" s="71"/>
      <c r="G2724" s="39"/>
      <c r="H2724" s="58">
        <f>H2722+H2723</f>
        <v>98950</v>
      </c>
    </row>
    <row r="2725" spans="1:8" x14ac:dyDescent="0.3">
      <c r="A2725" s="51"/>
      <c r="B2725" s="57"/>
      <c r="C2725" s="39"/>
      <c r="D2725" s="59"/>
      <c r="E2725" s="39"/>
      <c r="F2725" s="39"/>
      <c r="G2725" s="39"/>
      <c r="H2725" s="58"/>
    </row>
    <row r="2726" spans="1:8" x14ac:dyDescent="0.3">
      <c r="A2726" s="43"/>
      <c r="B2726" s="62">
        <v>7557</v>
      </c>
      <c r="C2726" s="92" t="s">
        <v>1889</v>
      </c>
      <c r="D2726" s="73"/>
      <c r="E2726" s="44" t="s">
        <v>460</v>
      </c>
      <c r="F2726" s="60"/>
      <c r="G2726" s="60"/>
      <c r="H2726" s="48"/>
    </row>
    <row r="2727" spans="1:8" x14ac:dyDescent="0.3">
      <c r="A2727" s="40"/>
      <c r="B2727" s="49" t="s">
        <v>10</v>
      </c>
      <c r="C2727" s="49" t="s">
        <v>1</v>
      </c>
      <c r="D2727" s="50" t="s">
        <v>2</v>
      </c>
      <c r="E2727" s="51" t="s">
        <v>3</v>
      </c>
      <c r="F2727" s="51" t="s">
        <v>4</v>
      </c>
      <c r="G2727" s="51" t="s">
        <v>5</v>
      </c>
      <c r="H2727" s="52" t="s">
        <v>6</v>
      </c>
    </row>
    <row r="2728" spans="1:8" ht="28.8" x14ac:dyDescent="0.3">
      <c r="A2728" s="53">
        <v>1</v>
      </c>
      <c r="B2728" s="53" t="s">
        <v>1046</v>
      </c>
      <c r="C2728" s="40">
        <v>1</v>
      </c>
      <c r="D2728" s="91">
        <v>253.45</v>
      </c>
      <c r="E2728" s="40">
        <v>250</v>
      </c>
      <c r="F2728" s="40">
        <f>C2728*D2728*E2728</f>
        <v>63362.5</v>
      </c>
      <c r="G2728" s="55">
        <v>0.86</v>
      </c>
      <c r="H2728" s="42">
        <f>F2728*(1-G2728)</f>
        <v>8870.75</v>
      </c>
    </row>
    <row r="2729" spans="1:8" x14ac:dyDescent="0.3">
      <c r="A2729" s="53"/>
      <c r="B2729" s="57" t="s">
        <v>7</v>
      </c>
      <c r="C2729" s="40"/>
      <c r="D2729" s="54"/>
      <c r="E2729" s="40"/>
      <c r="F2729" s="40"/>
      <c r="G2729" s="55"/>
      <c r="H2729" s="58">
        <f>SUM(H2728)</f>
        <v>8870.75</v>
      </c>
    </row>
    <row r="2730" spans="1:8" x14ac:dyDescent="0.3">
      <c r="A2730" s="53">
        <v>2</v>
      </c>
      <c r="B2730" s="57" t="s">
        <v>8</v>
      </c>
      <c r="C2730" s="40">
        <v>1</v>
      </c>
      <c r="D2730" s="54">
        <v>5980</v>
      </c>
      <c r="E2730" s="40">
        <v>5</v>
      </c>
      <c r="F2730" s="40">
        <f>C2730*D2730*E2730</f>
        <v>29900</v>
      </c>
      <c r="G2730" s="55">
        <v>0</v>
      </c>
      <c r="H2730" s="58">
        <f>(1-G2730)*F2730</f>
        <v>29900</v>
      </c>
    </row>
    <row r="2731" spans="1:8" x14ac:dyDescent="0.3">
      <c r="A2731" s="53"/>
      <c r="B2731" s="57" t="s">
        <v>9</v>
      </c>
      <c r="C2731" s="39"/>
      <c r="D2731" s="59"/>
      <c r="E2731" s="39"/>
      <c r="F2731" s="39"/>
      <c r="G2731" s="39"/>
      <c r="H2731" s="58">
        <f>H2729+H2730</f>
        <v>38770.75</v>
      </c>
    </row>
    <row r="2732" spans="1:8" x14ac:dyDescent="0.3">
      <c r="A2732" s="43"/>
      <c r="B2732" s="62">
        <v>7558</v>
      </c>
      <c r="C2732" s="92" t="s">
        <v>1889</v>
      </c>
      <c r="D2732" s="73"/>
      <c r="E2732" s="44" t="s">
        <v>1047</v>
      </c>
      <c r="F2732" s="60"/>
      <c r="G2732" s="60"/>
      <c r="H2732" s="48"/>
    </row>
    <row r="2733" spans="1:8" x14ac:dyDescent="0.3">
      <c r="A2733" s="40"/>
      <c r="B2733" s="49" t="s">
        <v>10</v>
      </c>
      <c r="C2733" s="49" t="s">
        <v>1</v>
      </c>
      <c r="D2733" s="50" t="s">
        <v>2</v>
      </c>
      <c r="E2733" s="51" t="s">
        <v>3</v>
      </c>
      <c r="F2733" s="51" t="s">
        <v>4</v>
      </c>
      <c r="G2733" s="51" t="s">
        <v>5</v>
      </c>
      <c r="H2733" s="52" t="s">
        <v>6</v>
      </c>
    </row>
    <row r="2734" spans="1:8" ht="100.8" x14ac:dyDescent="0.3">
      <c r="A2734" s="53">
        <v>1</v>
      </c>
      <c r="B2734" s="53" t="s">
        <v>1891</v>
      </c>
      <c r="C2734" s="40">
        <v>1</v>
      </c>
      <c r="D2734" s="91">
        <v>140</v>
      </c>
      <c r="E2734" s="40">
        <v>450</v>
      </c>
      <c r="F2734" s="40">
        <f>C2734*D2734*E2734</f>
        <v>63000</v>
      </c>
      <c r="G2734" s="55">
        <v>0.4</v>
      </c>
      <c r="H2734" s="42">
        <f>F2734*(1-G2734)</f>
        <v>37800</v>
      </c>
    </row>
    <row r="2735" spans="1:8" ht="57.6" x14ac:dyDescent="0.3">
      <c r="A2735" s="53">
        <v>2</v>
      </c>
      <c r="B2735" s="53" t="s">
        <v>1632</v>
      </c>
      <c r="C2735" s="40">
        <v>1</v>
      </c>
      <c r="D2735" s="91">
        <v>100</v>
      </c>
      <c r="E2735" s="40">
        <v>450</v>
      </c>
      <c r="F2735" s="40">
        <f>C2735*D2735*E2735</f>
        <v>45000</v>
      </c>
      <c r="G2735" s="55">
        <v>0.5</v>
      </c>
      <c r="H2735" s="42">
        <f>F2735*(1-G2735)</f>
        <v>22500</v>
      </c>
    </row>
    <row r="2736" spans="1:8" ht="28.8" x14ac:dyDescent="0.3">
      <c r="A2736" s="53">
        <v>3</v>
      </c>
      <c r="B2736" s="53" t="s">
        <v>1480</v>
      </c>
      <c r="C2736" s="40">
        <v>1</v>
      </c>
      <c r="D2736" s="91">
        <v>136.38</v>
      </c>
      <c r="E2736" s="40">
        <v>45</v>
      </c>
      <c r="F2736" s="40">
        <f>C2736*D2736*E2736</f>
        <v>6137.0999999999995</v>
      </c>
      <c r="G2736" s="55">
        <v>0.5</v>
      </c>
      <c r="H2736" s="42">
        <f>F2736*(1-G2736)</f>
        <v>3068.5499999999997</v>
      </c>
    </row>
    <row r="2737" spans="1:8" x14ac:dyDescent="0.3">
      <c r="A2737" s="53"/>
      <c r="B2737" s="57" t="s">
        <v>7</v>
      </c>
      <c r="C2737" s="40"/>
      <c r="D2737" s="54"/>
      <c r="E2737" s="40"/>
      <c r="F2737" s="40"/>
      <c r="G2737" s="55"/>
      <c r="H2737" s="58">
        <f>SUM(H2734:H2736)</f>
        <v>63368.55</v>
      </c>
    </row>
    <row r="2738" spans="1:8" x14ac:dyDescent="0.3">
      <c r="A2738" s="53">
        <v>4</v>
      </c>
      <c r="B2738" s="57" t="s">
        <v>8</v>
      </c>
      <c r="C2738" s="40">
        <v>1</v>
      </c>
      <c r="D2738" s="54">
        <v>4650</v>
      </c>
      <c r="E2738" s="40">
        <v>5</v>
      </c>
      <c r="F2738" s="40">
        <f>C2738*D2738*E2738</f>
        <v>23250</v>
      </c>
      <c r="G2738" s="55">
        <v>0</v>
      </c>
      <c r="H2738" s="58">
        <f>(1-G2738)*F2738</f>
        <v>23250</v>
      </c>
    </row>
    <row r="2739" spans="1:8" x14ac:dyDescent="0.3">
      <c r="A2739" s="53"/>
      <c r="B2739" s="57" t="s">
        <v>9</v>
      </c>
      <c r="C2739" s="39"/>
      <c r="D2739" s="59"/>
      <c r="E2739" s="39"/>
      <c r="F2739" s="39"/>
      <c r="G2739" s="39"/>
      <c r="H2739" s="58">
        <f>H2737+H2738</f>
        <v>86618.55</v>
      </c>
    </row>
    <row r="2740" spans="1:8" x14ac:dyDescent="0.3">
      <c r="A2740" s="43"/>
      <c r="B2740" s="62">
        <v>7559</v>
      </c>
      <c r="C2740" s="92" t="s">
        <v>1890</v>
      </c>
      <c r="D2740" s="73"/>
      <c r="E2740" s="44" t="s">
        <v>1048</v>
      </c>
      <c r="F2740" s="60"/>
      <c r="G2740" s="60"/>
      <c r="H2740" s="48"/>
    </row>
    <row r="2741" spans="1:8" x14ac:dyDescent="0.3">
      <c r="A2741" s="39"/>
      <c r="B2741" s="107" t="s">
        <v>10</v>
      </c>
      <c r="C2741" s="107" t="s">
        <v>1</v>
      </c>
      <c r="D2741" s="108" t="s">
        <v>2</v>
      </c>
      <c r="E2741" s="109" t="s">
        <v>3</v>
      </c>
      <c r="F2741" s="109" t="s">
        <v>4</v>
      </c>
      <c r="G2741" s="109" t="s">
        <v>5</v>
      </c>
      <c r="H2741" s="106" t="s">
        <v>6</v>
      </c>
    </row>
    <row r="2742" spans="1:8" ht="86.4" x14ac:dyDescent="0.3">
      <c r="A2742" s="53">
        <v>1</v>
      </c>
      <c r="B2742" s="53" t="s">
        <v>1892</v>
      </c>
      <c r="C2742" s="40">
        <v>1</v>
      </c>
      <c r="D2742" s="91">
        <v>22.5</v>
      </c>
      <c r="E2742" s="40">
        <v>150</v>
      </c>
      <c r="F2742" s="40">
        <f t="shared" ref="F2742:F2747" si="163">C2742*D2742*E2742</f>
        <v>3375</v>
      </c>
      <c r="G2742" s="55">
        <v>0.4</v>
      </c>
      <c r="H2742" s="42">
        <f t="shared" ref="H2742:H2747" si="164">F2742*(1-G2742)</f>
        <v>2025</v>
      </c>
    </row>
    <row r="2743" spans="1:8" ht="28.8" x14ac:dyDescent="0.3">
      <c r="A2743" s="53">
        <v>2</v>
      </c>
      <c r="B2743" s="53" t="s">
        <v>1893</v>
      </c>
      <c r="C2743" s="40">
        <v>1</v>
      </c>
      <c r="D2743" s="91">
        <v>70</v>
      </c>
      <c r="E2743" s="40">
        <v>50</v>
      </c>
      <c r="F2743" s="40">
        <f t="shared" si="163"/>
        <v>3500</v>
      </c>
      <c r="G2743" s="55">
        <v>0.4</v>
      </c>
      <c r="H2743" s="42">
        <f t="shared" si="164"/>
        <v>2100</v>
      </c>
    </row>
    <row r="2744" spans="1:8" ht="43.2" x14ac:dyDescent="0.3">
      <c r="A2744" s="53">
        <v>3</v>
      </c>
      <c r="B2744" s="53" t="s">
        <v>1049</v>
      </c>
      <c r="C2744" s="40">
        <v>1</v>
      </c>
      <c r="D2744" s="91">
        <v>276</v>
      </c>
      <c r="E2744" s="40">
        <v>150</v>
      </c>
      <c r="F2744" s="40">
        <f t="shared" si="163"/>
        <v>41400</v>
      </c>
      <c r="G2744" s="55">
        <v>0.4</v>
      </c>
      <c r="H2744" s="42">
        <f t="shared" si="164"/>
        <v>24840</v>
      </c>
    </row>
    <row r="2745" spans="1:8" x14ac:dyDescent="0.3">
      <c r="A2745" s="53">
        <v>4</v>
      </c>
      <c r="B2745" s="53" t="s">
        <v>972</v>
      </c>
      <c r="C2745" s="40">
        <v>1</v>
      </c>
      <c r="D2745" s="91">
        <v>35000</v>
      </c>
      <c r="E2745" s="40">
        <v>0.65</v>
      </c>
      <c r="F2745" s="40">
        <f t="shared" si="163"/>
        <v>22750</v>
      </c>
      <c r="G2745" s="55">
        <v>0.3</v>
      </c>
      <c r="H2745" s="42">
        <f t="shared" si="164"/>
        <v>15924.999999999998</v>
      </c>
    </row>
    <row r="2746" spans="1:8" x14ac:dyDescent="0.3">
      <c r="A2746" s="53">
        <v>5</v>
      </c>
      <c r="B2746" s="53" t="s">
        <v>973</v>
      </c>
      <c r="C2746" s="40">
        <v>1</v>
      </c>
      <c r="D2746" s="91">
        <v>55000</v>
      </c>
      <c r="E2746" s="40">
        <v>0.55000000000000004</v>
      </c>
      <c r="F2746" s="40">
        <f t="shared" si="163"/>
        <v>30250.000000000004</v>
      </c>
      <c r="G2746" s="55">
        <v>0.3</v>
      </c>
      <c r="H2746" s="42">
        <f t="shared" si="164"/>
        <v>21175</v>
      </c>
    </row>
    <row r="2747" spans="1:8" x14ac:dyDescent="0.3">
      <c r="A2747" s="53">
        <v>6</v>
      </c>
      <c r="B2747" s="53" t="s">
        <v>1050</v>
      </c>
      <c r="C2747" s="40">
        <v>1</v>
      </c>
      <c r="D2747" s="91">
        <v>25000</v>
      </c>
      <c r="E2747" s="40">
        <v>0.5</v>
      </c>
      <c r="F2747" s="40">
        <f t="shared" si="163"/>
        <v>12500</v>
      </c>
      <c r="G2747" s="55">
        <v>0.3</v>
      </c>
      <c r="H2747" s="42">
        <f t="shared" si="164"/>
        <v>8750</v>
      </c>
    </row>
    <row r="2748" spans="1:8" x14ac:dyDescent="0.3">
      <c r="A2748" s="53"/>
      <c r="B2748" s="57" t="s">
        <v>7</v>
      </c>
      <c r="C2748" s="40"/>
      <c r="D2748" s="54"/>
      <c r="E2748" s="40"/>
      <c r="F2748" s="40"/>
      <c r="G2748" s="55"/>
      <c r="H2748" s="58">
        <f>SUM(H2742:H2747)</f>
        <v>74815</v>
      </c>
    </row>
    <row r="2749" spans="1:8" x14ac:dyDescent="0.3">
      <c r="A2749" s="53">
        <v>7</v>
      </c>
      <c r="B2749" s="57" t="s">
        <v>8</v>
      </c>
      <c r="C2749" s="40">
        <v>1</v>
      </c>
      <c r="D2749" s="54">
        <v>6862</v>
      </c>
      <c r="E2749" s="40">
        <v>5</v>
      </c>
      <c r="F2749" s="40">
        <f>C2749*D2749*E2749</f>
        <v>34310</v>
      </c>
      <c r="G2749" s="55">
        <v>0</v>
      </c>
      <c r="H2749" s="58">
        <f>(1-G2749)*F2749</f>
        <v>34310</v>
      </c>
    </row>
    <row r="2750" spans="1:8" x14ac:dyDescent="0.3">
      <c r="A2750" s="53"/>
      <c r="B2750" s="57" t="s">
        <v>9</v>
      </c>
      <c r="C2750" s="39"/>
      <c r="D2750" s="59"/>
      <c r="E2750" s="39"/>
      <c r="F2750" s="39"/>
      <c r="G2750" s="39"/>
      <c r="H2750" s="58">
        <f>H2748+H2749</f>
        <v>109125</v>
      </c>
    </row>
    <row r="2751" spans="1:8" x14ac:dyDescent="0.3">
      <c r="A2751" s="51"/>
      <c r="B2751" s="57"/>
      <c r="C2751" s="39"/>
      <c r="D2751" s="59"/>
      <c r="E2751" s="39"/>
      <c r="F2751" s="39"/>
      <c r="G2751" s="39"/>
      <c r="H2751" s="58"/>
    </row>
    <row r="2752" spans="1:8" x14ac:dyDescent="0.3">
      <c r="A2752" s="51"/>
      <c r="B2752" s="70"/>
      <c r="C2752" s="39"/>
      <c r="D2752" s="59"/>
      <c r="E2752" s="39"/>
      <c r="F2752" s="71"/>
      <c r="G2752" s="39"/>
      <c r="H2752" s="58"/>
    </row>
    <row r="2753" spans="1:8" x14ac:dyDescent="0.3">
      <c r="A2753" s="60"/>
      <c r="B2753" s="95">
        <v>7774</v>
      </c>
      <c r="C2753" s="47" t="s">
        <v>877</v>
      </c>
      <c r="D2753" s="156"/>
      <c r="E2753" s="47"/>
      <c r="F2753" s="47" t="s">
        <v>1988</v>
      </c>
      <c r="G2753" s="60"/>
      <c r="H2753" s="48"/>
    </row>
    <row r="2754" spans="1:8" x14ac:dyDescent="0.3">
      <c r="A2754" s="40"/>
      <c r="B2754" s="151" t="s">
        <v>10</v>
      </c>
      <c r="C2754" s="173" t="s">
        <v>1</v>
      </c>
      <c r="D2754" s="174" t="s">
        <v>2</v>
      </c>
      <c r="E2754" s="151" t="s">
        <v>3</v>
      </c>
      <c r="F2754" s="151" t="s">
        <v>4</v>
      </c>
      <c r="G2754" s="151" t="s">
        <v>5</v>
      </c>
      <c r="H2754" s="175" t="s">
        <v>6</v>
      </c>
    </row>
    <row r="2755" spans="1:8" x14ac:dyDescent="0.3">
      <c r="A2755" s="40">
        <v>1</v>
      </c>
      <c r="B2755" s="53" t="s">
        <v>15</v>
      </c>
      <c r="C2755" s="40"/>
      <c r="D2755" s="54"/>
      <c r="E2755" s="40"/>
      <c r="F2755" s="40"/>
      <c r="G2755" s="55"/>
      <c r="H2755" s="42"/>
    </row>
    <row r="2756" spans="1:8" x14ac:dyDescent="0.3">
      <c r="A2756" s="40"/>
      <c r="B2756" s="40" t="s">
        <v>11</v>
      </c>
      <c r="C2756" s="40"/>
      <c r="D2756" s="146"/>
      <c r="E2756" s="40"/>
      <c r="F2756" s="169"/>
      <c r="G2756" s="55"/>
      <c r="H2756" s="42"/>
    </row>
    <row r="2757" spans="1:8" x14ac:dyDescent="0.3">
      <c r="A2757" s="40">
        <v>2</v>
      </c>
      <c r="B2757" s="40" t="s">
        <v>8</v>
      </c>
      <c r="C2757" s="40">
        <v>1</v>
      </c>
      <c r="D2757" s="146">
        <v>2502</v>
      </c>
      <c r="E2757" s="40">
        <v>5</v>
      </c>
      <c r="F2757" s="169">
        <f>C2757*D2757*E2757</f>
        <v>12510</v>
      </c>
      <c r="G2757" s="55">
        <v>0</v>
      </c>
      <c r="H2757" s="42">
        <f>(1-G2757)*F2757</f>
        <v>12510</v>
      </c>
    </row>
    <row r="2758" spans="1:8" x14ac:dyDescent="0.3">
      <c r="A2758" s="40"/>
      <c r="B2758" s="39" t="s">
        <v>9</v>
      </c>
      <c r="C2758" s="39"/>
      <c r="D2758" s="59"/>
      <c r="E2758" s="39"/>
      <c r="F2758" s="39"/>
      <c r="G2758" s="39"/>
      <c r="H2758" s="58">
        <f>H2757</f>
        <v>12510</v>
      </c>
    </row>
    <row r="2759" spans="1:8" x14ac:dyDescent="0.3">
      <c r="A2759" s="60"/>
      <c r="B2759" s="95">
        <v>7775</v>
      </c>
      <c r="C2759" s="47" t="s">
        <v>877</v>
      </c>
      <c r="D2759" s="156"/>
      <c r="E2759" s="47"/>
      <c r="F2759" s="47" t="s">
        <v>1961</v>
      </c>
      <c r="G2759" s="60"/>
      <c r="H2759" s="48"/>
    </row>
    <row r="2760" spans="1:8" x14ac:dyDescent="0.3">
      <c r="A2760" s="40"/>
      <c r="B2760" s="151" t="s">
        <v>10</v>
      </c>
      <c r="C2760" s="173" t="s">
        <v>1</v>
      </c>
      <c r="D2760" s="174" t="s">
        <v>2</v>
      </c>
      <c r="E2760" s="151" t="s">
        <v>3</v>
      </c>
      <c r="F2760" s="151" t="s">
        <v>4</v>
      </c>
      <c r="G2760" s="151" t="s">
        <v>5</v>
      </c>
      <c r="H2760" s="175" t="s">
        <v>6</v>
      </c>
    </row>
    <row r="2761" spans="1:8" x14ac:dyDescent="0.3">
      <c r="A2761" s="40">
        <v>1</v>
      </c>
      <c r="B2761" s="53" t="s">
        <v>15</v>
      </c>
      <c r="C2761" s="40"/>
      <c r="D2761" s="54"/>
      <c r="E2761" s="40"/>
      <c r="F2761" s="40"/>
      <c r="G2761" s="55"/>
      <c r="H2761" s="42"/>
    </row>
    <row r="2762" spans="1:8" x14ac:dyDescent="0.3">
      <c r="A2762" s="40"/>
      <c r="B2762" s="40" t="s">
        <v>11</v>
      </c>
      <c r="C2762" s="40"/>
      <c r="D2762" s="146"/>
      <c r="E2762" s="40"/>
      <c r="F2762" s="169"/>
      <c r="G2762" s="55"/>
      <c r="H2762" s="42"/>
    </row>
    <row r="2763" spans="1:8" x14ac:dyDescent="0.3">
      <c r="A2763" s="40">
        <v>2</v>
      </c>
      <c r="B2763" s="40" t="s">
        <v>8</v>
      </c>
      <c r="C2763" s="40">
        <v>1</v>
      </c>
      <c r="D2763" s="146">
        <v>3773</v>
      </c>
      <c r="E2763" s="40">
        <v>5</v>
      </c>
      <c r="F2763" s="169">
        <f>C2763*D2763*E2763</f>
        <v>18865</v>
      </c>
      <c r="G2763" s="55">
        <v>0</v>
      </c>
      <c r="H2763" s="42">
        <f>(1-G2763)*F2763</f>
        <v>18865</v>
      </c>
    </row>
    <row r="2764" spans="1:8" x14ac:dyDescent="0.3">
      <c r="A2764" s="40"/>
      <c r="B2764" s="39" t="s">
        <v>9</v>
      </c>
      <c r="C2764" s="39"/>
      <c r="D2764" s="59"/>
      <c r="E2764" s="39"/>
      <c r="F2764" s="39"/>
      <c r="G2764" s="39"/>
      <c r="H2764" s="58">
        <f>H2763</f>
        <v>18865</v>
      </c>
    </row>
    <row r="2765" spans="1:8" x14ac:dyDescent="0.3">
      <c r="A2765" s="60"/>
      <c r="B2765" s="95">
        <v>7776</v>
      </c>
      <c r="C2765" s="47" t="s">
        <v>877</v>
      </c>
      <c r="D2765" s="156"/>
      <c r="E2765" s="47"/>
      <c r="F2765" s="47" t="s">
        <v>1962</v>
      </c>
      <c r="G2765" s="60"/>
      <c r="H2765" s="48"/>
    </row>
    <row r="2766" spans="1:8" x14ac:dyDescent="0.3">
      <c r="A2766" s="40"/>
      <c r="B2766" s="151" t="s">
        <v>10</v>
      </c>
      <c r="C2766" s="173" t="s">
        <v>1</v>
      </c>
      <c r="D2766" s="174" t="s">
        <v>2</v>
      </c>
      <c r="E2766" s="151" t="s">
        <v>3</v>
      </c>
      <c r="F2766" s="151" t="s">
        <v>4</v>
      </c>
      <c r="G2766" s="151" t="s">
        <v>5</v>
      </c>
      <c r="H2766" s="175" t="s">
        <v>6</v>
      </c>
    </row>
    <row r="2767" spans="1:8" x14ac:dyDescent="0.3">
      <c r="A2767" s="40">
        <v>1</v>
      </c>
      <c r="B2767" s="53" t="s">
        <v>15</v>
      </c>
      <c r="C2767" s="40"/>
      <c r="D2767" s="54"/>
      <c r="E2767" s="40"/>
      <c r="F2767" s="40"/>
      <c r="G2767" s="55"/>
      <c r="H2767" s="42"/>
    </row>
    <row r="2768" spans="1:8" x14ac:dyDescent="0.3">
      <c r="A2768" s="40"/>
      <c r="B2768" s="40" t="s">
        <v>11</v>
      </c>
      <c r="C2768" s="40"/>
      <c r="D2768" s="146"/>
      <c r="E2768" s="40"/>
      <c r="F2768" s="169"/>
      <c r="G2768" s="55"/>
      <c r="H2768" s="42"/>
    </row>
    <row r="2769" spans="1:8" x14ac:dyDescent="0.3">
      <c r="A2769" s="40">
        <v>2</v>
      </c>
      <c r="B2769" s="40" t="s">
        <v>8</v>
      </c>
      <c r="C2769" s="40">
        <v>1</v>
      </c>
      <c r="D2769" s="146">
        <v>3550</v>
      </c>
      <c r="E2769" s="40">
        <v>5</v>
      </c>
      <c r="F2769" s="169">
        <f>C2769*D2769*E2769</f>
        <v>17750</v>
      </c>
      <c r="G2769" s="55">
        <v>0</v>
      </c>
      <c r="H2769" s="42">
        <f>(1-G2769)*F2769</f>
        <v>17750</v>
      </c>
    </row>
    <row r="2770" spans="1:8" x14ac:dyDescent="0.3">
      <c r="A2770" s="39"/>
      <c r="B2770" s="39" t="s">
        <v>9</v>
      </c>
      <c r="C2770" s="39"/>
      <c r="D2770" s="59"/>
      <c r="E2770" s="39"/>
      <c r="F2770" s="39"/>
      <c r="G2770" s="39"/>
      <c r="H2770" s="58">
        <f>SUM(H2769)</f>
        <v>17750</v>
      </c>
    </row>
    <row r="2771" spans="1:8" x14ac:dyDescent="0.3">
      <c r="A2771" s="60"/>
      <c r="B2771" s="95">
        <v>7777</v>
      </c>
      <c r="C2771" s="47" t="s">
        <v>877</v>
      </c>
      <c r="D2771" s="156"/>
      <c r="E2771" s="47" t="s">
        <v>942</v>
      </c>
      <c r="F2771" s="47"/>
      <c r="G2771" s="60"/>
      <c r="H2771" s="48"/>
    </row>
    <row r="2772" spans="1:8" x14ac:dyDescent="0.3">
      <c r="A2772" s="151"/>
      <c r="B2772" s="151" t="s">
        <v>10</v>
      </c>
      <c r="C2772" s="173" t="s">
        <v>1</v>
      </c>
      <c r="D2772" s="174" t="s">
        <v>2</v>
      </c>
      <c r="E2772" s="151" t="s">
        <v>3</v>
      </c>
      <c r="F2772" s="151" t="s">
        <v>4</v>
      </c>
      <c r="G2772" s="151" t="s">
        <v>5</v>
      </c>
      <c r="H2772" s="175" t="s">
        <v>6</v>
      </c>
    </row>
    <row r="2773" spans="1:8" ht="43.2" x14ac:dyDescent="0.3">
      <c r="A2773" s="40">
        <v>1</v>
      </c>
      <c r="B2773" s="53" t="s">
        <v>943</v>
      </c>
      <c r="C2773" s="40">
        <v>1</v>
      </c>
      <c r="D2773" s="41">
        <v>70.7</v>
      </c>
      <c r="E2773" s="40">
        <v>250</v>
      </c>
      <c r="F2773" s="40">
        <f>C2773*D2773*E2773</f>
        <v>17675</v>
      </c>
      <c r="G2773" s="55">
        <v>0.61</v>
      </c>
      <c r="H2773" s="42">
        <f>(1-G2773)*F2773</f>
        <v>6893.25</v>
      </c>
    </row>
    <row r="2774" spans="1:8" ht="28.8" x14ac:dyDescent="0.3">
      <c r="A2774" s="40">
        <v>2</v>
      </c>
      <c r="B2774" s="53" t="s">
        <v>1485</v>
      </c>
      <c r="C2774" s="40">
        <v>1</v>
      </c>
      <c r="D2774" s="54">
        <v>113</v>
      </c>
      <c r="E2774" s="40">
        <v>45</v>
      </c>
      <c r="F2774" s="40">
        <f>C2774*D2774*E2774</f>
        <v>5085</v>
      </c>
      <c r="G2774" s="55">
        <v>0.7</v>
      </c>
      <c r="H2774" s="42">
        <f>F2774*(1-G2774)</f>
        <v>1525.5000000000002</v>
      </c>
    </row>
    <row r="2775" spans="1:8" x14ac:dyDescent="0.3">
      <c r="A2775" s="40"/>
      <c r="B2775" s="40" t="s">
        <v>11</v>
      </c>
      <c r="C2775" s="57"/>
      <c r="D2775" s="105"/>
      <c r="E2775" s="39"/>
      <c r="F2775" s="39"/>
      <c r="G2775" s="39"/>
      <c r="H2775" s="58">
        <f>H2773+H2774</f>
        <v>8418.75</v>
      </c>
    </row>
    <row r="2776" spans="1:8" x14ac:dyDescent="0.3">
      <c r="A2776" s="40">
        <v>3</v>
      </c>
      <c r="B2776" s="40" t="s">
        <v>8</v>
      </c>
      <c r="C2776" s="40">
        <v>1</v>
      </c>
      <c r="D2776" s="146">
        <v>3195</v>
      </c>
      <c r="E2776" s="40">
        <v>5</v>
      </c>
      <c r="F2776" s="169">
        <f>C2776*D2776*E2776</f>
        <v>15975</v>
      </c>
      <c r="G2776" s="55">
        <v>0</v>
      </c>
      <c r="H2776" s="42">
        <f>(1-G2776)*F2776</f>
        <v>15975</v>
      </c>
    </row>
    <row r="2777" spans="1:8" x14ac:dyDescent="0.3">
      <c r="A2777" s="40"/>
      <c r="B2777" s="39" t="s">
        <v>9</v>
      </c>
      <c r="C2777" s="39"/>
      <c r="D2777" s="105"/>
      <c r="E2777" s="39"/>
      <c r="F2777" s="170"/>
      <c r="G2777" s="39"/>
      <c r="H2777" s="58">
        <f>H2775+H2776</f>
        <v>24393.75</v>
      </c>
    </row>
    <row r="2778" spans="1:8" x14ac:dyDescent="0.3">
      <c r="A2778" s="60"/>
      <c r="B2778" s="95">
        <v>7778</v>
      </c>
      <c r="C2778" s="47" t="s">
        <v>877</v>
      </c>
      <c r="D2778" s="156"/>
      <c r="E2778" s="47"/>
      <c r="F2778" s="47" t="s">
        <v>1963</v>
      </c>
      <c r="G2778" s="60"/>
      <c r="H2778" s="48"/>
    </row>
    <row r="2779" spans="1:8" x14ac:dyDescent="0.3">
      <c r="A2779" s="40"/>
      <c r="B2779" s="151" t="s">
        <v>10</v>
      </c>
      <c r="C2779" s="173" t="s">
        <v>1</v>
      </c>
      <c r="D2779" s="174" t="s">
        <v>2</v>
      </c>
      <c r="E2779" s="151" t="s">
        <v>3</v>
      </c>
      <c r="F2779" s="151" t="s">
        <v>4</v>
      </c>
      <c r="G2779" s="151" t="s">
        <v>5</v>
      </c>
      <c r="H2779" s="175" t="s">
        <v>6</v>
      </c>
    </row>
    <row r="2780" spans="1:8" x14ac:dyDescent="0.3">
      <c r="A2780" s="40">
        <v>1</v>
      </c>
      <c r="B2780" s="53" t="s">
        <v>15</v>
      </c>
      <c r="C2780" s="40"/>
      <c r="D2780" s="54"/>
      <c r="E2780" s="40"/>
      <c r="F2780" s="40"/>
      <c r="G2780" s="55"/>
      <c r="H2780" s="42"/>
    </row>
    <row r="2781" spans="1:8" x14ac:dyDescent="0.3">
      <c r="A2781" s="40"/>
      <c r="B2781" s="40" t="s">
        <v>11</v>
      </c>
      <c r="C2781" s="40"/>
      <c r="D2781" s="146"/>
      <c r="E2781" s="40"/>
      <c r="F2781" s="169"/>
      <c r="G2781" s="55"/>
      <c r="H2781" s="42"/>
    </row>
    <row r="2782" spans="1:8" x14ac:dyDescent="0.3">
      <c r="A2782" s="40">
        <v>2</v>
      </c>
      <c r="B2782" s="40" t="s">
        <v>8</v>
      </c>
      <c r="C2782" s="40">
        <v>1</v>
      </c>
      <c r="D2782" s="146">
        <v>3152</v>
      </c>
      <c r="E2782" s="40">
        <v>5</v>
      </c>
      <c r="F2782" s="169">
        <f>C2782*D2782*E2782</f>
        <v>15760</v>
      </c>
      <c r="G2782" s="55">
        <v>0</v>
      </c>
      <c r="H2782" s="42">
        <f>(1-G2782)*F2782</f>
        <v>15760</v>
      </c>
    </row>
    <row r="2783" spans="1:8" x14ac:dyDescent="0.3">
      <c r="A2783" s="40"/>
      <c r="B2783" s="39" t="s">
        <v>9</v>
      </c>
      <c r="C2783" s="39"/>
      <c r="D2783" s="59"/>
      <c r="E2783" s="39"/>
      <c r="F2783" s="39"/>
      <c r="G2783" s="39"/>
      <c r="H2783" s="58">
        <f>H2782</f>
        <v>15760</v>
      </c>
    </row>
    <row r="2784" spans="1:8" x14ac:dyDescent="0.3">
      <c r="A2784" s="60"/>
      <c r="B2784" s="95">
        <v>7779</v>
      </c>
      <c r="C2784" s="47" t="s">
        <v>877</v>
      </c>
      <c r="D2784" s="156"/>
      <c r="E2784" s="47"/>
      <c r="F2784" s="47" t="s">
        <v>1964</v>
      </c>
      <c r="G2784" s="60"/>
      <c r="H2784" s="48"/>
    </row>
    <row r="2785" spans="1:11" x14ac:dyDescent="0.3">
      <c r="A2785" s="40"/>
      <c r="B2785" s="151" t="s">
        <v>10</v>
      </c>
      <c r="C2785" s="173" t="s">
        <v>1</v>
      </c>
      <c r="D2785" s="174" t="s">
        <v>2</v>
      </c>
      <c r="E2785" s="151" t="s">
        <v>3</v>
      </c>
      <c r="F2785" s="151" t="s">
        <v>4</v>
      </c>
      <c r="G2785" s="151" t="s">
        <v>5</v>
      </c>
      <c r="H2785" s="175" t="s">
        <v>6</v>
      </c>
    </row>
    <row r="2786" spans="1:11" x14ac:dyDescent="0.3">
      <c r="A2786" s="40">
        <v>1</v>
      </c>
      <c r="B2786" s="53" t="s">
        <v>15</v>
      </c>
      <c r="C2786" s="40"/>
      <c r="D2786" s="54"/>
      <c r="E2786" s="40"/>
      <c r="F2786" s="40"/>
      <c r="G2786" s="55"/>
      <c r="H2786" s="42"/>
    </row>
    <row r="2787" spans="1:11" x14ac:dyDescent="0.3">
      <c r="A2787" s="40"/>
      <c r="B2787" s="40" t="s">
        <v>11</v>
      </c>
      <c r="C2787" s="40"/>
      <c r="D2787" s="146"/>
      <c r="E2787" s="40"/>
      <c r="F2787" s="169"/>
      <c r="G2787" s="55"/>
      <c r="H2787" s="42"/>
      <c r="K2787" s="211"/>
    </row>
    <row r="2788" spans="1:11" x14ac:dyDescent="0.3">
      <c r="A2788" s="40">
        <v>2</v>
      </c>
      <c r="B2788" s="40" t="s">
        <v>8</v>
      </c>
      <c r="C2788" s="40">
        <v>1</v>
      </c>
      <c r="D2788" s="146">
        <v>4694</v>
      </c>
      <c r="E2788" s="40">
        <v>5</v>
      </c>
      <c r="F2788" s="169">
        <f>C2788*D2788*E2788</f>
        <v>23470</v>
      </c>
      <c r="G2788" s="55">
        <v>0</v>
      </c>
      <c r="H2788" s="42">
        <f>(1-G2788)*F2788</f>
        <v>23470</v>
      </c>
    </row>
    <row r="2789" spans="1:11" x14ac:dyDescent="0.3">
      <c r="A2789" s="39"/>
      <c r="B2789" s="39" t="s">
        <v>9</v>
      </c>
      <c r="C2789" s="39"/>
      <c r="D2789" s="59"/>
      <c r="E2789" s="39"/>
      <c r="F2789" s="39"/>
      <c r="G2789" s="39"/>
      <c r="H2789" s="58">
        <f>H2788</f>
        <v>23470</v>
      </c>
    </row>
    <row r="2790" spans="1:11" x14ac:dyDescent="0.3">
      <c r="A2790" s="212"/>
      <c r="B2790" s="180">
        <v>7780</v>
      </c>
      <c r="C2790" s="44" t="s">
        <v>1218</v>
      </c>
      <c r="D2790" s="73"/>
      <c r="E2790" s="44"/>
      <c r="F2790" s="47" t="s">
        <v>1219</v>
      </c>
      <c r="G2790" s="60"/>
      <c r="H2790" s="48"/>
    </row>
    <row r="2791" spans="1:11" x14ac:dyDescent="0.3">
      <c r="A2791" s="40"/>
      <c r="B2791" s="49" t="s">
        <v>10</v>
      </c>
      <c r="C2791" s="49" t="s">
        <v>1</v>
      </c>
      <c r="D2791" s="50" t="s">
        <v>2</v>
      </c>
      <c r="E2791" s="51" t="s">
        <v>3</v>
      </c>
      <c r="F2791" s="51" t="s">
        <v>4</v>
      </c>
      <c r="G2791" s="51" t="s">
        <v>5</v>
      </c>
      <c r="H2791" s="52" t="s">
        <v>6</v>
      </c>
    </row>
    <row r="2792" spans="1:11" x14ac:dyDescent="0.3">
      <c r="A2792" s="40"/>
      <c r="B2792" s="49" t="s">
        <v>1217</v>
      </c>
      <c r="C2792" s="49"/>
      <c r="D2792" s="50"/>
      <c r="E2792" s="51"/>
      <c r="F2792" s="51"/>
      <c r="G2792" s="51"/>
      <c r="H2792" s="52"/>
    </row>
    <row r="2793" spans="1:11" x14ac:dyDescent="0.3">
      <c r="A2793" s="53">
        <v>1</v>
      </c>
      <c r="B2793" s="57" t="s">
        <v>8</v>
      </c>
      <c r="C2793" s="40">
        <v>1</v>
      </c>
      <c r="D2793" s="54">
        <v>4942</v>
      </c>
      <c r="E2793" s="40">
        <v>5</v>
      </c>
      <c r="F2793" s="40">
        <f>C2793*D2793*E2793</f>
        <v>24710</v>
      </c>
      <c r="G2793" s="55">
        <v>0</v>
      </c>
      <c r="H2793" s="58">
        <f>(1-G2793)*F2793</f>
        <v>24710</v>
      </c>
    </row>
    <row r="2794" spans="1:11" x14ac:dyDescent="0.3">
      <c r="A2794" s="53"/>
      <c r="B2794" s="57" t="s">
        <v>9</v>
      </c>
      <c r="C2794" s="39"/>
      <c r="D2794" s="59"/>
      <c r="E2794" s="39"/>
      <c r="F2794" s="39"/>
      <c r="G2794" s="39"/>
      <c r="H2794" s="58">
        <f>H2793</f>
        <v>24710</v>
      </c>
    </row>
    <row r="2795" spans="1:11" x14ac:dyDescent="0.3">
      <c r="A2795" s="43"/>
      <c r="B2795" s="180">
        <v>7781</v>
      </c>
      <c r="C2795" s="44" t="s">
        <v>1220</v>
      </c>
      <c r="D2795" s="73"/>
      <c r="E2795" s="44"/>
      <c r="F2795" s="47" t="s">
        <v>1221</v>
      </c>
      <c r="G2795" s="60"/>
      <c r="H2795" s="48"/>
    </row>
    <row r="2796" spans="1:11" x14ac:dyDescent="0.3">
      <c r="A2796" s="40"/>
      <c r="B2796" s="49" t="s">
        <v>10</v>
      </c>
      <c r="C2796" s="49" t="s">
        <v>1</v>
      </c>
      <c r="D2796" s="50" t="s">
        <v>2</v>
      </c>
      <c r="E2796" s="51" t="s">
        <v>3</v>
      </c>
      <c r="F2796" s="51" t="s">
        <v>4</v>
      </c>
      <c r="G2796" s="51" t="s">
        <v>5</v>
      </c>
      <c r="H2796" s="52" t="s">
        <v>6</v>
      </c>
    </row>
    <row r="2797" spans="1:11" ht="115.2" x14ac:dyDescent="0.3">
      <c r="A2797" s="53">
        <v>1</v>
      </c>
      <c r="B2797" s="53" t="s">
        <v>1670</v>
      </c>
      <c r="C2797" s="40">
        <v>1</v>
      </c>
      <c r="D2797" s="91">
        <v>200</v>
      </c>
      <c r="E2797" s="40">
        <v>400</v>
      </c>
      <c r="F2797" s="40">
        <f>C2797*D2797*E2797</f>
        <v>80000</v>
      </c>
      <c r="G2797" s="55">
        <v>0.5</v>
      </c>
      <c r="H2797" s="42">
        <f>F2797*(1-G2797)</f>
        <v>40000</v>
      </c>
    </row>
    <row r="2798" spans="1:11" ht="28.8" x14ac:dyDescent="0.3">
      <c r="A2798" s="53">
        <v>2</v>
      </c>
      <c r="B2798" s="53" t="s">
        <v>1222</v>
      </c>
      <c r="C2798" s="40">
        <v>1</v>
      </c>
      <c r="D2798" s="91">
        <v>205.3</v>
      </c>
      <c r="E2798" s="40">
        <v>35</v>
      </c>
      <c r="F2798" s="40">
        <f>C2798*D2798*E2798</f>
        <v>7185.5</v>
      </c>
      <c r="G2798" s="55">
        <v>0.5</v>
      </c>
      <c r="H2798" s="42">
        <f>F2798*(1-G2798)</f>
        <v>3592.75</v>
      </c>
    </row>
    <row r="2799" spans="1:11" x14ac:dyDescent="0.3">
      <c r="A2799" s="53"/>
      <c r="B2799" s="57" t="s">
        <v>7</v>
      </c>
      <c r="C2799" s="40"/>
      <c r="D2799" s="54"/>
      <c r="E2799" s="40"/>
      <c r="F2799" s="40"/>
      <c r="G2799" s="55"/>
      <c r="H2799" s="58">
        <f>SUM(H2797:H2798)</f>
        <v>43592.75</v>
      </c>
    </row>
    <row r="2800" spans="1:11" x14ac:dyDescent="0.3">
      <c r="A2800" s="53">
        <v>3</v>
      </c>
      <c r="B2800" s="57" t="s">
        <v>8</v>
      </c>
      <c r="C2800" s="40">
        <v>1</v>
      </c>
      <c r="D2800" s="54">
        <v>2633</v>
      </c>
      <c r="E2800" s="40">
        <v>5</v>
      </c>
      <c r="F2800" s="40">
        <f>C2800*D2800*E2800</f>
        <v>13165</v>
      </c>
      <c r="G2800" s="55">
        <v>0</v>
      </c>
      <c r="H2800" s="58">
        <f>(1-G2800)*F2800</f>
        <v>13165</v>
      </c>
    </row>
    <row r="2801" spans="1:8" x14ac:dyDescent="0.3">
      <c r="A2801" s="53"/>
      <c r="B2801" s="57" t="s">
        <v>9</v>
      </c>
      <c r="C2801" s="39"/>
      <c r="D2801" s="59"/>
      <c r="E2801" s="39"/>
      <c r="F2801" s="39"/>
      <c r="G2801" s="39"/>
      <c r="H2801" s="58">
        <f>H2799+H2800</f>
        <v>56757.75</v>
      </c>
    </row>
    <row r="2802" spans="1:8" x14ac:dyDescent="0.3">
      <c r="A2802" s="43"/>
      <c r="B2802" s="72" t="s">
        <v>1223</v>
      </c>
      <c r="C2802" s="44" t="s">
        <v>1224</v>
      </c>
      <c r="D2802" s="73"/>
      <c r="E2802" s="44"/>
      <c r="F2802" s="47" t="s">
        <v>1225</v>
      </c>
      <c r="G2802" s="60"/>
      <c r="H2802" s="48"/>
    </row>
    <row r="2803" spans="1:8" x14ac:dyDescent="0.3">
      <c r="A2803" s="40"/>
      <c r="B2803" s="49" t="s">
        <v>10</v>
      </c>
      <c r="C2803" s="49" t="s">
        <v>1</v>
      </c>
      <c r="D2803" s="50" t="s">
        <v>2</v>
      </c>
      <c r="E2803" s="51" t="s">
        <v>3</v>
      </c>
      <c r="F2803" s="51" t="s">
        <v>4</v>
      </c>
      <c r="G2803" s="51" t="s">
        <v>5</v>
      </c>
      <c r="H2803" s="52" t="s">
        <v>6</v>
      </c>
    </row>
    <row r="2804" spans="1:8" x14ac:dyDescent="0.3">
      <c r="A2804" s="40"/>
      <c r="B2804" s="49" t="s">
        <v>1217</v>
      </c>
      <c r="C2804" s="49"/>
      <c r="D2804" s="50"/>
      <c r="E2804" s="51"/>
      <c r="F2804" s="51"/>
      <c r="G2804" s="51"/>
      <c r="H2804" s="58"/>
    </row>
    <row r="2805" spans="1:8" x14ac:dyDescent="0.3">
      <c r="A2805" s="53">
        <v>1</v>
      </c>
      <c r="B2805" s="57" t="s">
        <v>8</v>
      </c>
      <c r="C2805" s="40">
        <v>1</v>
      </c>
      <c r="D2805" s="54">
        <v>7994</v>
      </c>
      <c r="E2805" s="40">
        <v>5</v>
      </c>
      <c r="F2805" s="40">
        <f>C2805*D2805*E2805</f>
        <v>39970</v>
      </c>
      <c r="G2805" s="55">
        <v>0</v>
      </c>
      <c r="H2805" s="58">
        <f>(1-G2805)*F2805</f>
        <v>39970</v>
      </c>
    </row>
    <row r="2806" spans="1:8" x14ac:dyDescent="0.3">
      <c r="A2806" s="53"/>
      <c r="B2806" s="57" t="s">
        <v>9</v>
      </c>
      <c r="C2806" s="39"/>
      <c r="D2806" s="59"/>
      <c r="E2806" s="39"/>
      <c r="F2806" s="39"/>
      <c r="G2806" s="39"/>
      <c r="H2806" s="58">
        <f>H2805</f>
        <v>39970</v>
      </c>
    </row>
    <row r="2807" spans="1:8" x14ac:dyDescent="0.3">
      <c r="A2807" s="43"/>
      <c r="B2807" s="181">
        <v>7785</v>
      </c>
      <c r="C2807" s="44" t="s">
        <v>1230</v>
      </c>
      <c r="D2807" s="73"/>
      <c r="E2807" s="44"/>
      <c r="F2807" s="47" t="s">
        <v>1231</v>
      </c>
      <c r="G2807" s="60"/>
      <c r="H2807" s="48"/>
    </row>
    <row r="2808" spans="1:8" x14ac:dyDescent="0.3">
      <c r="A2808" s="40"/>
      <c r="B2808" s="49" t="s">
        <v>10</v>
      </c>
      <c r="C2808" s="49" t="s">
        <v>1</v>
      </c>
      <c r="D2808" s="50" t="s">
        <v>2</v>
      </c>
      <c r="E2808" s="51" t="s">
        <v>3</v>
      </c>
      <c r="F2808" s="51" t="s">
        <v>4</v>
      </c>
      <c r="G2808" s="51" t="s">
        <v>5</v>
      </c>
      <c r="H2808" s="52" t="s">
        <v>6</v>
      </c>
    </row>
    <row r="2809" spans="1:8" ht="129.6" x14ac:dyDescent="0.3">
      <c r="A2809" s="53">
        <v>1</v>
      </c>
      <c r="B2809" s="53" t="s">
        <v>1633</v>
      </c>
      <c r="C2809" s="40">
        <v>1</v>
      </c>
      <c r="D2809" s="91">
        <v>133.16</v>
      </c>
      <c r="E2809" s="40">
        <v>400</v>
      </c>
      <c r="F2809" s="40">
        <f>C2809*D2809*E2809</f>
        <v>53264</v>
      </c>
      <c r="G2809" s="55">
        <v>0.7</v>
      </c>
      <c r="H2809" s="42">
        <f>F2809*(1-G2809)</f>
        <v>15979.200000000003</v>
      </c>
    </row>
    <row r="2810" spans="1:8" ht="115.2" x14ac:dyDescent="0.3">
      <c r="A2810" s="53">
        <v>2</v>
      </c>
      <c r="B2810" s="53" t="s">
        <v>1894</v>
      </c>
      <c r="C2810" s="40">
        <v>1</v>
      </c>
      <c r="D2810" s="91">
        <v>380.65</v>
      </c>
      <c r="E2810" s="40">
        <v>300</v>
      </c>
      <c r="F2810" s="40">
        <f>C2810*D2810*E2810</f>
        <v>114195</v>
      </c>
      <c r="G2810" s="55">
        <v>0.6</v>
      </c>
      <c r="H2810" s="42">
        <f>F2810*(1-G2810)</f>
        <v>45678</v>
      </c>
    </row>
    <row r="2811" spans="1:8" ht="43.2" x14ac:dyDescent="0.3">
      <c r="A2811" s="53">
        <v>3</v>
      </c>
      <c r="B2811" s="53" t="s">
        <v>1322</v>
      </c>
      <c r="C2811" s="40">
        <v>1</v>
      </c>
      <c r="D2811" s="91">
        <v>32.130000000000003</v>
      </c>
      <c r="E2811" s="40">
        <v>50</v>
      </c>
      <c r="F2811" s="40">
        <f>C2811*D2811*E2811</f>
        <v>1606.5000000000002</v>
      </c>
      <c r="G2811" s="55">
        <v>0.5</v>
      </c>
      <c r="H2811" s="42">
        <f>F2811*(1-G2811)</f>
        <v>803.25000000000011</v>
      </c>
    </row>
    <row r="2812" spans="1:8" ht="43.2" x14ac:dyDescent="0.3">
      <c r="A2812" s="53">
        <v>4</v>
      </c>
      <c r="B2812" s="53" t="s">
        <v>1229</v>
      </c>
      <c r="C2812" s="40">
        <v>1</v>
      </c>
      <c r="D2812" s="91">
        <v>190</v>
      </c>
      <c r="E2812" s="40">
        <v>40</v>
      </c>
      <c r="F2812" s="40">
        <f>C2812*D2812*E2812*0.5</f>
        <v>3800</v>
      </c>
      <c r="G2812" s="55">
        <v>0.5</v>
      </c>
      <c r="H2812" s="42">
        <f>F2812*(1-G2812)</f>
        <v>1900</v>
      </c>
    </row>
    <row r="2813" spans="1:8" x14ac:dyDescent="0.3">
      <c r="A2813" s="53"/>
      <c r="B2813" s="57" t="s">
        <v>7</v>
      </c>
      <c r="C2813" s="40"/>
      <c r="D2813" s="54"/>
      <c r="E2813" s="40"/>
      <c r="F2813" s="40"/>
      <c r="G2813" s="55"/>
      <c r="H2813" s="58">
        <f>SUM(H2809:H2812)</f>
        <v>64360.450000000004</v>
      </c>
    </row>
    <row r="2814" spans="1:8" x14ac:dyDescent="0.3">
      <c r="A2814" s="53">
        <v>5</v>
      </c>
      <c r="B2814" s="57" t="s">
        <v>8</v>
      </c>
      <c r="C2814" s="40">
        <v>1</v>
      </c>
      <c r="D2814" s="54">
        <v>2263</v>
      </c>
      <c r="E2814" s="40">
        <v>5</v>
      </c>
      <c r="F2814" s="40">
        <f>C2814*D2814*E2814</f>
        <v>11315</v>
      </c>
      <c r="G2814" s="55">
        <v>0</v>
      </c>
      <c r="H2814" s="58">
        <f>(1-G2814)*F2814</f>
        <v>11315</v>
      </c>
    </row>
    <row r="2815" spans="1:8" x14ac:dyDescent="0.3">
      <c r="A2815" s="53"/>
      <c r="B2815" s="57" t="s">
        <v>9</v>
      </c>
      <c r="C2815" s="39"/>
      <c r="D2815" s="59"/>
      <c r="E2815" s="39"/>
      <c r="F2815" s="39"/>
      <c r="G2815" s="39"/>
      <c r="H2815" s="58">
        <f>H2813+H2814</f>
        <v>75675.450000000012</v>
      </c>
    </row>
    <row r="2816" spans="1:8" x14ac:dyDescent="0.3">
      <c r="A2816" s="39"/>
      <c r="B2816" s="39"/>
      <c r="C2816" s="39"/>
      <c r="D2816" s="59"/>
      <c r="E2816" s="39"/>
      <c r="F2816" s="39"/>
      <c r="G2816" s="39"/>
      <c r="H2816" s="58"/>
    </row>
    <row r="2817" spans="1:8" x14ac:dyDescent="0.3">
      <c r="A2817" s="60"/>
      <c r="B2817" s="95">
        <v>10246</v>
      </c>
      <c r="C2817" s="47" t="s">
        <v>877</v>
      </c>
      <c r="D2817" s="156"/>
      <c r="E2817" s="213"/>
      <c r="F2817" s="47" t="s">
        <v>1965</v>
      </c>
      <c r="G2817" s="60"/>
      <c r="H2817" s="48"/>
    </row>
    <row r="2818" spans="1:8" x14ac:dyDescent="0.3">
      <c r="A2818" s="151"/>
      <c r="B2818" s="151" t="s">
        <v>10</v>
      </c>
      <c r="C2818" s="173" t="s">
        <v>1</v>
      </c>
      <c r="D2818" s="174" t="s">
        <v>2</v>
      </c>
      <c r="E2818" s="151" t="s">
        <v>3</v>
      </c>
      <c r="F2818" s="151" t="s">
        <v>4</v>
      </c>
      <c r="G2818" s="151" t="s">
        <v>5</v>
      </c>
      <c r="H2818" s="175" t="s">
        <v>6</v>
      </c>
    </row>
    <row r="2819" spans="1:8" ht="72" x14ac:dyDescent="0.3">
      <c r="A2819" s="40">
        <v>1</v>
      </c>
      <c r="B2819" s="53" t="s">
        <v>944</v>
      </c>
      <c r="C2819" s="40">
        <v>1</v>
      </c>
      <c r="D2819" s="41">
        <v>108</v>
      </c>
      <c r="E2819" s="40">
        <v>300</v>
      </c>
      <c r="F2819" s="40">
        <f>C2819*D2819*E2819</f>
        <v>32400</v>
      </c>
      <c r="G2819" s="55">
        <v>0.6</v>
      </c>
      <c r="H2819" s="42">
        <f>(1-G2819)*F2819</f>
        <v>12960</v>
      </c>
    </row>
    <row r="2820" spans="1:8" x14ac:dyDescent="0.3">
      <c r="A2820" s="40">
        <v>2</v>
      </c>
      <c r="B2820" s="53" t="s">
        <v>945</v>
      </c>
      <c r="C2820" s="40">
        <v>1</v>
      </c>
      <c r="D2820" s="54">
        <v>12.32</v>
      </c>
      <c r="E2820" s="40">
        <v>100</v>
      </c>
      <c r="F2820" s="40">
        <f>C2820*D2820*E2820</f>
        <v>1232</v>
      </c>
      <c r="G2820" s="55">
        <v>0.61</v>
      </c>
      <c r="H2820" s="42">
        <f>F2820*(1-G2820)</f>
        <v>480.48</v>
      </c>
    </row>
    <row r="2821" spans="1:8" x14ac:dyDescent="0.3">
      <c r="A2821" s="40">
        <v>3</v>
      </c>
      <c r="B2821" s="40" t="s">
        <v>11</v>
      </c>
      <c r="C2821" s="57"/>
      <c r="D2821" s="105"/>
      <c r="E2821" s="39"/>
      <c r="F2821" s="39"/>
      <c r="G2821" s="39"/>
      <c r="H2821" s="58">
        <f>H2819+H2820</f>
        <v>13440.48</v>
      </c>
    </row>
    <row r="2822" spans="1:8" x14ac:dyDescent="0.3">
      <c r="A2822" s="40"/>
      <c r="B2822" s="40" t="s">
        <v>8</v>
      </c>
      <c r="C2822" s="40">
        <v>1</v>
      </c>
      <c r="D2822" s="146">
        <v>1921</v>
      </c>
      <c r="E2822" s="40">
        <v>5</v>
      </c>
      <c r="F2822" s="169">
        <f>C2822*D2822*E2822</f>
        <v>9605</v>
      </c>
      <c r="G2822" s="55">
        <v>0</v>
      </c>
      <c r="H2822" s="42">
        <f>(1-G2822)*F2822</f>
        <v>9605</v>
      </c>
    </row>
    <row r="2823" spans="1:8" x14ac:dyDescent="0.3">
      <c r="A2823" s="40">
        <v>4</v>
      </c>
      <c r="B2823" s="39" t="s">
        <v>9</v>
      </c>
      <c r="C2823" s="39"/>
      <c r="D2823" s="105"/>
      <c r="E2823" s="39"/>
      <c r="F2823" s="170"/>
      <c r="G2823" s="39"/>
      <c r="H2823" s="58">
        <f>H2821+H2822</f>
        <v>23045.48</v>
      </c>
    </row>
    <row r="2824" spans="1:8" ht="43.2" x14ac:dyDescent="0.3">
      <c r="A2824" s="142"/>
      <c r="B2824" s="139" t="s">
        <v>1226</v>
      </c>
      <c r="C2824" s="210" t="s">
        <v>1227</v>
      </c>
      <c r="D2824" s="214"/>
      <c r="E2824" s="140" t="s">
        <v>1228</v>
      </c>
      <c r="F2824" s="142"/>
      <c r="G2824" s="142"/>
      <c r="H2824" s="143"/>
    </row>
    <row r="2825" spans="1:8" x14ac:dyDescent="0.3">
      <c r="A2825" s="40"/>
      <c r="B2825" s="49" t="s">
        <v>10</v>
      </c>
      <c r="C2825" s="49" t="s">
        <v>1</v>
      </c>
      <c r="D2825" s="50" t="s">
        <v>2</v>
      </c>
      <c r="E2825" s="51" t="s">
        <v>3</v>
      </c>
      <c r="F2825" s="51" t="s">
        <v>4</v>
      </c>
      <c r="G2825" s="51" t="s">
        <v>5</v>
      </c>
      <c r="H2825" s="52" t="s">
        <v>6</v>
      </c>
    </row>
    <row r="2826" spans="1:8" ht="43.2" x14ac:dyDescent="0.3">
      <c r="A2826" s="53">
        <v>1</v>
      </c>
      <c r="B2826" s="53" t="s">
        <v>1229</v>
      </c>
      <c r="C2826" s="40">
        <v>1</v>
      </c>
      <c r="D2826" s="91">
        <v>201</v>
      </c>
      <c r="E2826" s="40">
        <v>40</v>
      </c>
      <c r="F2826" s="40">
        <f>C2826*D2826*E2826</f>
        <v>8040</v>
      </c>
      <c r="G2826" s="55">
        <v>0.5</v>
      </c>
      <c r="H2826" s="42">
        <f>F2826*(1-G2826)</f>
        <v>4020</v>
      </c>
    </row>
    <row r="2827" spans="1:8" x14ac:dyDescent="0.3">
      <c r="A2827" s="53"/>
      <c r="B2827" s="57" t="s">
        <v>7</v>
      </c>
      <c r="C2827" s="40"/>
      <c r="D2827" s="54"/>
      <c r="E2827" s="40"/>
      <c r="F2827" s="40"/>
      <c r="G2827" s="55"/>
      <c r="H2827" s="58">
        <f>SUM(H2826:H2826)</f>
        <v>4020</v>
      </c>
    </row>
    <row r="2828" spans="1:8" x14ac:dyDescent="0.3">
      <c r="A2828" s="53">
        <v>2</v>
      </c>
      <c r="B2828" s="57" t="s">
        <v>8</v>
      </c>
      <c r="C2828" s="40">
        <v>1</v>
      </c>
      <c r="D2828" s="54">
        <v>2534</v>
      </c>
      <c r="E2828" s="40">
        <v>5</v>
      </c>
      <c r="F2828" s="40">
        <f>C2828*D2828*E2828</f>
        <v>12670</v>
      </c>
      <c r="G2828" s="55">
        <v>0</v>
      </c>
      <c r="H2828" s="58">
        <f>(1-G2828)*F2828</f>
        <v>12670</v>
      </c>
    </row>
    <row r="2829" spans="1:8" x14ac:dyDescent="0.3">
      <c r="A2829" s="53"/>
      <c r="B2829" s="57" t="s">
        <v>9</v>
      </c>
      <c r="C2829" s="39"/>
      <c r="D2829" s="59"/>
      <c r="E2829" s="39"/>
      <c r="F2829" s="39"/>
      <c r="G2829" s="39"/>
      <c r="H2829" s="58">
        <f>H2827+H2828</f>
        <v>16690</v>
      </c>
    </row>
    <row r="2830" spans="1:8" x14ac:dyDescent="0.3">
      <c r="A2830" s="40"/>
      <c r="B2830" s="39"/>
      <c r="C2830" s="39"/>
      <c r="D2830" s="105"/>
      <c r="E2830" s="39"/>
      <c r="F2830" s="170"/>
      <c r="G2830" s="39"/>
      <c r="H2830" s="58"/>
    </row>
    <row r="2831" spans="1:8" x14ac:dyDescent="0.3">
      <c r="A2831" s="43"/>
      <c r="B2831" s="62" t="s">
        <v>1051</v>
      </c>
      <c r="C2831" s="44" t="s">
        <v>1035</v>
      </c>
      <c r="D2831" s="73"/>
      <c r="E2831" s="44" t="s">
        <v>1988</v>
      </c>
      <c r="F2831" s="60"/>
      <c r="G2831" s="60"/>
      <c r="H2831" s="48"/>
    </row>
    <row r="2832" spans="1:8" x14ac:dyDescent="0.3">
      <c r="A2832" s="40"/>
      <c r="B2832" s="49" t="s">
        <v>10</v>
      </c>
      <c r="C2832" s="49" t="s">
        <v>1</v>
      </c>
      <c r="D2832" s="50" t="s">
        <v>2</v>
      </c>
      <c r="E2832" s="51" t="s">
        <v>3</v>
      </c>
      <c r="F2832" s="51" t="s">
        <v>4</v>
      </c>
      <c r="G2832" s="51" t="s">
        <v>5</v>
      </c>
      <c r="H2832" s="52" t="s">
        <v>6</v>
      </c>
    </row>
    <row r="2833" spans="1:18" x14ac:dyDescent="0.3">
      <c r="A2833" s="53">
        <v>1</v>
      </c>
      <c r="B2833" s="53" t="s">
        <v>15</v>
      </c>
      <c r="C2833" s="40"/>
      <c r="D2833" s="91"/>
      <c r="E2833" s="40"/>
      <c r="F2833" s="40"/>
      <c r="G2833" s="55"/>
      <c r="H2833" s="42"/>
    </row>
    <row r="2834" spans="1:18" x14ac:dyDescent="0.3">
      <c r="A2834" s="53">
        <v>2</v>
      </c>
      <c r="B2834" s="57" t="s">
        <v>8</v>
      </c>
      <c r="C2834" s="40">
        <v>1</v>
      </c>
      <c r="D2834" s="54">
        <v>900</v>
      </c>
      <c r="E2834" s="40">
        <v>5</v>
      </c>
      <c r="F2834" s="40">
        <f>C2834*D2834*E2834</f>
        <v>4500</v>
      </c>
      <c r="G2834" s="55">
        <v>0</v>
      </c>
      <c r="H2834" s="58">
        <f>(1-G2834)*F2834</f>
        <v>4500</v>
      </c>
    </row>
    <row r="2835" spans="1:18" x14ac:dyDescent="0.3">
      <c r="A2835" s="53"/>
      <c r="B2835" s="57" t="s">
        <v>9</v>
      </c>
      <c r="C2835" s="39"/>
      <c r="D2835" s="59"/>
      <c r="E2835" s="39"/>
      <c r="F2835" s="39"/>
      <c r="G2835" s="39"/>
      <c r="H2835" s="58">
        <f>H2834</f>
        <v>4500</v>
      </c>
    </row>
    <row r="2836" spans="1:18" x14ac:dyDescent="0.3">
      <c r="A2836" s="43"/>
      <c r="B2836" s="62" t="s">
        <v>1052</v>
      </c>
      <c r="C2836" s="44" t="s">
        <v>1035</v>
      </c>
      <c r="D2836" s="73"/>
      <c r="E2836" s="44" t="s">
        <v>1966</v>
      </c>
      <c r="F2836" s="60"/>
      <c r="G2836" s="60"/>
      <c r="H2836" s="48"/>
    </row>
    <row r="2837" spans="1:18" x14ac:dyDescent="0.3">
      <c r="A2837" s="40"/>
      <c r="B2837" s="49" t="s">
        <v>10</v>
      </c>
      <c r="C2837" s="49" t="s">
        <v>1</v>
      </c>
      <c r="D2837" s="50" t="s">
        <v>2</v>
      </c>
      <c r="E2837" s="51" t="s">
        <v>3</v>
      </c>
      <c r="F2837" s="51" t="s">
        <v>4</v>
      </c>
      <c r="G2837" s="51" t="s">
        <v>5</v>
      </c>
      <c r="H2837" s="52" t="s">
        <v>6</v>
      </c>
    </row>
    <row r="2838" spans="1:18" x14ac:dyDescent="0.3">
      <c r="A2838" s="53">
        <v>1</v>
      </c>
      <c r="B2838" s="53" t="s">
        <v>15</v>
      </c>
      <c r="C2838" s="40"/>
      <c r="D2838" s="91"/>
      <c r="E2838" s="40"/>
      <c r="F2838" s="40"/>
      <c r="G2838" s="55"/>
      <c r="H2838" s="42"/>
    </row>
    <row r="2839" spans="1:18" x14ac:dyDescent="0.3">
      <c r="A2839" s="53">
        <v>2</v>
      </c>
      <c r="B2839" s="57" t="s">
        <v>8</v>
      </c>
      <c r="C2839" s="40">
        <v>1</v>
      </c>
      <c r="D2839" s="54">
        <v>3890</v>
      </c>
      <c r="E2839" s="40">
        <v>5</v>
      </c>
      <c r="F2839" s="40">
        <f>C2839*D2839*E2839</f>
        <v>19450</v>
      </c>
      <c r="G2839" s="55">
        <v>0</v>
      </c>
      <c r="H2839" s="58">
        <f>(1-G2839)*F2839</f>
        <v>19450</v>
      </c>
    </row>
    <row r="2840" spans="1:18" x14ac:dyDescent="0.3">
      <c r="A2840" s="53"/>
      <c r="B2840" s="57" t="s">
        <v>9</v>
      </c>
      <c r="C2840" s="39"/>
      <c r="D2840" s="59"/>
      <c r="E2840" s="39"/>
      <c r="F2840" s="39"/>
      <c r="G2840" s="39"/>
      <c r="H2840" s="58">
        <f>H2839</f>
        <v>19450</v>
      </c>
    </row>
    <row r="2841" spans="1:18" x14ac:dyDescent="0.3">
      <c r="A2841" s="53"/>
      <c r="B2841" s="57"/>
      <c r="C2841" s="39"/>
      <c r="D2841" s="59"/>
      <c r="E2841" s="39"/>
      <c r="F2841" s="39"/>
      <c r="G2841" s="39"/>
      <c r="H2841" s="58"/>
    </row>
    <row r="2842" spans="1:18" x14ac:dyDescent="0.3">
      <c r="A2842" s="43"/>
      <c r="B2842" s="62">
        <v>10291</v>
      </c>
      <c r="C2842" s="44" t="s">
        <v>1035</v>
      </c>
      <c r="D2842" s="73"/>
      <c r="E2842" s="44" t="s">
        <v>1053</v>
      </c>
      <c r="F2842" s="60"/>
      <c r="G2842" s="60"/>
      <c r="H2842" s="48"/>
    </row>
    <row r="2843" spans="1:18" x14ac:dyDescent="0.3">
      <c r="A2843" s="40"/>
      <c r="B2843" s="49" t="s">
        <v>10</v>
      </c>
      <c r="C2843" s="49" t="s">
        <v>1</v>
      </c>
      <c r="D2843" s="50" t="s">
        <v>2</v>
      </c>
      <c r="E2843" s="51" t="s">
        <v>3</v>
      </c>
      <c r="F2843" s="51" t="s">
        <v>4</v>
      </c>
      <c r="G2843" s="51" t="s">
        <v>5</v>
      </c>
      <c r="H2843" s="52" t="s">
        <v>6</v>
      </c>
    </row>
    <row r="2844" spans="1:18" ht="86.4" x14ac:dyDescent="0.3">
      <c r="A2844" s="53">
        <v>1</v>
      </c>
      <c r="B2844" s="53" t="s">
        <v>1634</v>
      </c>
      <c r="C2844" s="40">
        <v>1</v>
      </c>
      <c r="D2844" s="91">
        <v>90</v>
      </c>
      <c r="E2844" s="40">
        <v>200</v>
      </c>
      <c r="F2844" s="40">
        <f>C2844*D2844*E2844</f>
        <v>18000</v>
      </c>
      <c r="G2844" s="55">
        <v>0.4</v>
      </c>
      <c r="H2844" s="42">
        <f>F2844*(1-G2844)</f>
        <v>10800</v>
      </c>
    </row>
    <row r="2845" spans="1:18" s="31" customFormat="1" ht="43.2" x14ac:dyDescent="0.3">
      <c r="A2845" s="53">
        <v>2</v>
      </c>
      <c r="B2845" s="53" t="s">
        <v>1635</v>
      </c>
      <c r="C2845" s="40">
        <v>1</v>
      </c>
      <c r="D2845" s="91">
        <v>1020</v>
      </c>
      <c r="E2845" s="40">
        <v>150</v>
      </c>
      <c r="F2845" s="40">
        <f>C2845*D2845*E2845</f>
        <v>153000</v>
      </c>
      <c r="G2845" s="55">
        <v>0.4</v>
      </c>
      <c r="H2845" s="42">
        <f>F2845*(1-G2845)</f>
        <v>91800</v>
      </c>
      <c r="I2845" s="37"/>
      <c r="J2845" s="37"/>
      <c r="K2845" s="37"/>
      <c r="L2845" s="37"/>
      <c r="M2845" s="37"/>
      <c r="N2845" s="37"/>
      <c r="O2845" s="37"/>
      <c r="P2845" s="37"/>
      <c r="Q2845" s="37"/>
      <c r="R2845" s="37"/>
    </row>
    <row r="2846" spans="1:18" s="100" customFormat="1" x14ac:dyDescent="0.3">
      <c r="A2846" s="53">
        <v>3</v>
      </c>
      <c r="B2846" s="53" t="s">
        <v>1054</v>
      </c>
      <c r="C2846" s="40">
        <v>1</v>
      </c>
      <c r="D2846" s="91">
        <v>141.41999999999999</v>
      </c>
      <c r="E2846" s="40">
        <v>45</v>
      </c>
      <c r="F2846" s="40">
        <f>C2846*D2846*E2846</f>
        <v>6363.9</v>
      </c>
      <c r="G2846" s="55">
        <v>0.4</v>
      </c>
      <c r="H2846" s="42">
        <f>F2846*(1-G2846)</f>
        <v>3818.3399999999997</v>
      </c>
    </row>
    <row r="2847" spans="1:18" x14ac:dyDescent="0.3">
      <c r="A2847" s="53"/>
      <c r="B2847" s="57" t="s">
        <v>7</v>
      </c>
      <c r="C2847" s="40"/>
      <c r="D2847" s="54"/>
      <c r="E2847" s="40"/>
      <c r="F2847" s="40"/>
      <c r="G2847" s="55"/>
      <c r="H2847" s="58">
        <f>SUM(H2844:H2846)</f>
        <v>106418.34</v>
      </c>
    </row>
    <row r="2848" spans="1:18" x14ac:dyDescent="0.3">
      <c r="A2848" s="53">
        <v>4</v>
      </c>
      <c r="B2848" s="57" t="s">
        <v>8</v>
      </c>
      <c r="C2848" s="40">
        <v>1</v>
      </c>
      <c r="D2848" s="54">
        <v>5000</v>
      </c>
      <c r="E2848" s="40">
        <v>5</v>
      </c>
      <c r="F2848" s="40">
        <f>C2848*D2848*E2848</f>
        <v>25000</v>
      </c>
      <c r="G2848" s="55">
        <v>0</v>
      </c>
      <c r="H2848" s="58">
        <f>(1-G2848)*F2848</f>
        <v>25000</v>
      </c>
    </row>
    <row r="2849" spans="1:8" x14ac:dyDescent="0.3">
      <c r="A2849" s="53"/>
      <c r="B2849" s="57" t="s">
        <v>9</v>
      </c>
      <c r="C2849" s="39"/>
      <c r="D2849" s="59"/>
      <c r="E2849" s="39"/>
      <c r="F2849" s="39"/>
      <c r="G2849" s="39"/>
      <c r="H2849" s="58">
        <f>H2847+H2848</f>
        <v>131418.34</v>
      </c>
    </row>
    <row r="2850" spans="1:8" x14ac:dyDescent="0.3">
      <c r="A2850" s="51"/>
      <c r="B2850" s="70"/>
      <c r="C2850" s="39"/>
      <c r="D2850" s="59"/>
      <c r="E2850" s="39"/>
      <c r="F2850" s="71"/>
      <c r="G2850" s="39"/>
      <c r="H2850" s="58"/>
    </row>
    <row r="2851" spans="1:8" x14ac:dyDescent="0.3">
      <c r="A2851" s="44"/>
      <c r="B2851" s="92">
        <v>10761</v>
      </c>
      <c r="C2851" s="47" t="s">
        <v>675</v>
      </c>
      <c r="D2851" s="111"/>
      <c r="E2851" s="44" t="s">
        <v>676</v>
      </c>
      <c r="F2851" s="63"/>
      <c r="G2851" s="60"/>
      <c r="H2851" s="48"/>
    </row>
    <row r="2852" spans="1:8" x14ac:dyDescent="0.3">
      <c r="A2852" s="215"/>
      <c r="B2852" s="99" t="s">
        <v>328</v>
      </c>
      <c r="C2852" s="49" t="s">
        <v>1</v>
      </c>
      <c r="D2852" s="112" t="s">
        <v>2</v>
      </c>
      <c r="E2852" s="51" t="s">
        <v>309</v>
      </c>
      <c r="F2852" s="65" t="s">
        <v>4</v>
      </c>
      <c r="G2852" s="51" t="s">
        <v>5</v>
      </c>
      <c r="H2852" s="52" t="s">
        <v>6</v>
      </c>
    </row>
    <row r="2853" spans="1:8" ht="86.4" x14ac:dyDescent="0.3">
      <c r="A2853" s="40">
        <v>1</v>
      </c>
      <c r="B2853" s="102" t="s">
        <v>677</v>
      </c>
      <c r="C2853" s="40">
        <v>1</v>
      </c>
      <c r="D2853" s="41">
        <v>2340</v>
      </c>
      <c r="E2853" s="40">
        <v>550</v>
      </c>
      <c r="F2853" s="68">
        <f>D2853*E2853</f>
        <v>1287000</v>
      </c>
      <c r="G2853" s="55">
        <v>0.5</v>
      </c>
      <c r="H2853" s="42">
        <f>F2853*(1-G2853)</f>
        <v>643500</v>
      </c>
    </row>
    <row r="2854" spans="1:8" ht="86.4" x14ac:dyDescent="0.3">
      <c r="A2854" s="40">
        <v>2</v>
      </c>
      <c r="B2854" s="102" t="s">
        <v>678</v>
      </c>
      <c r="C2854" s="40">
        <v>1</v>
      </c>
      <c r="D2854" s="41">
        <v>600</v>
      </c>
      <c r="E2854" s="40">
        <v>500</v>
      </c>
      <c r="F2854" s="68">
        <f>D2854*E2854</f>
        <v>300000</v>
      </c>
      <c r="G2854" s="55">
        <v>0.5</v>
      </c>
      <c r="H2854" s="42">
        <f>F2854*(1-G2854)</f>
        <v>150000</v>
      </c>
    </row>
    <row r="2855" spans="1:8" ht="43.2" x14ac:dyDescent="0.3">
      <c r="A2855" s="40">
        <v>3</v>
      </c>
      <c r="B2855" s="102" t="s">
        <v>679</v>
      </c>
      <c r="C2855" s="40">
        <v>1</v>
      </c>
      <c r="D2855" s="41">
        <v>234</v>
      </c>
      <c r="E2855" s="40">
        <v>200</v>
      </c>
      <c r="F2855" s="68">
        <f>D2855*E2855</f>
        <v>46800</v>
      </c>
      <c r="G2855" s="55">
        <v>0.5</v>
      </c>
      <c r="H2855" s="42">
        <f>F2855*(1-G2855)</f>
        <v>23400</v>
      </c>
    </row>
    <row r="2856" spans="1:8" ht="43.2" x14ac:dyDescent="0.3">
      <c r="A2856" s="40">
        <v>4</v>
      </c>
      <c r="B2856" s="102" t="s">
        <v>680</v>
      </c>
      <c r="C2856" s="40">
        <v>1</v>
      </c>
      <c r="D2856" s="41">
        <v>32</v>
      </c>
      <c r="E2856" s="40">
        <v>80</v>
      </c>
      <c r="F2856" s="68">
        <f>D2856*E2856</f>
        <v>2560</v>
      </c>
      <c r="G2856" s="55">
        <v>0.5</v>
      </c>
      <c r="H2856" s="42">
        <f>F2856*(1-G2856)</f>
        <v>1280</v>
      </c>
    </row>
    <row r="2857" spans="1:8" ht="57.6" x14ac:dyDescent="0.3">
      <c r="A2857" s="40">
        <v>5</v>
      </c>
      <c r="B2857" s="102" t="s">
        <v>681</v>
      </c>
      <c r="C2857" s="40">
        <v>1</v>
      </c>
      <c r="D2857" s="41">
        <v>190</v>
      </c>
      <c r="E2857" s="40">
        <v>200</v>
      </c>
      <c r="F2857" s="68">
        <f>(D2857*E2857)</f>
        <v>38000</v>
      </c>
      <c r="G2857" s="55">
        <v>0.5</v>
      </c>
      <c r="H2857" s="42">
        <f>(1-G2857)*F2857</f>
        <v>19000</v>
      </c>
    </row>
    <row r="2858" spans="1:8" s="31" customFormat="1" ht="43.2" x14ac:dyDescent="0.3">
      <c r="A2858" s="40">
        <v>6</v>
      </c>
      <c r="B2858" s="102" t="s">
        <v>682</v>
      </c>
      <c r="C2858" s="40">
        <v>1</v>
      </c>
      <c r="D2858" s="41">
        <v>19</v>
      </c>
      <c r="E2858" s="40">
        <v>50</v>
      </c>
      <c r="F2858" s="68">
        <f>(D2858*E2858)</f>
        <v>950</v>
      </c>
      <c r="G2858" s="55">
        <v>0.5</v>
      </c>
      <c r="H2858" s="42">
        <f>(1-G2858)*F2858</f>
        <v>475</v>
      </c>
    </row>
    <row r="2859" spans="1:8" s="3" customFormat="1" ht="28.8" x14ac:dyDescent="0.3">
      <c r="A2859" s="40">
        <v>7</v>
      </c>
      <c r="B2859" s="102" t="s">
        <v>683</v>
      </c>
      <c r="C2859" s="40">
        <v>1</v>
      </c>
      <c r="D2859" s="41">
        <f>172*4</f>
        <v>688</v>
      </c>
      <c r="E2859" s="40">
        <v>40</v>
      </c>
      <c r="F2859" s="68">
        <f>(D2859*E2859)</f>
        <v>27520</v>
      </c>
      <c r="G2859" s="55">
        <v>0.5</v>
      </c>
      <c r="H2859" s="42">
        <f>(1-G2859)*F2859</f>
        <v>13760</v>
      </c>
    </row>
    <row r="2860" spans="1:8" x14ac:dyDescent="0.3">
      <c r="A2860" s="40"/>
      <c r="B2860" s="103" t="s">
        <v>684</v>
      </c>
      <c r="C2860" s="40"/>
      <c r="D2860" s="41"/>
      <c r="E2860" s="40"/>
      <c r="F2860" s="68"/>
      <c r="G2860" s="55"/>
      <c r="H2860" s="58">
        <f>SUM(H2853:H2859)</f>
        <v>851415</v>
      </c>
    </row>
    <row r="2861" spans="1:8" x14ac:dyDescent="0.3">
      <c r="A2861" s="40">
        <v>8</v>
      </c>
      <c r="B2861" s="103" t="s">
        <v>8</v>
      </c>
      <c r="C2861" s="40">
        <v>1</v>
      </c>
      <c r="D2861" s="41">
        <v>29560</v>
      </c>
      <c r="E2861" s="40">
        <v>5</v>
      </c>
      <c r="F2861" s="68">
        <f>(10000*E2861)+(10000*E2861*0.75)+(9560*E2861*0.5)</f>
        <v>111400</v>
      </c>
      <c r="G2861" s="55">
        <v>0</v>
      </c>
      <c r="H2861" s="58">
        <f>F2861*(1-G2861)</f>
        <v>111400</v>
      </c>
    </row>
    <row r="2862" spans="1:8" x14ac:dyDescent="0.3">
      <c r="A2862" s="40"/>
      <c r="B2862" s="120" t="s">
        <v>9</v>
      </c>
      <c r="C2862" s="51"/>
      <c r="D2862" s="112"/>
      <c r="E2862" s="51"/>
      <c r="F2862" s="65"/>
      <c r="G2862" s="51"/>
      <c r="H2862" s="106">
        <f>SUM(H2860:H2861)</f>
        <v>962815</v>
      </c>
    </row>
    <row r="2863" spans="1:8" x14ac:dyDescent="0.3">
      <c r="A2863" s="40"/>
      <c r="B2863" s="120"/>
      <c r="C2863" s="51"/>
      <c r="D2863" s="112"/>
      <c r="E2863" s="51"/>
      <c r="F2863" s="65"/>
      <c r="G2863" s="51"/>
      <c r="H2863" s="106"/>
    </row>
    <row r="2864" spans="1:8" x14ac:dyDescent="0.3">
      <c r="A2864" s="43"/>
      <c r="B2864" s="62">
        <v>10773</v>
      </c>
      <c r="C2864" s="44" t="s">
        <v>1055</v>
      </c>
      <c r="D2864" s="73"/>
      <c r="E2864" s="44" t="s">
        <v>1056</v>
      </c>
      <c r="F2864" s="60"/>
      <c r="G2864" s="60"/>
      <c r="H2864" s="48"/>
    </row>
    <row r="2865" spans="1:8" x14ac:dyDescent="0.3">
      <c r="A2865" s="39"/>
      <c r="B2865" s="107" t="s">
        <v>10</v>
      </c>
      <c r="C2865" s="107" t="s">
        <v>1</v>
      </c>
      <c r="D2865" s="108" t="s">
        <v>2</v>
      </c>
      <c r="E2865" s="109" t="s">
        <v>3</v>
      </c>
      <c r="F2865" s="109" t="s">
        <v>4</v>
      </c>
      <c r="G2865" s="109" t="s">
        <v>5</v>
      </c>
      <c r="H2865" s="106" t="s">
        <v>6</v>
      </c>
    </row>
    <row r="2866" spans="1:8" ht="115.2" x14ac:dyDescent="0.3">
      <c r="A2866" s="53">
        <v>1</v>
      </c>
      <c r="B2866" s="53" t="s">
        <v>1895</v>
      </c>
      <c r="C2866" s="40">
        <v>1</v>
      </c>
      <c r="D2866" s="91">
        <v>100</v>
      </c>
      <c r="E2866" s="40">
        <v>400</v>
      </c>
      <c r="F2866" s="40">
        <f>C2866*D2866*E2866</f>
        <v>40000</v>
      </c>
      <c r="G2866" s="55">
        <v>0.3</v>
      </c>
      <c r="H2866" s="42">
        <f>F2866*(1-G2866)</f>
        <v>28000</v>
      </c>
    </row>
    <row r="2867" spans="1:8" s="31" customFormat="1" ht="115.2" x14ac:dyDescent="0.3">
      <c r="A2867" s="53">
        <v>2</v>
      </c>
      <c r="B2867" s="53" t="s">
        <v>1636</v>
      </c>
      <c r="C2867" s="40">
        <v>1</v>
      </c>
      <c r="D2867" s="91">
        <v>141.25</v>
      </c>
      <c r="E2867" s="40">
        <v>450</v>
      </c>
      <c r="F2867" s="40">
        <f>C2867*D2867*E2867</f>
        <v>63562.5</v>
      </c>
      <c r="G2867" s="55">
        <v>0.4</v>
      </c>
      <c r="H2867" s="42">
        <f>F2867*(1-G2867)</f>
        <v>38137.5</v>
      </c>
    </row>
    <row r="2868" spans="1:8" s="3" customFormat="1" ht="115.2" x14ac:dyDescent="0.3">
      <c r="A2868" s="53">
        <v>3</v>
      </c>
      <c r="B2868" s="53" t="s">
        <v>1637</v>
      </c>
      <c r="C2868" s="40">
        <v>1</v>
      </c>
      <c r="D2868" s="91">
        <v>44.4</v>
      </c>
      <c r="E2868" s="40">
        <v>100</v>
      </c>
      <c r="F2868" s="40">
        <f>C2868*D2868*E2868</f>
        <v>4440</v>
      </c>
      <c r="G2868" s="55">
        <v>0.3</v>
      </c>
      <c r="H2868" s="42">
        <f>F2868*(1-G2868)</f>
        <v>3108</v>
      </c>
    </row>
    <row r="2869" spans="1:8" ht="28.8" x14ac:dyDescent="0.3">
      <c r="A2869" s="53">
        <v>4</v>
      </c>
      <c r="B2869" s="53" t="s">
        <v>1041</v>
      </c>
      <c r="C2869" s="40">
        <v>1</v>
      </c>
      <c r="D2869" s="91">
        <v>145.94999999999999</v>
      </c>
      <c r="E2869" s="40">
        <v>45</v>
      </c>
      <c r="F2869" s="40">
        <f>C2869*D2869*E2869</f>
        <v>6567.7499999999991</v>
      </c>
      <c r="G2869" s="55">
        <v>0.4</v>
      </c>
      <c r="H2869" s="42">
        <f>F2869*(1-G2869)</f>
        <v>3940.6499999999992</v>
      </c>
    </row>
    <row r="2870" spans="1:8" x14ac:dyDescent="0.3">
      <c r="A2870" s="53"/>
      <c r="B2870" s="57" t="s">
        <v>7</v>
      </c>
      <c r="C2870" s="40"/>
      <c r="D2870" s="54"/>
      <c r="E2870" s="40"/>
      <c r="F2870" s="40"/>
      <c r="G2870" s="55"/>
      <c r="H2870" s="58">
        <f>SUM(H2866:H2869)</f>
        <v>73186.149999999994</v>
      </c>
    </row>
    <row r="2871" spans="1:8" x14ac:dyDescent="0.3">
      <c r="A2871" s="53">
        <v>5</v>
      </c>
      <c r="B2871" s="57" t="s">
        <v>8</v>
      </c>
      <c r="C2871" s="40">
        <v>1</v>
      </c>
      <c r="D2871" s="54">
        <v>5325</v>
      </c>
      <c r="E2871" s="40">
        <v>5</v>
      </c>
      <c r="F2871" s="40">
        <f>C2871*D2871*E2871</f>
        <v>26625</v>
      </c>
      <c r="G2871" s="55">
        <v>0</v>
      </c>
      <c r="H2871" s="58">
        <f>(1-G2871)*F2871</f>
        <v>26625</v>
      </c>
    </row>
    <row r="2872" spans="1:8" x14ac:dyDescent="0.3">
      <c r="A2872" s="53"/>
      <c r="B2872" s="57" t="s">
        <v>9</v>
      </c>
      <c r="C2872" s="39"/>
      <c r="D2872" s="59"/>
      <c r="E2872" s="39"/>
      <c r="F2872" s="39"/>
      <c r="G2872" s="39"/>
      <c r="H2872" s="58">
        <f>H2870+H2871</f>
        <v>99811.15</v>
      </c>
    </row>
    <row r="2873" spans="1:8" x14ac:dyDescent="0.3">
      <c r="A2873" s="43"/>
      <c r="B2873" s="62">
        <v>10774</v>
      </c>
      <c r="C2873" s="44" t="s">
        <v>1057</v>
      </c>
      <c r="D2873" s="73"/>
      <c r="E2873" s="44" t="s">
        <v>1058</v>
      </c>
      <c r="F2873" s="60"/>
      <c r="G2873" s="60"/>
      <c r="H2873" s="48"/>
    </row>
    <row r="2874" spans="1:8" x14ac:dyDescent="0.3">
      <c r="A2874" s="39"/>
      <c r="B2874" s="107" t="s">
        <v>10</v>
      </c>
      <c r="C2874" s="107" t="s">
        <v>1</v>
      </c>
      <c r="D2874" s="108" t="s">
        <v>2</v>
      </c>
      <c r="E2874" s="109" t="s">
        <v>3</v>
      </c>
      <c r="F2874" s="109" t="s">
        <v>4</v>
      </c>
      <c r="G2874" s="109" t="s">
        <v>5</v>
      </c>
      <c r="H2874" s="106" t="s">
        <v>6</v>
      </c>
    </row>
    <row r="2875" spans="1:8" ht="115.2" x14ac:dyDescent="0.3">
      <c r="A2875" s="53">
        <v>1</v>
      </c>
      <c r="B2875" s="53" t="s">
        <v>1896</v>
      </c>
      <c r="C2875" s="40">
        <v>1</v>
      </c>
      <c r="D2875" s="91">
        <v>196</v>
      </c>
      <c r="E2875" s="40">
        <v>500</v>
      </c>
      <c r="F2875" s="40">
        <f>C2875*D2875*E2875</f>
        <v>98000</v>
      </c>
      <c r="G2875" s="55">
        <v>0.3</v>
      </c>
      <c r="H2875" s="42">
        <f>F2875*(1-G2875)</f>
        <v>68600</v>
      </c>
    </row>
    <row r="2876" spans="1:8" s="31" customFormat="1" ht="115.2" x14ac:dyDescent="0.3">
      <c r="A2876" s="53">
        <v>2</v>
      </c>
      <c r="B2876" s="53" t="s">
        <v>1638</v>
      </c>
      <c r="C2876" s="40">
        <v>1</v>
      </c>
      <c r="D2876" s="91">
        <v>23.4</v>
      </c>
      <c r="E2876" s="40">
        <v>100</v>
      </c>
      <c r="F2876" s="40">
        <f>C2876*D2876*E2876</f>
        <v>2340</v>
      </c>
      <c r="G2876" s="55">
        <v>0.4</v>
      </c>
      <c r="H2876" s="42">
        <f>F2876*(1-G2876)</f>
        <v>1404</v>
      </c>
    </row>
    <row r="2877" spans="1:8" s="3" customFormat="1" ht="28.8" x14ac:dyDescent="0.3">
      <c r="A2877" s="53">
        <v>3</v>
      </c>
      <c r="B2877" s="53" t="s">
        <v>1041</v>
      </c>
      <c r="C2877" s="40">
        <v>1</v>
      </c>
      <c r="D2877" s="91">
        <v>128.44999999999999</v>
      </c>
      <c r="E2877" s="40">
        <v>45</v>
      </c>
      <c r="F2877" s="40">
        <f>C2877*D2877*E2877</f>
        <v>5780.2499999999991</v>
      </c>
      <c r="G2877" s="55">
        <v>0.4</v>
      </c>
      <c r="H2877" s="42">
        <f>F2877*(1-G2877)</f>
        <v>3468.1499999999992</v>
      </c>
    </row>
    <row r="2878" spans="1:8" x14ac:dyDescent="0.3">
      <c r="A2878" s="53"/>
      <c r="B2878" s="57" t="s">
        <v>7</v>
      </c>
      <c r="C2878" s="40"/>
      <c r="D2878" s="54"/>
      <c r="E2878" s="40"/>
      <c r="F2878" s="40"/>
      <c r="G2878" s="55"/>
      <c r="H2878" s="58">
        <f>SUM(H2875:H2877)</f>
        <v>73472.149999999994</v>
      </c>
    </row>
    <row r="2879" spans="1:8" x14ac:dyDescent="0.3">
      <c r="A2879" s="53">
        <v>4</v>
      </c>
      <c r="B2879" s="57" t="s">
        <v>8</v>
      </c>
      <c r="C2879" s="40">
        <v>1</v>
      </c>
      <c r="D2879" s="54">
        <v>4125</v>
      </c>
      <c r="E2879" s="40">
        <v>5</v>
      </c>
      <c r="F2879" s="40">
        <f>C2879*D2879*E2879</f>
        <v>20625</v>
      </c>
      <c r="G2879" s="55">
        <v>0</v>
      </c>
      <c r="H2879" s="58">
        <f>(1-G2879)*F2879</f>
        <v>20625</v>
      </c>
    </row>
    <row r="2880" spans="1:8" x14ac:dyDescent="0.3">
      <c r="A2880" s="53"/>
      <c r="B2880" s="57" t="s">
        <v>9</v>
      </c>
      <c r="C2880" s="39"/>
      <c r="D2880" s="59"/>
      <c r="E2880" s="39"/>
      <c r="F2880" s="39"/>
      <c r="G2880" s="39"/>
      <c r="H2880" s="58">
        <f>H2878+H2879</f>
        <v>94097.15</v>
      </c>
    </row>
    <row r="2881" spans="1:8" x14ac:dyDescent="0.3">
      <c r="A2881" s="40"/>
      <c r="B2881" s="120"/>
      <c r="C2881" s="51"/>
      <c r="D2881" s="112"/>
      <c r="E2881" s="51"/>
      <c r="F2881" s="65"/>
      <c r="G2881" s="51"/>
      <c r="H2881" s="106"/>
    </row>
    <row r="2882" spans="1:8" x14ac:dyDescent="0.3">
      <c r="A2882" s="43"/>
      <c r="B2882" s="95">
        <v>10777</v>
      </c>
      <c r="C2882" s="47" t="s">
        <v>926</v>
      </c>
      <c r="D2882" s="156"/>
      <c r="E2882" s="47" t="s">
        <v>946</v>
      </c>
      <c r="F2882" s="47"/>
      <c r="G2882" s="60"/>
      <c r="H2882" s="48"/>
    </row>
    <row r="2883" spans="1:8" x14ac:dyDescent="0.3">
      <c r="A2883" s="39"/>
      <c r="B2883" s="165" t="s">
        <v>10</v>
      </c>
      <c r="C2883" s="166" t="s">
        <v>1</v>
      </c>
      <c r="D2883" s="167" t="s">
        <v>2</v>
      </c>
      <c r="E2883" s="165" t="s">
        <v>3</v>
      </c>
      <c r="F2883" s="165" t="s">
        <v>4</v>
      </c>
      <c r="G2883" s="165" t="s">
        <v>5</v>
      </c>
      <c r="H2883" s="168" t="s">
        <v>6</v>
      </c>
    </row>
    <row r="2884" spans="1:8" ht="72" x14ac:dyDescent="0.3">
      <c r="A2884" s="40">
        <v>1</v>
      </c>
      <c r="B2884" s="53" t="s">
        <v>1671</v>
      </c>
      <c r="C2884" s="40">
        <v>1</v>
      </c>
      <c r="D2884" s="41">
        <v>125.63</v>
      </c>
      <c r="E2884" s="38">
        <v>400</v>
      </c>
      <c r="F2884" s="40">
        <f>C2884*D2884*E2884</f>
        <v>50252</v>
      </c>
      <c r="G2884" s="55">
        <v>0.6</v>
      </c>
      <c r="H2884" s="42">
        <f>(1-G2884)*F2884</f>
        <v>20100.800000000003</v>
      </c>
    </row>
    <row r="2885" spans="1:8" ht="43.2" x14ac:dyDescent="0.3">
      <c r="A2885" s="40">
        <v>2</v>
      </c>
      <c r="B2885" s="53" t="s">
        <v>910</v>
      </c>
      <c r="C2885" s="40">
        <v>1</v>
      </c>
      <c r="D2885" s="54">
        <v>55.16</v>
      </c>
      <c r="E2885" s="40">
        <v>50</v>
      </c>
      <c r="F2885" s="40">
        <f>C2885*D2885*E2885</f>
        <v>2758</v>
      </c>
      <c r="G2885" s="55">
        <v>0.6</v>
      </c>
      <c r="H2885" s="42">
        <f>F2885*(1-G2885)</f>
        <v>1103.2</v>
      </c>
    </row>
    <row r="2886" spans="1:8" ht="28.8" x14ac:dyDescent="0.3">
      <c r="A2886" s="40">
        <v>3</v>
      </c>
      <c r="B2886" s="53" t="s">
        <v>947</v>
      </c>
      <c r="C2886" s="40">
        <v>1</v>
      </c>
      <c r="D2886" s="54">
        <v>148</v>
      </c>
      <c r="E2886" s="113">
        <f>0.5*10</f>
        <v>5</v>
      </c>
      <c r="F2886" s="40">
        <f>C2886*D2886*E2886</f>
        <v>740</v>
      </c>
      <c r="G2886" s="74">
        <v>0.6</v>
      </c>
      <c r="H2886" s="42">
        <f>F2886*(1-G2886)</f>
        <v>296</v>
      </c>
    </row>
    <row r="2887" spans="1:8" x14ac:dyDescent="0.3">
      <c r="A2887" s="40"/>
      <c r="B2887" s="40" t="s">
        <v>11</v>
      </c>
      <c r="C2887" s="57"/>
      <c r="D2887" s="105"/>
      <c r="E2887" s="39"/>
      <c r="F2887" s="39"/>
      <c r="G2887" s="39"/>
      <c r="H2887" s="58">
        <f>H2884+H2885+H2886</f>
        <v>21500.000000000004</v>
      </c>
    </row>
    <row r="2888" spans="1:8" x14ac:dyDescent="0.3">
      <c r="A2888" s="40">
        <v>4</v>
      </c>
      <c r="B2888" s="40" t="s">
        <v>8</v>
      </c>
      <c r="C2888" s="40">
        <v>1</v>
      </c>
      <c r="D2888" s="146">
        <v>5440</v>
      </c>
      <c r="E2888" s="40">
        <v>5</v>
      </c>
      <c r="F2888" s="169">
        <f>C2888*D2888*E2888</f>
        <v>27200</v>
      </c>
      <c r="G2888" s="55">
        <v>0</v>
      </c>
      <c r="H2888" s="42">
        <f>(1-G2888)*F2888</f>
        <v>27200</v>
      </c>
    </row>
    <row r="2889" spans="1:8" x14ac:dyDescent="0.3">
      <c r="A2889" s="51"/>
      <c r="B2889" s="39" t="s">
        <v>9</v>
      </c>
      <c r="C2889" s="39"/>
      <c r="D2889" s="105"/>
      <c r="E2889" s="39"/>
      <c r="F2889" s="170"/>
      <c r="G2889" s="39"/>
      <c r="H2889" s="58">
        <f>H2887+H2888</f>
        <v>48700</v>
      </c>
    </row>
    <row r="2890" spans="1:8" x14ac:dyDescent="0.3">
      <c r="A2890" s="40"/>
      <c r="B2890" s="120"/>
      <c r="C2890" s="51"/>
      <c r="D2890" s="112"/>
      <c r="E2890" s="51"/>
      <c r="F2890" s="65"/>
      <c r="G2890" s="51"/>
      <c r="H2890" s="106"/>
    </row>
    <row r="2891" spans="1:8" ht="28.8" x14ac:dyDescent="0.3">
      <c r="A2891" s="60"/>
      <c r="B2891" s="62">
        <v>11210</v>
      </c>
      <c r="C2891" s="86" t="s">
        <v>649</v>
      </c>
      <c r="D2891" s="156"/>
      <c r="E2891" s="44" t="s">
        <v>685</v>
      </c>
      <c r="F2891" s="63"/>
      <c r="G2891" s="60"/>
      <c r="H2891" s="48"/>
    </row>
    <row r="2892" spans="1:8" x14ac:dyDescent="0.3">
      <c r="A2892" s="40"/>
      <c r="B2892" s="64" t="s">
        <v>0</v>
      </c>
      <c r="C2892" s="49" t="s">
        <v>1</v>
      </c>
      <c r="D2892" s="50" t="s">
        <v>2</v>
      </c>
      <c r="E2892" s="51" t="s">
        <v>3</v>
      </c>
      <c r="F2892" s="65" t="s">
        <v>4</v>
      </c>
      <c r="G2892" s="51" t="s">
        <v>5</v>
      </c>
      <c r="H2892" s="52" t="s">
        <v>6</v>
      </c>
    </row>
    <row r="2893" spans="1:8" ht="43.2" x14ac:dyDescent="0.3">
      <c r="A2893" s="40">
        <v>1</v>
      </c>
      <c r="B2893" s="144" t="s">
        <v>686</v>
      </c>
      <c r="C2893" s="40">
        <v>1</v>
      </c>
      <c r="D2893" s="41">
        <v>630</v>
      </c>
      <c r="E2893" s="40">
        <v>150</v>
      </c>
      <c r="F2893" s="68">
        <f>C2893*D2893*E2893</f>
        <v>94500</v>
      </c>
      <c r="G2893" s="55">
        <v>0.5</v>
      </c>
      <c r="H2893" s="42">
        <f>(1-G2893)*F2893</f>
        <v>47250</v>
      </c>
    </row>
    <row r="2894" spans="1:8" ht="57.6" x14ac:dyDescent="0.3">
      <c r="A2894" s="40">
        <v>2</v>
      </c>
      <c r="B2894" s="144" t="s">
        <v>687</v>
      </c>
      <c r="C2894" s="40">
        <v>1</v>
      </c>
      <c r="D2894" s="41">
        <v>57</v>
      </c>
      <c r="E2894" s="40">
        <v>100</v>
      </c>
      <c r="F2894" s="68">
        <f>C2894*D2894*E2894</f>
        <v>5700</v>
      </c>
      <c r="G2894" s="55">
        <v>0.6</v>
      </c>
      <c r="H2894" s="42">
        <f>(1-G2894)*F2894</f>
        <v>2280</v>
      </c>
    </row>
    <row r="2895" spans="1:8" ht="28.8" x14ac:dyDescent="0.3">
      <c r="A2895" s="40">
        <v>3</v>
      </c>
      <c r="B2895" s="144" t="s">
        <v>655</v>
      </c>
      <c r="C2895" s="40">
        <v>1</v>
      </c>
      <c r="D2895" s="41">
        <v>310</v>
      </c>
      <c r="E2895" s="40">
        <v>22</v>
      </c>
      <c r="F2895" s="68">
        <f>C2895*D2895*E2895</f>
        <v>6820</v>
      </c>
      <c r="G2895" s="55">
        <v>0.6</v>
      </c>
      <c r="H2895" s="42">
        <f>(1-G2895)*F2895</f>
        <v>2728</v>
      </c>
    </row>
    <row r="2896" spans="1:8" x14ac:dyDescent="0.3">
      <c r="A2896" s="53"/>
      <c r="B2896" s="70" t="s">
        <v>7</v>
      </c>
      <c r="C2896" s="40"/>
      <c r="D2896" s="54"/>
      <c r="E2896" s="40"/>
      <c r="F2896" s="68"/>
      <c r="G2896" s="55"/>
      <c r="H2896" s="58">
        <f>SUM(H2893:H2895)</f>
        <v>52258</v>
      </c>
    </row>
    <row r="2897" spans="1:8" x14ac:dyDescent="0.3">
      <c r="A2897" s="53">
        <v>4</v>
      </c>
      <c r="B2897" s="70" t="s">
        <v>8</v>
      </c>
      <c r="C2897" s="40">
        <v>1</v>
      </c>
      <c r="D2897" s="54">
        <v>6000</v>
      </c>
      <c r="E2897" s="40">
        <v>5</v>
      </c>
      <c r="F2897" s="68">
        <f>C2897*D2897*E2897</f>
        <v>30000</v>
      </c>
      <c r="G2897" s="55">
        <v>0</v>
      </c>
      <c r="H2897" s="58">
        <f>(1-G2897)*F2897</f>
        <v>30000</v>
      </c>
    </row>
    <row r="2898" spans="1:8" x14ac:dyDescent="0.3">
      <c r="A2898" s="53"/>
      <c r="B2898" s="70" t="s">
        <v>9</v>
      </c>
      <c r="C2898" s="39"/>
      <c r="D2898" s="59"/>
      <c r="E2898" s="39"/>
      <c r="F2898" s="71"/>
      <c r="G2898" s="39"/>
      <c r="H2898" s="58">
        <f>H2896+H2897</f>
        <v>82258</v>
      </c>
    </row>
    <row r="2899" spans="1:8" ht="28.8" x14ac:dyDescent="0.3">
      <c r="A2899" s="60"/>
      <c r="B2899" s="62">
        <v>11211</v>
      </c>
      <c r="C2899" s="86" t="s">
        <v>649</v>
      </c>
      <c r="D2899" s="156"/>
      <c r="E2899" s="44" t="s">
        <v>688</v>
      </c>
      <c r="F2899" s="63"/>
      <c r="G2899" s="60"/>
      <c r="H2899" s="48"/>
    </row>
    <row r="2900" spans="1:8" x14ac:dyDescent="0.3">
      <c r="A2900" s="40"/>
      <c r="B2900" s="64" t="s">
        <v>0</v>
      </c>
      <c r="C2900" s="49" t="s">
        <v>1</v>
      </c>
      <c r="D2900" s="50" t="s">
        <v>2</v>
      </c>
      <c r="E2900" s="51" t="s">
        <v>3</v>
      </c>
      <c r="F2900" s="65" t="s">
        <v>4</v>
      </c>
      <c r="G2900" s="51" t="s">
        <v>5</v>
      </c>
      <c r="H2900" s="52" t="s">
        <v>6</v>
      </c>
    </row>
    <row r="2901" spans="1:8" ht="43.2" x14ac:dyDescent="0.3">
      <c r="A2901" s="40">
        <v>1</v>
      </c>
      <c r="B2901" s="144" t="s">
        <v>689</v>
      </c>
      <c r="C2901" s="40">
        <v>1</v>
      </c>
      <c r="D2901" s="41">
        <v>42</v>
      </c>
      <c r="E2901" s="40">
        <v>50</v>
      </c>
      <c r="F2901" s="68">
        <f>C2901*D2901*E2901</f>
        <v>2100</v>
      </c>
      <c r="G2901" s="55">
        <v>0.5</v>
      </c>
      <c r="H2901" s="42">
        <f>(1-G2901)*F2901</f>
        <v>1050</v>
      </c>
    </row>
    <row r="2902" spans="1:8" ht="57.6" x14ac:dyDescent="0.3">
      <c r="A2902" s="40">
        <v>2</v>
      </c>
      <c r="B2902" s="144" t="s">
        <v>690</v>
      </c>
      <c r="C2902" s="40">
        <v>1</v>
      </c>
      <c r="D2902" s="41">
        <v>43</v>
      </c>
      <c r="E2902" s="40">
        <v>100</v>
      </c>
      <c r="F2902" s="68">
        <f>C2902*D2902*E2902</f>
        <v>4300</v>
      </c>
      <c r="G2902" s="55">
        <v>0.5</v>
      </c>
      <c r="H2902" s="42">
        <f>(1-G2902)*F2902</f>
        <v>2150</v>
      </c>
    </row>
    <row r="2903" spans="1:8" ht="28.8" x14ac:dyDescent="0.3">
      <c r="A2903" s="40">
        <v>3</v>
      </c>
      <c r="B2903" s="144" t="s">
        <v>655</v>
      </c>
      <c r="C2903" s="40">
        <v>1</v>
      </c>
      <c r="D2903" s="41">
        <f>67.45*4</f>
        <v>269.8</v>
      </c>
      <c r="E2903" s="40">
        <v>22</v>
      </c>
      <c r="F2903" s="68">
        <f>C2903*D2903*E2903</f>
        <v>5935.6</v>
      </c>
      <c r="G2903" s="55">
        <v>0.5</v>
      </c>
      <c r="H2903" s="42">
        <f>(1-G2903)*F2903</f>
        <v>2967.8</v>
      </c>
    </row>
    <row r="2904" spans="1:8" x14ac:dyDescent="0.3">
      <c r="A2904" s="53"/>
      <c r="B2904" s="70" t="s">
        <v>7</v>
      </c>
      <c r="C2904" s="40"/>
      <c r="D2904" s="54"/>
      <c r="E2904" s="40"/>
      <c r="F2904" s="68"/>
      <c r="G2904" s="55"/>
      <c r="H2904" s="58">
        <f>SUM(H2901:H2903)</f>
        <v>6167.8</v>
      </c>
    </row>
    <row r="2905" spans="1:8" x14ac:dyDescent="0.3">
      <c r="A2905" s="53">
        <v>4</v>
      </c>
      <c r="B2905" s="70" t="s">
        <v>8</v>
      </c>
      <c r="C2905" s="40">
        <v>1</v>
      </c>
      <c r="D2905" s="54">
        <v>4540</v>
      </c>
      <c r="E2905" s="40">
        <v>5</v>
      </c>
      <c r="F2905" s="68">
        <f>C2905*D2905*E2905</f>
        <v>22700</v>
      </c>
      <c r="G2905" s="55">
        <v>0</v>
      </c>
      <c r="H2905" s="58">
        <f>(1-G2905)*F2905</f>
        <v>22700</v>
      </c>
    </row>
    <row r="2906" spans="1:8" x14ac:dyDescent="0.3">
      <c r="A2906" s="53"/>
      <c r="B2906" s="70" t="s">
        <v>9</v>
      </c>
      <c r="C2906" s="39"/>
      <c r="D2906" s="59"/>
      <c r="E2906" s="39"/>
      <c r="F2906" s="71"/>
      <c r="G2906" s="39"/>
      <c r="H2906" s="58">
        <f>H2904+H2905</f>
        <v>28867.8</v>
      </c>
    </row>
    <row r="2907" spans="1:8" ht="28.8" x14ac:dyDescent="0.3">
      <c r="A2907" s="60"/>
      <c r="B2907" s="62">
        <v>11212</v>
      </c>
      <c r="C2907" s="86" t="s">
        <v>649</v>
      </c>
      <c r="D2907" s="156"/>
      <c r="E2907" s="44" t="s">
        <v>691</v>
      </c>
      <c r="F2907" s="63"/>
      <c r="G2907" s="60"/>
      <c r="H2907" s="48"/>
    </row>
    <row r="2908" spans="1:8" x14ac:dyDescent="0.3">
      <c r="A2908" s="40"/>
      <c r="B2908" s="64" t="s">
        <v>0</v>
      </c>
      <c r="C2908" s="49" t="s">
        <v>1</v>
      </c>
      <c r="D2908" s="50" t="s">
        <v>2</v>
      </c>
      <c r="E2908" s="51" t="s">
        <v>3</v>
      </c>
      <c r="F2908" s="65" t="s">
        <v>4</v>
      </c>
      <c r="G2908" s="51" t="s">
        <v>5</v>
      </c>
      <c r="H2908" s="52" t="s">
        <v>6</v>
      </c>
    </row>
    <row r="2909" spans="1:8" ht="43.2" x14ac:dyDescent="0.3">
      <c r="A2909" s="40">
        <v>1</v>
      </c>
      <c r="B2909" s="144" t="s">
        <v>692</v>
      </c>
      <c r="C2909" s="40">
        <v>1</v>
      </c>
      <c r="D2909" s="41">
        <v>50</v>
      </c>
      <c r="E2909" s="40">
        <v>50</v>
      </c>
      <c r="F2909" s="68">
        <f>C2909*D2909*E2909</f>
        <v>2500</v>
      </c>
      <c r="G2909" s="55">
        <v>0.4</v>
      </c>
      <c r="H2909" s="42">
        <f>(1-G2909)*F2909</f>
        <v>1500</v>
      </c>
    </row>
    <row r="2910" spans="1:8" ht="28.8" x14ac:dyDescent="0.3">
      <c r="A2910" s="53">
        <v>2</v>
      </c>
      <c r="B2910" s="144" t="s">
        <v>655</v>
      </c>
      <c r="C2910" s="40">
        <v>1</v>
      </c>
      <c r="D2910" s="54">
        <f>66.3*4</f>
        <v>265.2</v>
      </c>
      <c r="E2910" s="40">
        <v>22</v>
      </c>
      <c r="F2910" s="68">
        <f>C2910*D2910*E2910</f>
        <v>5834.4</v>
      </c>
      <c r="G2910" s="74">
        <v>0.5</v>
      </c>
      <c r="H2910" s="42">
        <f>F2910*(1-G2910)</f>
        <v>2917.2</v>
      </c>
    </row>
    <row r="2911" spans="1:8" x14ac:dyDescent="0.3">
      <c r="A2911" s="53"/>
      <c r="B2911" s="70" t="s">
        <v>7</v>
      </c>
      <c r="C2911" s="40"/>
      <c r="D2911" s="54"/>
      <c r="E2911" s="40"/>
      <c r="F2911" s="68"/>
      <c r="G2911" s="55"/>
      <c r="H2911" s="58">
        <f>SUM(H2909:H2910)</f>
        <v>4417.2</v>
      </c>
    </row>
    <row r="2912" spans="1:8" x14ac:dyDescent="0.3">
      <c r="A2912" s="53">
        <v>3</v>
      </c>
      <c r="B2912" s="70" t="s">
        <v>8</v>
      </c>
      <c r="C2912" s="40">
        <v>1</v>
      </c>
      <c r="D2912" s="54">
        <v>4400</v>
      </c>
      <c r="E2912" s="40">
        <v>5</v>
      </c>
      <c r="F2912" s="68">
        <f>D2912*E2912*C2912</f>
        <v>22000</v>
      </c>
      <c r="G2912" s="55">
        <v>0</v>
      </c>
      <c r="H2912" s="58">
        <f>(1-G2912)*F2912</f>
        <v>22000</v>
      </c>
    </row>
    <row r="2913" spans="1:8" x14ac:dyDescent="0.3">
      <c r="A2913" s="53"/>
      <c r="B2913" s="70" t="s">
        <v>9</v>
      </c>
      <c r="C2913" s="39"/>
      <c r="D2913" s="59"/>
      <c r="E2913" s="39"/>
      <c r="F2913" s="71"/>
      <c r="G2913" s="39"/>
      <c r="H2913" s="58">
        <f>H2911+H2912</f>
        <v>26417.200000000001</v>
      </c>
    </row>
    <row r="2914" spans="1:8" ht="28.8" x14ac:dyDescent="0.3">
      <c r="A2914" s="60"/>
      <c r="B2914" s="62">
        <v>11213</v>
      </c>
      <c r="C2914" s="86" t="s">
        <v>649</v>
      </c>
      <c r="D2914" s="156"/>
      <c r="E2914" s="44" t="s">
        <v>693</v>
      </c>
      <c r="F2914" s="63"/>
      <c r="G2914" s="60"/>
      <c r="H2914" s="48"/>
    </row>
    <row r="2915" spans="1:8" x14ac:dyDescent="0.3">
      <c r="A2915" s="40"/>
      <c r="B2915" s="64" t="s">
        <v>0</v>
      </c>
      <c r="C2915" s="49" t="s">
        <v>1</v>
      </c>
      <c r="D2915" s="50" t="s">
        <v>2</v>
      </c>
      <c r="E2915" s="51" t="s">
        <v>3</v>
      </c>
      <c r="F2915" s="65" t="s">
        <v>4</v>
      </c>
      <c r="G2915" s="51" t="s">
        <v>5</v>
      </c>
      <c r="H2915" s="52" t="s">
        <v>6</v>
      </c>
    </row>
    <row r="2916" spans="1:8" x14ac:dyDescent="0.3">
      <c r="A2916" s="40">
        <v>1</v>
      </c>
      <c r="B2916" s="144" t="s">
        <v>665</v>
      </c>
      <c r="C2916" s="40"/>
      <c r="D2916" s="41"/>
      <c r="E2916" s="40"/>
      <c r="F2916" s="68"/>
      <c r="G2916" s="55"/>
      <c r="H2916" s="42"/>
    </row>
    <row r="2917" spans="1:8" x14ac:dyDescent="0.3">
      <c r="A2917" s="53"/>
      <c r="B2917" s="70" t="s">
        <v>7</v>
      </c>
      <c r="C2917" s="40"/>
      <c r="D2917" s="54"/>
      <c r="E2917" s="40"/>
      <c r="F2917" s="68"/>
      <c r="G2917" s="55"/>
      <c r="H2917" s="58">
        <f>SUM(H2916:H2916)</f>
        <v>0</v>
      </c>
    </row>
    <row r="2918" spans="1:8" x14ac:dyDescent="0.3">
      <c r="A2918" s="53">
        <v>2</v>
      </c>
      <c r="B2918" s="70" t="s">
        <v>8</v>
      </c>
      <c r="C2918" s="40">
        <v>1</v>
      </c>
      <c r="D2918" s="54">
        <v>4250</v>
      </c>
      <c r="E2918" s="40">
        <v>5</v>
      </c>
      <c r="F2918" s="68">
        <f>C2918*D2918*E2918</f>
        <v>21250</v>
      </c>
      <c r="G2918" s="55">
        <v>0</v>
      </c>
      <c r="H2918" s="58">
        <f>(1-G2918)*F2918</f>
        <v>21250</v>
      </c>
    </row>
    <row r="2919" spans="1:8" x14ac:dyDescent="0.3">
      <c r="A2919" s="53"/>
      <c r="B2919" s="70" t="s">
        <v>9</v>
      </c>
      <c r="C2919" s="39"/>
      <c r="D2919" s="59"/>
      <c r="E2919" s="39"/>
      <c r="F2919" s="71"/>
      <c r="G2919" s="39"/>
      <c r="H2919" s="58">
        <f>H2917+H2918</f>
        <v>21250</v>
      </c>
    </row>
    <row r="2920" spans="1:8" ht="28.8" x14ac:dyDescent="0.3">
      <c r="A2920" s="60"/>
      <c r="B2920" s="62">
        <v>11214</v>
      </c>
      <c r="C2920" s="86" t="s">
        <v>649</v>
      </c>
      <c r="D2920" s="156"/>
      <c r="E2920" s="44" t="s">
        <v>1988</v>
      </c>
      <c r="F2920" s="63"/>
      <c r="G2920" s="60"/>
      <c r="H2920" s="48"/>
    </row>
    <row r="2921" spans="1:8" x14ac:dyDescent="0.3">
      <c r="A2921" s="40"/>
      <c r="B2921" s="64" t="s">
        <v>0</v>
      </c>
      <c r="C2921" s="49" t="s">
        <v>1</v>
      </c>
      <c r="D2921" s="50" t="s">
        <v>2</v>
      </c>
      <c r="E2921" s="51" t="s">
        <v>3</v>
      </c>
      <c r="F2921" s="65" t="s">
        <v>4</v>
      </c>
      <c r="G2921" s="51" t="s">
        <v>5</v>
      </c>
      <c r="H2921" s="52" t="s">
        <v>6</v>
      </c>
    </row>
    <row r="2922" spans="1:8" x14ac:dyDescent="0.3">
      <c r="A2922" s="40">
        <v>1</v>
      </c>
      <c r="B2922" s="144" t="s">
        <v>665</v>
      </c>
      <c r="C2922" s="40"/>
      <c r="D2922" s="41"/>
      <c r="E2922" s="40"/>
      <c r="F2922" s="68"/>
      <c r="G2922" s="55"/>
      <c r="H2922" s="42"/>
    </row>
    <row r="2923" spans="1:8" x14ac:dyDescent="0.3">
      <c r="A2923" s="53"/>
      <c r="B2923" s="70" t="s">
        <v>7</v>
      </c>
      <c r="C2923" s="40"/>
      <c r="D2923" s="54"/>
      <c r="E2923" s="40"/>
      <c r="F2923" s="68"/>
      <c r="G2923" s="55"/>
      <c r="H2923" s="58">
        <f>SUM(H2922:H2922)</f>
        <v>0</v>
      </c>
    </row>
    <row r="2924" spans="1:8" x14ac:dyDescent="0.3">
      <c r="A2924" s="53">
        <v>2</v>
      </c>
      <c r="B2924" s="70" t="s">
        <v>8</v>
      </c>
      <c r="C2924" s="40">
        <v>1</v>
      </c>
      <c r="D2924" s="54">
        <v>4135</v>
      </c>
      <c r="E2924" s="40">
        <v>5</v>
      </c>
      <c r="F2924" s="68">
        <f>C2924*D2924*E2924</f>
        <v>20675</v>
      </c>
      <c r="G2924" s="55">
        <v>0</v>
      </c>
      <c r="H2924" s="58">
        <f>(1-G2924)*F2924</f>
        <v>20675</v>
      </c>
    </row>
    <row r="2925" spans="1:8" x14ac:dyDescent="0.3">
      <c r="A2925" s="53"/>
      <c r="B2925" s="70" t="s">
        <v>9</v>
      </c>
      <c r="C2925" s="39"/>
      <c r="D2925" s="59" t="s">
        <v>134</v>
      </c>
      <c r="E2925" s="39"/>
      <c r="F2925" s="71"/>
      <c r="G2925" s="39"/>
      <c r="H2925" s="58">
        <f>H2923+H2924</f>
        <v>20675</v>
      </c>
    </row>
    <row r="2926" spans="1:8" x14ac:dyDescent="0.3">
      <c r="A2926" s="40"/>
      <c r="B2926" s="40"/>
      <c r="C2926" s="40"/>
      <c r="D2926" s="41"/>
      <c r="E2926" s="40"/>
      <c r="F2926" s="40"/>
      <c r="G2926" s="40"/>
      <c r="H2926" s="42"/>
    </row>
    <row r="2927" spans="1:8" x14ac:dyDescent="0.3">
      <c r="A2927" s="44"/>
      <c r="B2927" s="86" t="s">
        <v>1967</v>
      </c>
      <c r="C2927" s="44" t="s">
        <v>154</v>
      </c>
      <c r="D2927" s="73"/>
      <c r="E2927" s="46" t="s">
        <v>165</v>
      </c>
      <c r="F2927" s="47"/>
      <c r="G2927" s="47"/>
      <c r="H2927" s="98"/>
    </row>
    <row r="2928" spans="1:8" x14ac:dyDescent="0.3">
      <c r="A2928" s="39"/>
      <c r="B2928" s="107" t="s">
        <v>0</v>
      </c>
      <c r="C2928" s="107" t="s">
        <v>1</v>
      </c>
      <c r="D2928" s="108" t="s">
        <v>2</v>
      </c>
      <c r="E2928" s="109" t="s">
        <v>3</v>
      </c>
      <c r="F2928" s="109" t="s">
        <v>4</v>
      </c>
      <c r="G2928" s="109" t="s">
        <v>5</v>
      </c>
      <c r="H2928" s="106" t="s">
        <v>6</v>
      </c>
    </row>
    <row r="2929" spans="1:16" ht="72" x14ac:dyDescent="0.3">
      <c r="A2929" s="40">
        <v>1</v>
      </c>
      <c r="B2929" s="110" t="s">
        <v>164</v>
      </c>
      <c r="C2929" s="40">
        <v>1</v>
      </c>
      <c r="D2929" s="54">
        <v>33.119999999999997</v>
      </c>
      <c r="E2929" s="40">
        <v>250</v>
      </c>
      <c r="F2929" s="40">
        <f t="shared" ref="F2929:F2934" si="165">C2929*D2929*E2929</f>
        <v>8280</v>
      </c>
      <c r="G2929" s="55">
        <v>0.5</v>
      </c>
      <c r="H2929" s="42">
        <f t="shared" ref="H2929:H2934" si="166">F2929*(1-G2929)</f>
        <v>4140</v>
      </c>
    </row>
    <row r="2930" spans="1:16" ht="57.6" x14ac:dyDescent="0.3">
      <c r="A2930" s="40">
        <v>2</v>
      </c>
      <c r="B2930" s="110" t="s">
        <v>166</v>
      </c>
      <c r="C2930" s="40">
        <v>1</v>
      </c>
      <c r="D2930" s="54">
        <v>137.76</v>
      </c>
      <c r="E2930" s="40">
        <v>150</v>
      </c>
      <c r="F2930" s="40">
        <f t="shared" si="165"/>
        <v>20664</v>
      </c>
      <c r="G2930" s="55">
        <v>0.2</v>
      </c>
      <c r="H2930" s="42">
        <f t="shared" si="166"/>
        <v>16531.2</v>
      </c>
    </row>
    <row r="2931" spans="1:16" ht="57.6" x14ac:dyDescent="0.3">
      <c r="A2931" s="40">
        <v>3</v>
      </c>
      <c r="B2931" s="110" t="s">
        <v>167</v>
      </c>
      <c r="C2931" s="40">
        <v>1</v>
      </c>
      <c r="D2931" s="54">
        <v>21</v>
      </c>
      <c r="E2931" s="40">
        <v>100</v>
      </c>
      <c r="F2931" s="40">
        <f t="shared" si="165"/>
        <v>2100</v>
      </c>
      <c r="G2931" s="55">
        <v>0.4</v>
      </c>
      <c r="H2931" s="42">
        <f t="shared" si="166"/>
        <v>1260</v>
      </c>
    </row>
    <row r="2932" spans="1:16" ht="57.6" x14ac:dyDescent="0.3">
      <c r="A2932" s="40">
        <v>4</v>
      </c>
      <c r="B2932" s="110" t="s">
        <v>168</v>
      </c>
      <c r="C2932" s="40">
        <v>1</v>
      </c>
      <c r="D2932" s="54">
        <v>6</v>
      </c>
      <c r="E2932" s="40">
        <v>100</v>
      </c>
      <c r="F2932" s="40">
        <f t="shared" si="165"/>
        <v>600</v>
      </c>
      <c r="G2932" s="55">
        <v>0.3</v>
      </c>
      <c r="H2932" s="42">
        <f t="shared" si="166"/>
        <v>420</v>
      </c>
    </row>
    <row r="2933" spans="1:16" ht="57.6" x14ac:dyDescent="0.3">
      <c r="A2933" s="40">
        <v>5</v>
      </c>
      <c r="B2933" s="110" t="s">
        <v>169</v>
      </c>
      <c r="C2933" s="40">
        <v>1</v>
      </c>
      <c r="D2933" s="54">
        <v>7.5</v>
      </c>
      <c r="E2933" s="40">
        <v>100</v>
      </c>
      <c r="F2933" s="40">
        <f t="shared" si="165"/>
        <v>750</v>
      </c>
      <c r="G2933" s="55">
        <v>0.3</v>
      </c>
      <c r="H2933" s="42">
        <f t="shared" si="166"/>
        <v>525</v>
      </c>
    </row>
    <row r="2934" spans="1:16" x14ac:dyDescent="0.3">
      <c r="A2934" s="40">
        <v>6</v>
      </c>
      <c r="B2934" s="110" t="s">
        <v>1849</v>
      </c>
      <c r="C2934" s="40">
        <v>1</v>
      </c>
      <c r="D2934" s="54">
        <v>283</v>
      </c>
      <c r="E2934" s="40">
        <v>35</v>
      </c>
      <c r="F2934" s="40">
        <f t="shared" si="165"/>
        <v>9905</v>
      </c>
      <c r="G2934" s="55">
        <v>0.4</v>
      </c>
      <c r="H2934" s="42">
        <f t="shared" si="166"/>
        <v>5943</v>
      </c>
      <c r="I2934" s="183"/>
      <c r="J2934" s="183"/>
      <c r="K2934" s="183"/>
      <c r="L2934" s="183"/>
      <c r="M2934" s="183"/>
      <c r="N2934" s="183"/>
      <c r="O2934" s="183"/>
      <c r="P2934" s="183"/>
    </row>
    <row r="2935" spans="1:16" x14ac:dyDescent="0.3">
      <c r="A2935" s="40"/>
      <c r="B2935" s="57" t="s">
        <v>7</v>
      </c>
      <c r="C2935" s="40"/>
      <c r="D2935" s="54"/>
      <c r="E2935" s="40"/>
      <c r="F2935" s="40"/>
      <c r="G2935" s="55"/>
      <c r="H2935" s="58">
        <f>SUM(H2929:H2934)</f>
        <v>28819.200000000001</v>
      </c>
      <c r="I2935" s="183"/>
      <c r="J2935" s="183"/>
      <c r="K2935" s="183"/>
      <c r="L2935" s="183"/>
      <c r="M2935" s="183"/>
      <c r="N2935" s="183"/>
      <c r="O2935" s="183"/>
      <c r="P2935" s="183"/>
    </row>
    <row r="2936" spans="1:16" x14ac:dyDescent="0.3">
      <c r="A2936" s="40">
        <v>7</v>
      </c>
      <c r="B2936" s="57" t="s">
        <v>8</v>
      </c>
      <c r="C2936" s="40">
        <v>1</v>
      </c>
      <c r="D2936" s="54">
        <v>5000</v>
      </c>
      <c r="E2936" s="40">
        <v>5</v>
      </c>
      <c r="F2936" s="40">
        <f>C2936*D2936*E2936</f>
        <v>25000</v>
      </c>
      <c r="G2936" s="55">
        <v>0</v>
      </c>
      <c r="H2936" s="58">
        <f>(1-G2936)*F2936</f>
        <v>25000</v>
      </c>
      <c r="I2936" s="183"/>
      <c r="J2936" s="183"/>
      <c r="K2936" s="183"/>
      <c r="L2936" s="183"/>
      <c r="M2936" s="183"/>
      <c r="N2936" s="183"/>
      <c r="O2936" s="183"/>
      <c r="P2936" s="183"/>
    </row>
    <row r="2937" spans="1:16" x14ac:dyDescent="0.3">
      <c r="A2937" s="51"/>
      <c r="B2937" s="57" t="s">
        <v>9</v>
      </c>
      <c r="C2937" s="39"/>
      <c r="D2937" s="59"/>
      <c r="E2937" s="39"/>
      <c r="F2937" s="39"/>
      <c r="G2937" s="39"/>
      <c r="H2937" s="58">
        <f>H2935+H2936</f>
        <v>53819.199999999997</v>
      </c>
      <c r="I2937" s="183"/>
      <c r="J2937" s="183"/>
      <c r="K2937" s="183"/>
      <c r="L2937" s="183"/>
      <c r="M2937" s="183"/>
      <c r="N2937" s="183"/>
      <c r="O2937" s="183"/>
      <c r="P2937" s="183"/>
    </row>
    <row r="2938" spans="1:16" x14ac:dyDescent="0.3">
      <c r="A2938" s="40"/>
      <c r="B2938" s="40"/>
      <c r="C2938" s="40"/>
      <c r="D2938" s="41"/>
      <c r="E2938" s="40"/>
      <c r="F2938" s="40"/>
      <c r="G2938" s="40"/>
      <c r="H2938" s="42"/>
    </row>
    <row r="2939" spans="1:16" x14ac:dyDescent="0.3">
      <c r="A2939" s="44"/>
      <c r="B2939" s="86" t="s">
        <v>1968</v>
      </c>
      <c r="C2939" s="44" t="s">
        <v>154</v>
      </c>
      <c r="D2939" s="73"/>
      <c r="E2939" s="46" t="s">
        <v>170</v>
      </c>
      <c r="F2939" s="47"/>
      <c r="G2939" s="47"/>
      <c r="H2939" s="98"/>
    </row>
    <row r="2940" spans="1:16" x14ac:dyDescent="0.3">
      <c r="A2940" s="39"/>
      <c r="B2940" s="107" t="s">
        <v>0</v>
      </c>
      <c r="C2940" s="107" t="s">
        <v>1</v>
      </c>
      <c r="D2940" s="108" t="s">
        <v>2</v>
      </c>
      <c r="E2940" s="109" t="s">
        <v>3</v>
      </c>
      <c r="F2940" s="109" t="s">
        <v>4</v>
      </c>
      <c r="G2940" s="109" t="s">
        <v>5</v>
      </c>
      <c r="H2940" s="106" t="s">
        <v>6</v>
      </c>
    </row>
    <row r="2941" spans="1:16" ht="72" x14ac:dyDescent="0.3">
      <c r="A2941" s="40">
        <v>1</v>
      </c>
      <c r="B2941" s="110" t="s">
        <v>171</v>
      </c>
      <c r="C2941" s="40">
        <v>1</v>
      </c>
      <c r="D2941" s="54">
        <v>68.62</v>
      </c>
      <c r="E2941" s="40">
        <v>150</v>
      </c>
      <c r="F2941" s="40">
        <f>C2941*D2941*E2941</f>
        <v>10293</v>
      </c>
      <c r="G2941" s="55">
        <v>0.5</v>
      </c>
      <c r="H2941" s="42">
        <f>F2941*(1-G2941)</f>
        <v>5146.5</v>
      </c>
    </row>
    <row r="2942" spans="1:16" x14ac:dyDescent="0.3">
      <c r="A2942" s="40">
        <v>2</v>
      </c>
      <c r="B2942" s="110" t="s">
        <v>172</v>
      </c>
      <c r="C2942" s="40">
        <v>1</v>
      </c>
      <c r="D2942" s="54">
        <v>358</v>
      </c>
      <c r="E2942" s="40">
        <v>35</v>
      </c>
      <c r="F2942" s="40">
        <f>C2942*D2942*E2942</f>
        <v>12530</v>
      </c>
      <c r="G2942" s="55">
        <v>0.4</v>
      </c>
      <c r="H2942" s="42">
        <f>F2942*(1-G2942)</f>
        <v>7518</v>
      </c>
    </row>
    <row r="2943" spans="1:16" x14ac:dyDescent="0.3">
      <c r="A2943" s="40"/>
      <c r="B2943" s="57" t="s">
        <v>7</v>
      </c>
      <c r="C2943" s="40"/>
      <c r="D2943" s="54"/>
      <c r="E2943" s="40"/>
      <c r="F2943" s="40"/>
      <c r="G2943" s="55"/>
      <c r="H2943" s="58">
        <f>SUM(H2941:H2942)</f>
        <v>12664.5</v>
      </c>
    </row>
    <row r="2944" spans="1:16" x14ac:dyDescent="0.3">
      <c r="A2944" s="40">
        <v>3</v>
      </c>
      <c r="B2944" s="57" t="s">
        <v>8</v>
      </c>
      <c r="C2944" s="40">
        <v>1</v>
      </c>
      <c r="D2944" s="54">
        <v>8000</v>
      </c>
      <c r="E2944" s="40">
        <v>5</v>
      </c>
      <c r="F2944" s="40">
        <f>C2944*D2944*E2944</f>
        <v>40000</v>
      </c>
      <c r="G2944" s="55">
        <v>0</v>
      </c>
      <c r="H2944" s="58">
        <f>(1-G2944)*F2944</f>
        <v>40000</v>
      </c>
    </row>
    <row r="2945" spans="1:8" x14ac:dyDescent="0.3">
      <c r="A2945" s="51"/>
      <c r="B2945" s="57" t="s">
        <v>9</v>
      </c>
      <c r="C2945" s="39"/>
      <c r="D2945" s="59"/>
      <c r="E2945" s="39"/>
      <c r="F2945" s="39"/>
      <c r="G2945" s="39"/>
      <c r="H2945" s="58">
        <f>H2943+H2944</f>
        <v>52664.5</v>
      </c>
    </row>
    <row r="2946" spans="1:8" x14ac:dyDescent="0.3">
      <c r="A2946" s="51"/>
      <c r="B2946" s="57"/>
      <c r="C2946" s="39"/>
      <c r="D2946" s="59"/>
      <c r="E2946" s="39"/>
      <c r="F2946" s="39"/>
      <c r="G2946" s="39"/>
      <c r="H2946" s="58"/>
    </row>
    <row r="2947" spans="1:8" x14ac:dyDescent="0.3">
      <c r="A2947" s="216"/>
      <c r="B2947" s="62" t="s">
        <v>1301</v>
      </c>
      <c r="C2947" s="44" t="s">
        <v>889</v>
      </c>
      <c r="D2947" s="45"/>
      <c r="E2947" s="46" t="s">
        <v>1988</v>
      </c>
      <c r="F2947" s="60"/>
      <c r="G2947" s="60"/>
      <c r="H2947" s="48"/>
    </row>
    <row r="2948" spans="1:8" x14ac:dyDescent="0.3">
      <c r="A2948" s="40"/>
      <c r="B2948" s="49" t="s">
        <v>10</v>
      </c>
      <c r="C2948" s="49" t="s">
        <v>1</v>
      </c>
      <c r="D2948" s="50" t="s">
        <v>2</v>
      </c>
      <c r="E2948" s="51" t="s">
        <v>3</v>
      </c>
      <c r="F2948" s="51" t="s">
        <v>4</v>
      </c>
      <c r="G2948" s="51" t="s">
        <v>5</v>
      </c>
      <c r="H2948" s="52" t="s">
        <v>6</v>
      </c>
    </row>
    <row r="2949" spans="1:8" ht="72" x14ac:dyDescent="0.3">
      <c r="A2949" s="40">
        <v>1</v>
      </c>
      <c r="B2949" s="53" t="s">
        <v>1897</v>
      </c>
      <c r="C2949" s="40">
        <v>1</v>
      </c>
      <c r="D2949" s="54">
        <v>88.88</v>
      </c>
      <c r="E2949" s="40">
        <v>300</v>
      </c>
      <c r="F2949" s="40">
        <f>C2949*D2949*E2949</f>
        <v>26664</v>
      </c>
      <c r="G2949" s="55">
        <v>0.6</v>
      </c>
      <c r="H2949" s="42">
        <f>F2949*(1-G2949)</f>
        <v>10665.6</v>
      </c>
    </row>
    <row r="2950" spans="1:8" ht="43.2" x14ac:dyDescent="0.3">
      <c r="A2950" s="40">
        <v>2</v>
      </c>
      <c r="B2950" s="53" t="s">
        <v>833</v>
      </c>
      <c r="C2950" s="40">
        <v>1</v>
      </c>
      <c r="D2950" s="54">
        <v>97.57</v>
      </c>
      <c r="E2950" s="40">
        <v>22</v>
      </c>
      <c r="F2950" s="40">
        <f>C2950*D2950*E2950*0.5</f>
        <v>1073.27</v>
      </c>
      <c r="G2950" s="55">
        <v>0.5</v>
      </c>
      <c r="H2950" s="42">
        <f>F2950*(1-G2950)</f>
        <v>536.63499999999999</v>
      </c>
    </row>
    <row r="2951" spans="1:8" x14ac:dyDescent="0.3">
      <c r="A2951" s="40"/>
      <c r="B2951" s="57" t="s">
        <v>7</v>
      </c>
      <c r="C2951" s="40"/>
      <c r="D2951" s="54"/>
      <c r="E2951" s="40"/>
      <c r="F2951" s="40"/>
      <c r="G2951" s="55"/>
      <c r="H2951" s="58">
        <f>SUM(H2949:H2950)</f>
        <v>11202.235000000001</v>
      </c>
    </row>
    <row r="2952" spans="1:8" x14ac:dyDescent="0.3">
      <c r="A2952" s="40">
        <v>3</v>
      </c>
      <c r="B2952" s="57" t="s">
        <v>8</v>
      </c>
      <c r="C2952" s="40">
        <v>1</v>
      </c>
      <c r="D2952" s="54">
        <v>6000</v>
      </c>
      <c r="E2952" s="40">
        <v>5</v>
      </c>
      <c r="F2952" s="40">
        <f>C2952*D2952*E2952</f>
        <v>30000</v>
      </c>
      <c r="G2952" s="55">
        <v>0</v>
      </c>
      <c r="H2952" s="58">
        <f>(1-G2952)*F2952</f>
        <v>30000</v>
      </c>
    </row>
    <row r="2953" spans="1:8" x14ac:dyDescent="0.3">
      <c r="A2953" s="40"/>
      <c r="B2953" s="57" t="s">
        <v>9</v>
      </c>
      <c r="C2953" s="39"/>
      <c r="D2953" s="59"/>
      <c r="E2953" s="39"/>
      <c r="F2953" s="39"/>
      <c r="G2953" s="39"/>
      <c r="H2953" s="58">
        <f>H2951+H2952</f>
        <v>41202.235000000001</v>
      </c>
    </row>
    <row r="2954" spans="1:8" x14ac:dyDescent="0.3">
      <c r="A2954" s="40"/>
      <c r="B2954" s="57"/>
      <c r="C2954" s="39"/>
      <c r="D2954" s="59"/>
      <c r="E2954" s="39"/>
      <c r="F2954" s="39"/>
      <c r="G2954" s="39"/>
      <c r="H2954" s="58"/>
    </row>
    <row r="2955" spans="1:8" x14ac:dyDescent="0.3">
      <c r="A2955" s="39" t="s">
        <v>1070</v>
      </c>
      <c r="B2955" s="39"/>
      <c r="C2955" s="40"/>
      <c r="D2955" s="217" t="s">
        <v>181</v>
      </c>
      <c r="E2955" s="40"/>
      <c r="F2955" s="40"/>
      <c r="G2955" s="55"/>
      <c r="H2955" s="42"/>
    </row>
    <row r="2956" spans="1:8" x14ac:dyDescent="0.3">
      <c r="A2956" s="43"/>
      <c r="B2956" s="44" t="s">
        <v>181</v>
      </c>
      <c r="C2956" s="44" t="s">
        <v>713</v>
      </c>
      <c r="D2956" s="111"/>
      <c r="E2956" s="44" t="s">
        <v>706</v>
      </c>
      <c r="F2956" s="63"/>
      <c r="G2956" s="60"/>
      <c r="H2956" s="48"/>
    </row>
    <row r="2957" spans="1:8" x14ac:dyDescent="0.3">
      <c r="A2957" s="40"/>
      <c r="B2957" s="64" t="s">
        <v>10</v>
      </c>
      <c r="C2957" s="49" t="s">
        <v>1</v>
      </c>
      <c r="D2957" s="112" t="s">
        <v>2</v>
      </c>
      <c r="E2957" s="51" t="s">
        <v>3</v>
      </c>
      <c r="F2957" s="65" t="s">
        <v>4</v>
      </c>
      <c r="G2957" s="51" t="s">
        <v>5</v>
      </c>
      <c r="H2957" s="52" t="s">
        <v>6</v>
      </c>
    </row>
    <row r="2958" spans="1:8" x14ac:dyDescent="0.3">
      <c r="A2958" s="131" t="s">
        <v>1283</v>
      </c>
      <c r="B2958" s="129"/>
      <c r="C2958" s="131" t="s">
        <v>181</v>
      </c>
      <c r="D2958" s="130"/>
      <c r="E2958" s="218"/>
      <c r="F2958" s="127"/>
      <c r="G2958" s="127"/>
      <c r="H2958" s="219"/>
    </row>
    <row r="2959" spans="1:8" ht="100.8" x14ac:dyDescent="0.3">
      <c r="A2959" s="40">
        <v>1</v>
      </c>
      <c r="B2959" s="64" t="s">
        <v>1898</v>
      </c>
      <c r="C2959" s="40">
        <v>1</v>
      </c>
      <c r="D2959" s="41">
        <v>1490</v>
      </c>
      <c r="E2959" s="40">
        <v>600</v>
      </c>
      <c r="F2959" s="68">
        <f t="shared" ref="F2959:F2965" si="167">D2959*E2959</f>
        <v>894000</v>
      </c>
      <c r="G2959" s="55">
        <v>0.4</v>
      </c>
      <c r="H2959" s="42">
        <f t="shared" ref="H2959:H2965" si="168">F2959*(1-G2959)</f>
        <v>536400</v>
      </c>
    </row>
    <row r="2960" spans="1:8" ht="57.6" x14ac:dyDescent="0.3">
      <c r="A2960" s="40">
        <v>2</v>
      </c>
      <c r="B2960" s="64" t="s">
        <v>1284</v>
      </c>
      <c r="C2960" s="40">
        <v>1</v>
      </c>
      <c r="D2960" s="41">
        <v>1413.6</v>
      </c>
      <c r="E2960" s="40">
        <v>150</v>
      </c>
      <c r="F2960" s="68">
        <f t="shared" si="167"/>
        <v>212040</v>
      </c>
      <c r="G2960" s="55">
        <v>0.5</v>
      </c>
      <c r="H2960" s="42">
        <f t="shared" si="168"/>
        <v>106020</v>
      </c>
    </row>
    <row r="2961" spans="1:8" ht="57.6" x14ac:dyDescent="0.3">
      <c r="A2961" s="40">
        <v>3</v>
      </c>
      <c r="B2961" s="64" t="s">
        <v>1375</v>
      </c>
      <c r="C2961" s="40">
        <v>1</v>
      </c>
      <c r="D2961" s="41">
        <v>82.5</v>
      </c>
      <c r="E2961" s="40">
        <v>200</v>
      </c>
      <c r="F2961" s="68">
        <f t="shared" si="167"/>
        <v>16500</v>
      </c>
      <c r="G2961" s="55">
        <v>0.5</v>
      </c>
      <c r="H2961" s="42">
        <f t="shared" si="168"/>
        <v>8250</v>
      </c>
    </row>
    <row r="2962" spans="1:8" ht="72" x14ac:dyDescent="0.3">
      <c r="A2962" s="40">
        <v>4</v>
      </c>
      <c r="B2962" s="64" t="s">
        <v>1376</v>
      </c>
      <c r="C2962" s="40">
        <v>1</v>
      </c>
      <c r="D2962" s="41">
        <v>66</v>
      </c>
      <c r="E2962" s="40">
        <v>150</v>
      </c>
      <c r="F2962" s="68">
        <f t="shared" si="167"/>
        <v>9900</v>
      </c>
      <c r="G2962" s="55">
        <v>0.4</v>
      </c>
      <c r="H2962" s="42">
        <f t="shared" si="168"/>
        <v>5940</v>
      </c>
    </row>
    <row r="2963" spans="1:8" ht="57.6" x14ac:dyDescent="0.3">
      <c r="A2963" s="40">
        <v>4</v>
      </c>
      <c r="B2963" s="64" t="s">
        <v>1285</v>
      </c>
      <c r="C2963" s="40">
        <v>1</v>
      </c>
      <c r="D2963" s="41">
        <v>63</v>
      </c>
      <c r="E2963" s="40">
        <v>150</v>
      </c>
      <c r="F2963" s="68">
        <f t="shared" si="167"/>
        <v>9450</v>
      </c>
      <c r="G2963" s="55">
        <v>0.5</v>
      </c>
      <c r="H2963" s="42">
        <f t="shared" si="168"/>
        <v>4725</v>
      </c>
    </row>
    <row r="2964" spans="1:8" ht="86.4" x14ac:dyDescent="0.3">
      <c r="A2964" s="40">
        <v>5</v>
      </c>
      <c r="B2964" s="64" t="s">
        <v>1377</v>
      </c>
      <c r="C2964" s="40">
        <v>1</v>
      </c>
      <c r="D2964" s="41">
        <v>70</v>
      </c>
      <c r="E2964" s="40">
        <v>200</v>
      </c>
      <c r="F2964" s="68">
        <f t="shared" si="167"/>
        <v>14000</v>
      </c>
      <c r="G2964" s="55">
        <v>0.5</v>
      </c>
      <c r="H2964" s="42">
        <f t="shared" si="168"/>
        <v>7000</v>
      </c>
    </row>
    <row r="2965" spans="1:8" ht="100.8" x14ac:dyDescent="0.3">
      <c r="A2965" s="40">
        <v>6</v>
      </c>
      <c r="B2965" s="64" t="s">
        <v>1899</v>
      </c>
      <c r="C2965" s="40">
        <v>1</v>
      </c>
      <c r="D2965" s="41">
        <f>103.5+51.75+51.75</f>
        <v>207</v>
      </c>
      <c r="E2965" s="40">
        <v>550</v>
      </c>
      <c r="F2965" s="68">
        <f t="shared" si="167"/>
        <v>113850</v>
      </c>
      <c r="G2965" s="55">
        <v>0.5</v>
      </c>
      <c r="H2965" s="42">
        <f t="shared" si="168"/>
        <v>56925</v>
      </c>
    </row>
    <row r="2966" spans="1:8" x14ac:dyDescent="0.3">
      <c r="A2966" s="131" t="s">
        <v>1286</v>
      </c>
      <c r="B2966" s="129"/>
      <c r="C2966" s="131" t="s">
        <v>181</v>
      </c>
      <c r="D2966" s="130"/>
      <c r="E2966" s="218"/>
      <c r="F2966" s="127"/>
      <c r="G2966" s="127"/>
      <c r="H2966" s="219"/>
    </row>
    <row r="2967" spans="1:8" ht="72" x14ac:dyDescent="0.3">
      <c r="A2967" s="40">
        <v>1</v>
      </c>
      <c r="B2967" s="64" t="s">
        <v>1378</v>
      </c>
      <c r="C2967" s="40">
        <v>1</v>
      </c>
      <c r="D2967" s="41">
        <v>284</v>
      </c>
      <c r="E2967" s="40">
        <v>400</v>
      </c>
      <c r="F2967" s="68">
        <f>D2967*E2967</f>
        <v>113600</v>
      </c>
      <c r="G2967" s="55">
        <v>0.4</v>
      </c>
      <c r="H2967" s="42">
        <f>F2967*(1-G2967)</f>
        <v>68160</v>
      </c>
    </row>
    <row r="2968" spans="1:8" ht="72" x14ac:dyDescent="0.3">
      <c r="A2968" s="40">
        <v>2</v>
      </c>
      <c r="B2968" s="64" t="s">
        <v>1799</v>
      </c>
      <c r="C2968" s="40">
        <v>1</v>
      </c>
      <c r="D2968" s="41">
        <v>61.5</v>
      </c>
      <c r="E2968" s="40">
        <v>400</v>
      </c>
      <c r="F2968" s="68">
        <f>D2968*E2968</f>
        <v>24600</v>
      </c>
      <c r="G2968" s="55">
        <v>0.4</v>
      </c>
      <c r="H2968" s="42">
        <f>F2968*(1-G2968)</f>
        <v>14760</v>
      </c>
    </row>
    <row r="2969" spans="1:8" ht="72" x14ac:dyDescent="0.3">
      <c r="A2969" s="40">
        <v>3</v>
      </c>
      <c r="B2969" s="64" t="s">
        <v>1379</v>
      </c>
      <c r="C2969" s="40">
        <v>1</v>
      </c>
      <c r="D2969" s="41">
        <v>32</v>
      </c>
      <c r="E2969" s="40">
        <v>250</v>
      </c>
      <c r="F2969" s="68">
        <f>D2969*E2969</f>
        <v>8000</v>
      </c>
      <c r="G2969" s="55">
        <v>0.4</v>
      </c>
      <c r="H2969" s="42">
        <f>F2969*(1-G2969)</f>
        <v>4800</v>
      </c>
    </row>
    <row r="2970" spans="1:8" x14ac:dyDescent="0.3">
      <c r="A2970" s="44" t="s">
        <v>1287</v>
      </c>
      <c r="B2970" s="86"/>
      <c r="C2970" s="44" t="s">
        <v>181</v>
      </c>
      <c r="D2970" s="73"/>
      <c r="E2970" s="46"/>
      <c r="F2970" s="47"/>
      <c r="G2970" s="47"/>
      <c r="H2970" s="98"/>
    </row>
    <row r="2971" spans="1:8" ht="72" x14ac:dyDescent="0.3">
      <c r="A2971" s="40">
        <v>1</v>
      </c>
      <c r="B2971" s="64" t="s">
        <v>707</v>
      </c>
      <c r="C2971" s="40">
        <v>1</v>
      </c>
      <c r="D2971" s="41">
        <v>140</v>
      </c>
      <c r="E2971" s="40">
        <v>400</v>
      </c>
      <c r="F2971" s="68">
        <f t="shared" ref="F2971:F2977" si="169">D2971*E2971</f>
        <v>56000</v>
      </c>
      <c r="G2971" s="55">
        <v>0.5</v>
      </c>
      <c r="H2971" s="42">
        <f t="shared" ref="H2971:H2977" si="170">F2971*(1-G2971)</f>
        <v>28000</v>
      </c>
    </row>
    <row r="2972" spans="1:8" ht="72" x14ac:dyDescent="0.3">
      <c r="A2972" s="40">
        <v>2</v>
      </c>
      <c r="B2972" s="64" t="s">
        <v>708</v>
      </c>
      <c r="C2972" s="40">
        <v>1</v>
      </c>
      <c r="D2972" s="41">
        <v>276</v>
      </c>
      <c r="E2972" s="40">
        <v>400</v>
      </c>
      <c r="F2972" s="68">
        <f t="shared" si="169"/>
        <v>110400</v>
      </c>
      <c r="G2972" s="55">
        <v>0.5</v>
      </c>
      <c r="H2972" s="42">
        <f t="shared" si="170"/>
        <v>55200</v>
      </c>
    </row>
    <row r="2973" spans="1:8" ht="72" x14ac:dyDescent="0.3">
      <c r="A2973" s="40">
        <v>3</v>
      </c>
      <c r="B2973" s="64" t="s">
        <v>709</v>
      </c>
      <c r="C2973" s="40">
        <v>8</v>
      </c>
      <c r="D2973" s="41">
        <v>58</v>
      </c>
      <c r="E2973" s="40">
        <v>300</v>
      </c>
      <c r="F2973" s="68">
        <f t="shared" si="169"/>
        <v>17400</v>
      </c>
      <c r="G2973" s="55">
        <v>0.5</v>
      </c>
      <c r="H2973" s="42">
        <f t="shared" si="170"/>
        <v>8700</v>
      </c>
    </row>
    <row r="2974" spans="1:8" ht="57.6" x14ac:dyDescent="0.3">
      <c r="A2974" s="40">
        <v>4</v>
      </c>
      <c r="B2974" s="64" t="s">
        <v>710</v>
      </c>
      <c r="C2974" s="40">
        <v>1</v>
      </c>
      <c r="D2974" s="41">
        <v>87.6</v>
      </c>
      <c r="E2974" s="40">
        <v>100</v>
      </c>
      <c r="F2974" s="68">
        <f t="shared" si="169"/>
        <v>8760</v>
      </c>
      <c r="G2974" s="55">
        <v>0.5</v>
      </c>
      <c r="H2974" s="42">
        <f t="shared" si="170"/>
        <v>4380</v>
      </c>
    </row>
    <row r="2975" spans="1:8" ht="72" x14ac:dyDescent="0.3">
      <c r="A2975" s="40">
        <v>5</v>
      </c>
      <c r="B2975" s="64" t="s">
        <v>711</v>
      </c>
      <c r="C2975" s="40">
        <v>1</v>
      </c>
      <c r="D2975" s="41">
        <v>45</v>
      </c>
      <c r="E2975" s="40">
        <v>350</v>
      </c>
      <c r="F2975" s="68">
        <f t="shared" si="169"/>
        <v>15750</v>
      </c>
      <c r="G2975" s="55">
        <v>0.5</v>
      </c>
      <c r="H2975" s="42">
        <f t="shared" si="170"/>
        <v>7875</v>
      </c>
    </row>
    <row r="2976" spans="1:8" ht="57.6" x14ac:dyDescent="0.3">
      <c r="A2976" s="40">
        <v>6</v>
      </c>
      <c r="B2976" s="64" t="s">
        <v>712</v>
      </c>
      <c r="C2976" s="40">
        <v>1</v>
      </c>
      <c r="D2976" s="41">
        <v>2</v>
      </c>
      <c r="E2976" s="40">
        <v>100</v>
      </c>
      <c r="F2976" s="68">
        <f t="shared" si="169"/>
        <v>200</v>
      </c>
      <c r="G2976" s="55">
        <v>0.5</v>
      </c>
      <c r="H2976" s="42">
        <f t="shared" si="170"/>
        <v>100</v>
      </c>
    </row>
    <row r="2977" spans="1:8" ht="72" x14ac:dyDescent="0.3">
      <c r="A2977" s="40">
        <v>7</v>
      </c>
      <c r="B2977" s="64" t="s">
        <v>494</v>
      </c>
      <c r="C2977" s="40">
        <v>1</v>
      </c>
      <c r="D2977" s="41">
        <v>20</v>
      </c>
      <c r="E2977" s="40">
        <v>150</v>
      </c>
      <c r="F2977" s="68">
        <f t="shared" si="169"/>
        <v>3000</v>
      </c>
      <c r="G2977" s="55">
        <v>0.5</v>
      </c>
      <c r="H2977" s="42">
        <f t="shared" si="170"/>
        <v>1500</v>
      </c>
    </row>
    <row r="2978" spans="1:8" ht="72" x14ac:dyDescent="0.3">
      <c r="A2978" s="40">
        <v>1</v>
      </c>
      <c r="B2978" s="53" t="s">
        <v>948</v>
      </c>
      <c r="C2978" s="40">
        <v>1</v>
      </c>
      <c r="D2978" s="41">
        <v>34</v>
      </c>
      <c r="E2978" s="40">
        <v>250</v>
      </c>
      <c r="F2978" s="40">
        <f t="shared" ref="F2978:F2983" si="171">C2978*D2978*E2978</f>
        <v>8500</v>
      </c>
      <c r="G2978" s="55">
        <v>0.4</v>
      </c>
      <c r="H2978" s="42">
        <f t="shared" ref="H2978:H2983" si="172">F2978*(1-G2978)</f>
        <v>5100</v>
      </c>
    </row>
    <row r="2979" spans="1:8" ht="43.2" x14ac:dyDescent="0.3">
      <c r="A2979" s="40">
        <v>2</v>
      </c>
      <c r="B2979" s="53" t="s">
        <v>1800</v>
      </c>
      <c r="C2979" s="40">
        <v>1</v>
      </c>
      <c r="D2979" s="54">
        <v>28</v>
      </c>
      <c r="E2979" s="40">
        <v>250</v>
      </c>
      <c r="F2979" s="40">
        <f t="shared" si="171"/>
        <v>7000</v>
      </c>
      <c r="G2979" s="55">
        <v>0.5</v>
      </c>
      <c r="H2979" s="42">
        <f t="shared" si="172"/>
        <v>3500</v>
      </c>
    </row>
    <row r="2980" spans="1:8" ht="72" x14ac:dyDescent="0.3">
      <c r="A2980" s="40">
        <v>3</v>
      </c>
      <c r="B2980" s="53" t="s">
        <v>949</v>
      </c>
      <c r="C2980" s="40">
        <v>1</v>
      </c>
      <c r="D2980" s="54">
        <v>119.78</v>
      </c>
      <c r="E2980" s="40">
        <v>150</v>
      </c>
      <c r="F2980" s="40">
        <f t="shared" si="171"/>
        <v>17967</v>
      </c>
      <c r="G2980" s="55">
        <v>0.5</v>
      </c>
      <c r="H2980" s="42">
        <f t="shared" si="172"/>
        <v>8983.5</v>
      </c>
    </row>
    <row r="2981" spans="1:8" ht="43.2" x14ac:dyDescent="0.3">
      <c r="A2981" s="151">
        <v>4</v>
      </c>
      <c r="B2981" s="53" t="s">
        <v>1348</v>
      </c>
      <c r="C2981" s="40">
        <v>1</v>
      </c>
      <c r="D2981" s="54">
        <v>138.32</v>
      </c>
      <c r="E2981" s="40">
        <v>150</v>
      </c>
      <c r="F2981" s="40">
        <f t="shared" si="171"/>
        <v>20748</v>
      </c>
      <c r="G2981" s="55">
        <v>0.5</v>
      </c>
      <c r="H2981" s="42">
        <f t="shared" si="172"/>
        <v>10374</v>
      </c>
    </row>
    <row r="2982" spans="1:8" ht="57.6" x14ac:dyDescent="0.3">
      <c r="A2982" s="40">
        <v>5</v>
      </c>
      <c r="B2982" s="53" t="s">
        <v>950</v>
      </c>
      <c r="C2982" s="40">
        <v>1</v>
      </c>
      <c r="D2982" s="54">
        <v>14.32</v>
      </c>
      <c r="E2982" s="40">
        <v>100</v>
      </c>
      <c r="F2982" s="40">
        <f t="shared" si="171"/>
        <v>1432</v>
      </c>
      <c r="G2982" s="55">
        <v>0.5</v>
      </c>
      <c r="H2982" s="42">
        <f t="shared" si="172"/>
        <v>716</v>
      </c>
    </row>
    <row r="2983" spans="1:8" ht="43.2" x14ac:dyDescent="0.3">
      <c r="A2983" s="53">
        <v>6</v>
      </c>
      <c r="B2983" s="53" t="s">
        <v>951</v>
      </c>
      <c r="C2983" s="40">
        <v>1</v>
      </c>
      <c r="D2983" s="54">
        <v>43.06</v>
      </c>
      <c r="E2983" s="40">
        <v>150</v>
      </c>
      <c r="F2983" s="40">
        <f t="shared" si="171"/>
        <v>6459</v>
      </c>
      <c r="G2983" s="55">
        <v>0.5</v>
      </c>
      <c r="H2983" s="42">
        <f t="shared" si="172"/>
        <v>3229.5</v>
      </c>
    </row>
    <row r="2984" spans="1:8" x14ac:dyDescent="0.3">
      <c r="A2984" s="131" t="s">
        <v>1069</v>
      </c>
      <c r="B2984" s="129"/>
      <c r="C2984" s="131" t="s">
        <v>181</v>
      </c>
      <c r="D2984" s="130"/>
      <c r="E2984" s="218"/>
      <c r="F2984" s="127"/>
      <c r="G2984" s="127"/>
      <c r="H2984" s="219"/>
    </row>
    <row r="2985" spans="1:8" ht="72" x14ac:dyDescent="0.3">
      <c r="A2985" s="113">
        <v>1</v>
      </c>
      <c r="B2985" s="110" t="s">
        <v>1240</v>
      </c>
      <c r="C2985" s="113">
        <v>1</v>
      </c>
      <c r="D2985" s="133">
        <v>941</v>
      </c>
      <c r="E2985" s="113">
        <v>300</v>
      </c>
      <c r="F2985" s="113">
        <f t="shared" ref="F2985:F2999" si="173">C2985*D2985*E2985</f>
        <v>282300</v>
      </c>
      <c r="G2985" s="135">
        <v>0.5</v>
      </c>
      <c r="H2985" s="136">
        <f t="shared" ref="H2985:H2999" si="174">F2985*(1-G2985)</f>
        <v>141150</v>
      </c>
    </row>
    <row r="2986" spans="1:8" ht="72" x14ac:dyDescent="0.3">
      <c r="A2986" s="113"/>
      <c r="B2986" s="110" t="s">
        <v>1241</v>
      </c>
      <c r="C2986" s="113">
        <v>1</v>
      </c>
      <c r="D2986" s="133">
        <v>6983.7</v>
      </c>
      <c r="E2986" s="113">
        <v>300</v>
      </c>
      <c r="F2986" s="113">
        <f t="shared" si="173"/>
        <v>2095110</v>
      </c>
      <c r="G2986" s="135">
        <v>0.5</v>
      </c>
      <c r="H2986" s="136">
        <f t="shared" si="174"/>
        <v>1047555</v>
      </c>
    </row>
    <row r="2987" spans="1:8" ht="72" x14ac:dyDescent="0.3">
      <c r="A2987" s="113"/>
      <c r="B2987" s="110" t="s">
        <v>1242</v>
      </c>
      <c r="C2987" s="113">
        <v>1</v>
      </c>
      <c r="D2987" s="133">
        <v>1494</v>
      </c>
      <c r="E2987" s="113">
        <v>300</v>
      </c>
      <c r="F2987" s="113">
        <f t="shared" si="173"/>
        <v>448200</v>
      </c>
      <c r="G2987" s="135">
        <v>0.5</v>
      </c>
      <c r="H2987" s="136">
        <f t="shared" si="174"/>
        <v>224100</v>
      </c>
    </row>
    <row r="2988" spans="1:8" ht="72" x14ac:dyDescent="0.3">
      <c r="A2988" s="113"/>
      <c r="B2988" s="110" t="s">
        <v>1243</v>
      </c>
      <c r="C2988" s="113">
        <v>1</v>
      </c>
      <c r="D2988" s="133">
        <f>15.7*36.4</f>
        <v>571.4799999999999</v>
      </c>
      <c r="E2988" s="113">
        <v>300</v>
      </c>
      <c r="F2988" s="113">
        <f t="shared" si="173"/>
        <v>171443.99999999997</v>
      </c>
      <c r="G2988" s="135">
        <v>0.5</v>
      </c>
      <c r="H2988" s="136">
        <f t="shared" si="174"/>
        <v>85721.999999999985</v>
      </c>
    </row>
    <row r="2989" spans="1:8" ht="72" x14ac:dyDescent="0.3">
      <c r="A2989" s="113"/>
      <c r="B2989" s="110" t="s">
        <v>1244</v>
      </c>
      <c r="C2989" s="113">
        <v>1</v>
      </c>
      <c r="D2989" s="133">
        <v>17.760000000000002</v>
      </c>
      <c r="E2989" s="113">
        <v>150</v>
      </c>
      <c r="F2989" s="113">
        <f t="shared" si="173"/>
        <v>2664.0000000000005</v>
      </c>
      <c r="G2989" s="135">
        <v>0.5</v>
      </c>
      <c r="H2989" s="136">
        <f t="shared" si="174"/>
        <v>1332.0000000000002</v>
      </c>
    </row>
    <row r="2990" spans="1:8" ht="72" x14ac:dyDescent="0.3">
      <c r="A2990" s="113"/>
      <c r="B2990" s="110" t="s">
        <v>1900</v>
      </c>
      <c r="C2990" s="113">
        <v>1</v>
      </c>
      <c r="D2990" s="133">
        <v>50.82</v>
      </c>
      <c r="E2990" s="113">
        <v>250</v>
      </c>
      <c r="F2990" s="113">
        <f t="shared" si="173"/>
        <v>12705</v>
      </c>
      <c r="G2990" s="135">
        <v>0.5</v>
      </c>
      <c r="H2990" s="136">
        <f t="shared" si="174"/>
        <v>6352.5</v>
      </c>
    </row>
    <row r="2991" spans="1:8" ht="86.4" x14ac:dyDescent="0.3">
      <c r="A2991" s="113"/>
      <c r="B2991" s="110" t="s">
        <v>1901</v>
      </c>
      <c r="C2991" s="113">
        <v>1</v>
      </c>
      <c r="D2991" s="133">
        <v>114.4</v>
      </c>
      <c r="E2991" s="113">
        <v>300</v>
      </c>
      <c r="F2991" s="113">
        <f t="shared" si="173"/>
        <v>34320</v>
      </c>
      <c r="G2991" s="135">
        <v>0.5</v>
      </c>
      <c r="H2991" s="136">
        <f t="shared" si="174"/>
        <v>17160</v>
      </c>
    </row>
    <row r="2992" spans="1:8" ht="57.6" x14ac:dyDescent="0.3">
      <c r="A2992" s="113"/>
      <c r="B2992" s="110" t="s">
        <v>1245</v>
      </c>
      <c r="C2992" s="113">
        <v>1</v>
      </c>
      <c r="D2992" s="133">
        <v>167.4</v>
      </c>
      <c r="E2992" s="113">
        <v>80</v>
      </c>
      <c r="F2992" s="113">
        <f t="shared" si="173"/>
        <v>13392</v>
      </c>
      <c r="G2992" s="135">
        <v>0.5</v>
      </c>
      <c r="H2992" s="136">
        <f t="shared" si="174"/>
        <v>6696</v>
      </c>
    </row>
    <row r="2993" spans="1:8" ht="72" x14ac:dyDescent="0.3">
      <c r="A2993" s="113"/>
      <c r="B2993" s="110" t="s">
        <v>1902</v>
      </c>
      <c r="C2993" s="113">
        <v>1</v>
      </c>
      <c r="D2993" s="133">
        <v>292.95</v>
      </c>
      <c r="E2993" s="113">
        <v>600</v>
      </c>
      <c r="F2993" s="113">
        <f t="shared" si="173"/>
        <v>175770</v>
      </c>
      <c r="G2993" s="135">
        <v>0.5</v>
      </c>
      <c r="H2993" s="136">
        <f t="shared" si="174"/>
        <v>87885</v>
      </c>
    </row>
    <row r="2994" spans="1:8" ht="86.4" x14ac:dyDescent="0.3">
      <c r="A2994" s="113"/>
      <c r="B2994" s="110" t="s">
        <v>1246</v>
      </c>
      <c r="C2994" s="113">
        <v>1</v>
      </c>
      <c r="D2994" s="133">
        <v>70</v>
      </c>
      <c r="E2994" s="113">
        <v>80</v>
      </c>
      <c r="F2994" s="113">
        <f t="shared" si="173"/>
        <v>5600</v>
      </c>
      <c r="G2994" s="135">
        <v>0.5</v>
      </c>
      <c r="H2994" s="136">
        <f t="shared" si="174"/>
        <v>2800</v>
      </c>
    </row>
    <row r="2995" spans="1:8" ht="86.4" x14ac:dyDescent="0.3">
      <c r="A2995" s="113"/>
      <c r="B2995" s="110" t="s">
        <v>1247</v>
      </c>
      <c r="C2995" s="113">
        <v>1</v>
      </c>
      <c r="D2995" s="133">
        <v>108.78</v>
      </c>
      <c r="E2995" s="113">
        <v>80</v>
      </c>
      <c r="F2995" s="113">
        <f t="shared" si="173"/>
        <v>8702.4</v>
      </c>
      <c r="G2995" s="135">
        <v>0.5</v>
      </c>
      <c r="H2995" s="136">
        <f t="shared" si="174"/>
        <v>4351.2</v>
      </c>
    </row>
    <row r="2996" spans="1:8" ht="100.8" x14ac:dyDescent="0.3">
      <c r="A2996" s="113"/>
      <c r="B2996" s="110" t="s">
        <v>1248</v>
      </c>
      <c r="C2996" s="113">
        <v>1</v>
      </c>
      <c r="D2996" s="133">
        <v>171.96</v>
      </c>
      <c r="E2996" s="113">
        <v>300</v>
      </c>
      <c r="F2996" s="113">
        <f t="shared" si="173"/>
        <v>51588</v>
      </c>
      <c r="G2996" s="135">
        <v>0.5</v>
      </c>
      <c r="H2996" s="136">
        <f t="shared" si="174"/>
        <v>25794</v>
      </c>
    </row>
    <row r="2997" spans="1:8" ht="86.4" x14ac:dyDescent="0.3">
      <c r="A2997" s="113"/>
      <c r="B2997" s="110" t="s">
        <v>1905</v>
      </c>
      <c r="C2997" s="113">
        <v>1</v>
      </c>
      <c r="D2997" s="133">
        <v>167.75</v>
      </c>
      <c r="E2997" s="113">
        <v>80</v>
      </c>
      <c r="F2997" s="113">
        <f t="shared" si="173"/>
        <v>13420</v>
      </c>
      <c r="G2997" s="135">
        <v>0.5</v>
      </c>
      <c r="H2997" s="136">
        <f t="shared" si="174"/>
        <v>6710</v>
      </c>
    </row>
    <row r="2998" spans="1:8" ht="72" x14ac:dyDescent="0.3">
      <c r="A2998" s="113"/>
      <c r="B2998" s="110" t="s">
        <v>1903</v>
      </c>
      <c r="C2998" s="113">
        <v>1</v>
      </c>
      <c r="D2998" s="133">
        <v>105.06</v>
      </c>
      <c r="E2998" s="113">
        <v>200</v>
      </c>
      <c r="F2998" s="113">
        <f t="shared" si="173"/>
        <v>21012</v>
      </c>
      <c r="G2998" s="135">
        <v>0.5</v>
      </c>
      <c r="H2998" s="136">
        <f t="shared" si="174"/>
        <v>10506</v>
      </c>
    </row>
    <row r="2999" spans="1:8" ht="72" x14ac:dyDescent="0.3">
      <c r="A2999" s="113"/>
      <c r="B2999" s="110" t="s">
        <v>1904</v>
      </c>
      <c r="C2999" s="113">
        <v>1</v>
      </c>
      <c r="D2999" s="133">
        <v>22.09</v>
      </c>
      <c r="E2999" s="113">
        <v>200</v>
      </c>
      <c r="F2999" s="113">
        <f t="shared" si="173"/>
        <v>4418</v>
      </c>
      <c r="G2999" s="135">
        <v>0.5</v>
      </c>
      <c r="H2999" s="136">
        <f t="shared" si="174"/>
        <v>2209</v>
      </c>
    </row>
    <row r="3000" spans="1:8" ht="72" x14ac:dyDescent="0.3">
      <c r="A3000" s="40">
        <v>1</v>
      </c>
      <c r="B3000" s="110" t="s">
        <v>182</v>
      </c>
      <c r="C3000" s="40">
        <v>1</v>
      </c>
      <c r="D3000" s="54">
        <f>(9.5*8)+(4.3*7.8)</f>
        <v>109.53999999999999</v>
      </c>
      <c r="E3000" s="40">
        <v>450</v>
      </c>
      <c r="F3000" s="40">
        <f t="shared" ref="F3000:F3011" si="175">C3000*D3000*E3000</f>
        <v>49293</v>
      </c>
      <c r="G3000" s="55">
        <v>0.5</v>
      </c>
      <c r="H3000" s="42">
        <f t="shared" ref="H3000:H3011" si="176">F3000*(1-G3000)</f>
        <v>24646.5</v>
      </c>
    </row>
    <row r="3001" spans="1:8" ht="72" x14ac:dyDescent="0.3">
      <c r="A3001" s="40">
        <v>2</v>
      </c>
      <c r="B3001" s="110" t="s">
        <v>183</v>
      </c>
      <c r="C3001" s="40">
        <v>1</v>
      </c>
      <c r="D3001" s="54">
        <v>120</v>
      </c>
      <c r="E3001" s="40">
        <v>450</v>
      </c>
      <c r="F3001" s="40">
        <f t="shared" si="175"/>
        <v>54000</v>
      </c>
      <c r="G3001" s="55">
        <v>0.5</v>
      </c>
      <c r="H3001" s="42">
        <f t="shared" si="176"/>
        <v>27000</v>
      </c>
    </row>
    <row r="3002" spans="1:8" ht="72" x14ac:dyDescent="0.3">
      <c r="A3002" s="40">
        <v>3</v>
      </c>
      <c r="B3002" s="110" t="s">
        <v>1639</v>
      </c>
      <c r="C3002" s="40">
        <v>1</v>
      </c>
      <c r="D3002" s="54">
        <f>3.5*14.6</f>
        <v>51.1</v>
      </c>
      <c r="E3002" s="40">
        <v>150</v>
      </c>
      <c r="F3002" s="40">
        <f t="shared" si="175"/>
        <v>7665</v>
      </c>
      <c r="G3002" s="55">
        <v>0.3</v>
      </c>
      <c r="H3002" s="42">
        <f t="shared" si="176"/>
        <v>5365.5</v>
      </c>
    </row>
    <row r="3003" spans="1:8" ht="72" x14ac:dyDescent="0.3">
      <c r="A3003" s="40">
        <v>4</v>
      </c>
      <c r="B3003" s="110" t="s">
        <v>1640</v>
      </c>
      <c r="C3003" s="40">
        <v>1</v>
      </c>
      <c r="D3003" s="54">
        <f>21*9.5</f>
        <v>199.5</v>
      </c>
      <c r="E3003" s="40">
        <v>200</v>
      </c>
      <c r="F3003" s="40">
        <f t="shared" si="175"/>
        <v>39900</v>
      </c>
      <c r="G3003" s="55">
        <v>0.3</v>
      </c>
      <c r="H3003" s="42">
        <f t="shared" si="176"/>
        <v>27930</v>
      </c>
    </row>
    <row r="3004" spans="1:8" ht="72" x14ac:dyDescent="0.3">
      <c r="A3004" s="40">
        <v>5</v>
      </c>
      <c r="B3004" s="110" t="s">
        <v>184</v>
      </c>
      <c r="C3004" s="40">
        <v>1</v>
      </c>
      <c r="D3004" s="54">
        <f>42*6</f>
        <v>252</v>
      </c>
      <c r="E3004" s="40">
        <v>450</v>
      </c>
      <c r="F3004" s="40">
        <f t="shared" si="175"/>
        <v>113400</v>
      </c>
      <c r="G3004" s="55">
        <v>0.5</v>
      </c>
      <c r="H3004" s="42">
        <f t="shared" si="176"/>
        <v>56700</v>
      </c>
    </row>
    <row r="3005" spans="1:8" ht="72" x14ac:dyDescent="0.3">
      <c r="A3005" s="40">
        <v>6</v>
      </c>
      <c r="B3005" s="110" t="s">
        <v>1641</v>
      </c>
      <c r="C3005" s="40">
        <v>1</v>
      </c>
      <c r="D3005" s="54">
        <f>4.8*5.2</f>
        <v>24.96</v>
      </c>
      <c r="E3005" s="40">
        <v>250</v>
      </c>
      <c r="F3005" s="40">
        <f t="shared" si="175"/>
        <v>6240</v>
      </c>
      <c r="G3005" s="55">
        <v>0.3</v>
      </c>
      <c r="H3005" s="42">
        <f t="shared" si="176"/>
        <v>4368</v>
      </c>
    </row>
    <row r="3006" spans="1:8" ht="72" x14ac:dyDescent="0.3">
      <c r="A3006" s="40">
        <v>7</v>
      </c>
      <c r="B3006" s="110" t="s">
        <v>1642</v>
      </c>
      <c r="C3006" s="40">
        <v>1</v>
      </c>
      <c r="D3006" s="54">
        <f>23.8*5</f>
        <v>119</v>
      </c>
      <c r="E3006" s="40">
        <v>250</v>
      </c>
      <c r="F3006" s="40">
        <f t="shared" si="175"/>
        <v>29750</v>
      </c>
      <c r="G3006" s="55">
        <v>0.3</v>
      </c>
      <c r="H3006" s="42">
        <f t="shared" si="176"/>
        <v>20825</v>
      </c>
    </row>
    <row r="3007" spans="1:8" ht="86.4" x14ac:dyDescent="0.3">
      <c r="A3007" s="40">
        <v>8</v>
      </c>
      <c r="B3007" s="110" t="s">
        <v>1906</v>
      </c>
      <c r="C3007" s="40">
        <v>1</v>
      </c>
      <c r="D3007" s="54">
        <f>50*9</f>
        <v>450</v>
      </c>
      <c r="E3007" s="40">
        <v>450</v>
      </c>
      <c r="F3007" s="40">
        <f t="shared" si="175"/>
        <v>202500</v>
      </c>
      <c r="G3007" s="55">
        <v>0.3</v>
      </c>
      <c r="H3007" s="42">
        <f t="shared" si="176"/>
        <v>141750</v>
      </c>
    </row>
    <row r="3008" spans="1:8" ht="72" x14ac:dyDescent="0.3">
      <c r="A3008" s="40">
        <v>9</v>
      </c>
      <c r="B3008" s="110" t="s">
        <v>185</v>
      </c>
      <c r="C3008" s="40">
        <v>1</v>
      </c>
      <c r="D3008" s="54">
        <f>(9.5*4)*9.5+(90*36.5)</f>
        <v>3646</v>
      </c>
      <c r="E3008" s="40">
        <v>450</v>
      </c>
      <c r="F3008" s="40">
        <f t="shared" si="175"/>
        <v>1640700</v>
      </c>
      <c r="G3008" s="55">
        <v>0.5</v>
      </c>
      <c r="H3008" s="42">
        <f t="shared" si="176"/>
        <v>820350</v>
      </c>
    </row>
    <row r="3009" spans="1:8" ht="72" x14ac:dyDescent="0.3">
      <c r="A3009" s="40">
        <v>10</v>
      </c>
      <c r="B3009" s="110" t="s">
        <v>186</v>
      </c>
      <c r="C3009" s="40">
        <v>1</v>
      </c>
      <c r="D3009" s="54">
        <v>445.3</v>
      </c>
      <c r="E3009" s="40">
        <v>300</v>
      </c>
      <c r="F3009" s="40">
        <f t="shared" si="175"/>
        <v>133590</v>
      </c>
      <c r="G3009" s="55">
        <v>0.5</v>
      </c>
      <c r="H3009" s="42">
        <f t="shared" si="176"/>
        <v>66795</v>
      </c>
    </row>
    <row r="3010" spans="1:8" ht="72" x14ac:dyDescent="0.3">
      <c r="A3010" s="40">
        <v>11</v>
      </c>
      <c r="B3010" s="110" t="s">
        <v>187</v>
      </c>
      <c r="C3010" s="40">
        <v>1</v>
      </c>
      <c r="D3010" s="54">
        <v>650</v>
      </c>
      <c r="E3010" s="40">
        <v>300</v>
      </c>
      <c r="F3010" s="40">
        <f t="shared" si="175"/>
        <v>195000</v>
      </c>
      <c r="G3010" s="55">
        <v>0.5</v>
      </c>
      <c r="H3010" s="42">
        <f t="shared" si="176"/>
        <v>97500</v>
      </c>
    </row>
    <row r="3011" spans="1:8" ht="72" x14ac:dyDescent="0.3">
      <c r="A3011" s="40">
        <v>12</v>
      </c>
      <c r="B3011" s="110" t="s">
        <v>188</v>
      </c>
      <c r="C3011" s="40">
        <v>1</v>
      </c>
      <c r="D3011" s="54">
        <v>2100</v>
      </c>
      <c r="E3011" s="40">
        <v>300</v>
      </c>
      <c r="F3011" s="40">
        <f t="shared" si="175"/>
        <v>630000</v>
      </c>
      <c r="G3011" s="55">
        <v>0.5</v>
      </c>
      <c r="H3011" s="42">
        <f t="shared" si="176"/>
        <v>315000</v>
      </c>
    </row>
    <row r="3012" spans="1:8" x14ac:dyDescent="0.3">
      <c r="A3012" s="40"/>
      <c r="B3012" s="110"/>
      <c r="C3012" s="40"/>
      <c r="D3012" s="54"/>
      <c r="E3012" s="40"/>
      <c r="F3012" s="40"/>
      <c r="G3012" s="55"/>
      <c r="H3012" s="42"/>
    </row>
    <row r="3013" spans="1:8" x14ac:dyDescent="0.3">
      <c r="A3013" s="220" t="s">
        <v>189</v>
      </c>
      <c r="B3013" s="40"/>
      <c r="C3013" s="40"/>
      <c r="D3013" s="41"/>
      <c r="E3013" s="40"/>
      <c r="F3013" s="40"/>
      <c r="G3013" s="40"/>
      <c r="H3013" s="42"/>
    </row>
    <row r="3014" spans="1:8" x14ac:dyDescent="0.3">
      <c r="A3014" s="40"/>
      <c r="B3014" s="40"/>
      <c r="C3014" s="40"/>
      <c r="D3014" s="41"/>
      <c r="E3014" s="40"/>
      <c r="F3014" s="40"/>
      <c r="G3014" s="40"/>
      <c r="H3014" s="42"/>
    </row>
    <row r="3015" spans="1:8" ht="72" x14ac:dyDescent="0.3">
      <c r="A3015" s="40">
        <v>13</v>
      </c>
      <c r="B3015" s="110" t="s">
        <v>1643</v>
      </c>
      <c r="C3015" s="40">
        <v>1</v>
      </c>
      <c r="D3015" s="54">
        <f>19.8*9.4</f>
        <v>186.12</v>
      </c>
      <c r="E3015" s="40">
        <v>250</v>
      </c>
      <c r="F3015" s="40">
        <f>C3015*D3015*E3015</f>
        <v>46530</v>
      </c>
      <c r="G3015" s="55">
        <v>0.3</v>
      </c>
      <c r="H3015" s="42">
        <f>F3015*(1-G3015)</f>
        <v>32570.999999999996</v>
      </c>
    </row>
    <row r="3016" spans="1:8" ht="72" x14ac:dyDescent="0.3">
      <c r="A3016" s="40">
        <v>14</v>
      </c>
      <c r="B3016" s="110" t="s">
        <v>190</v>
      </c>
      <c r="C3016" s="40">
        <v>1</v>
      </c>
      <c r="D3016" s="54">
        <f>(10.5*21.5)+(12*36.5)</f>
        <v>663.75</v>
      </c>
      <c r="E3016" s="40">
        <v>450</v>
      </c>
      <c r="F3016" s="40">
        <f>C3016*D3016*E3016</f>
        <v>298687.5</v>
      </c>
      <c r="G3016" s="55">
        <v>0.5</v>
      </c>
      <c r="H3016" s="42">
        <f>F3016*(1-G3016)</f>
        <v>149343.75</v>
      </c>
    </row>
    <row r="3017" spans="1:8" ht="72" x14ac:dyDescent="0.3">
      <c r="A3017" s="40">
        <v>15</v>
      </c>
      <c r="B3017" s="110" t="s">
        <v>191</v>
      </c>
      <c r="C3017" s="40">
        <v>1</v>
      </c>
      <c r="D3017" s="54">
        <f>39*12.5</f>
        <v>487.5</v>
      </c>
      <c r="E3017" s="40">
        <v>450</v>
      </c>
      <c r="F3017" s="40">
        <f>C3017*D3017*E3017</f>
        <v>219375</v>
      </c>
      <c r="G3017" s="55">
        <v>0.5</v>
      </c>
      <c r="H3017" s="42">
        <f>F3017*(1-G3017)</f>
        <v>109687.5</v>
      </c>
    </row>
    <row r="3018" spans="1:8" ht="57.6" x14ac:dyDescent="0.3">
      <c r="A3018" s="40">
        <v>16</v>
      </c>
      <c r="B3018" s="110" t="s">
        <v>192</v>
      </c>
      <c r="C3018" s="40">
        <v>1</v>
      </c>
      <c r="D3018" s="54">
        <f>22.5*5</f>
        <v>112.5</v>
      </c>
      <c r="E3018" s="40">
        <v>300</v>
      </c>
      <c r="F3018" s="40">
        <f>C3018*D3018*E3018</f>
        <v>33750</v>
      </c>
      <c r="G3018" s="55">
        <v>0.5</v>
      </c>
      <c r="H3018" s="42">
        <f>F3018*(1-G3018)</f>
        <v>16875</v>
      </c>
    </row>
    <row r="3019" spans="1:8" ht="57.6" x14ac:dyDescent="0.3">
      <c r="A3019" s="40">
        <v>17</v>
      </c>
      <c r="B3019" s="110" t="s">
        <v>193</v>
      </c>
      <c r="C3019" s="40">
        <v>1</v>
      </c>
      <c r="D3019" s="54">
        <f>4.4*7</f>
        <v>30.800000000000004</v>
      </c>
      <c r="E3019" s="40">
        <v>250</v>
      </c>
      <c r="F3019" s="40">
        <f>C3019*D3019*E3019</f>
        <v>7700.0000000000009</v>
      </c>
      <c r="G3019" s="55">
        <v>0.5</v>
      </c>
      <c r="H3019" s="42">
        <f>F3019*(1-G3019)</f>
        <v>3850.0000000000005</v>
      </c>
    </row>
    <row r="3020" spans="1:8" x14ac:dyDescent="0.3">
      <c r="A3020" s="40"/>
      <c r="B3020" s="57" t="s">
        <v>7</v>
      </c>
      <c r="C3020" s="40"/>
      <c r="D3020" s="54"/>
      <c r="E3020" s="40"/>
      <c r="F3020" s="40"/>
      <c r="G3020" s="55"/>
      <c r="H3020" s="58">
        <f>SUM(H2959:H3019)</f>
        <v>4541517.95</v>
      </c>
    </row>
    <row r="3021" spans="1:8" x14ac:dyDescent="0.3">
      <c r="A3021" s="40">
        <v>18</v>
      </c>
      <c r="B3021" s="57" t="s">
        <v>8</v>
      </c>
      <c r="C3021" s="40">
        <v>1</v>
      </c>
      <c r="D3021" s="54">
        <v>622600</v>
      </c>
      <c r="E3021" s="40">
        <v>5</v>
      </c>
      <c r="F3021" s="40">
        <f>(10000*0.5*E3021)+(10000*0.75*E3021)+(10000*0.5*E3021)+(592600*0.25*E3021)</f>
        <v>828250</v>
      </c>
      <c r="G3021" s="55">
        <v>0</v>
      </c>
      <c r="H3021" s="58">
        <f>(1-G3021)*F3021</f>
        <v>828250</v>
      </c>
    </row>
    <row r="3022" spans="1:8" x14ac:dyDescent="0.3">
      <c r="A3022" s="51"/>
      <c r="B3022" s="57" t="s">
        <v>9</v>
      </c>
      <c r="C3022" s="39"/>
      <c r="D3022" s="59"/>
      <c r="E3022" s="39"/>
      <c r="F3022" s="39"/>
      <c r="G3022" s="39"/>
      <c r="H3022" s="58">
        <f>H3020+H3021</f>
        <v>5369767.9500000002</v>
      </c>
    </row>
    <row r="3023" spans="1:8" x14ac:dyDescent="0.3">
      <c r="A3023" s="51"/>
      <c r="B3023" s="57"/>
      <c r="C3023" s="39"/>
      <c r="D3023" s="59"/>
      <c r="E3023" s="39"/>
      <c r="F3023" s="39"/>
      <c r="G3023" s="39"/>
      <c r="H3023" s="58"/>
    </row>
    <row r="3024" spans="1:8" x14ac:dyDescent="0.3">
      <c r="A3024" s="39" t="s">
        <v>874</v>
      </c>
      <c r="B3024" s="103"/>
      <c r="C3024" s="40"/>
      <c r="D3024" s="41"/>
      <c r="E3024" s="40"/>
      <c r="F3024" s="68"/>
      <c r="G3024" s="40"/>
      <c r="H3024" s="106"/>
    </row>
    <row r="3025" spans="1:8" x14ac:dyDescent="0.3">
      <c r="A3025" s="60"/>
      <c r="B3025" s="95">
        <v>5643</v>
      </c>
      <c r="C3025" s="119" t="s">
        <v>874</v>
      </c>
      <c r="D3025" s="156"/>
      <c r="E3025" s="47"/>
      <c r="F3025" s="47"/>
      <c r="G3025" s="60"/>
      <c r="H3025" s="48"/>
    </row>
    <row r="3026" spans="1:8" x14ac:dyDescent="0.3">
      <c r="A3026" s="151"/>
      <c r="B3026" s="151" t="s">
        <v>10</v>
      </c>
      <c r="C3026" s="173" t="s">
        <v>1</v>
      </c>
      <c r="D3026" s="174" t="s">
        <v>2</v>
      </c>
      <c r="E3026" s="151" t="s">
        <v>3</v>
      </c>
      <c r="F3026" s="151" t="s">
        <v>4</v>
      </c>
      <c r="G3026" s="151" t="s">
        <v>5</v>
      </c>
      <c r="H3026" s="175" t="s">
        <v>6</v>
      </c>
    </row>
    <row r="3027" spans="1:8" x14ac:dyDescent="0.3">
      <c r="A3027" s="83">
        <v>1</v>
      </c>
      <c r="B3027" s="53" t="s">
        <v>15</v>
      </c>
      <c r="C3027" s="40"/>
      <c r="D3027" s="41"/>
      <c r="E3027" s="40"/>
      <c r="F3027" s="40"/>
      <c r="G3027" s="55"/>
      <c r="H3027" s="42"/>
    </row>
    <row r="3028" spans="1:8" x14ac:dyDescent="0.3">
      <c r="A3028" s="83"/>
      <c r="B3028" s="40" t="s">
        <v>11</v>
      </c>
      <c r="C3028" s="57"/>
      <c r="D3028" s="105"/>
      <c r="E3028" s="39"/>
      <c r="F3028" s="39"/>
      <c r="G3028" s="39"/>
      <c r="H3028" s="58"/>
    </row>
    <row r="3029" spans="1:8" x14ac:dyDescent="0.3">
      <c r="A3029" s="40">
        <v>2</v>
      </c>
      <c r="B3029" s="40" t="s">
        <v>8</v>
      </c>
      <c r="C3029" s="40">
        <v>1</v>
      </c>
      <c r="D3029" s="146">
        <v>9000</v>
      </c>
      <c r="E3029" s="40">
        <v>5</v>
      </c>
      <c r="F3029" s="169">
        <f>C3029*D3029*E3029</f>
        <v>45000</v>
      </c>
      <c r="G3029" s="55">
        <v>0</v>
      </c>
      <c r="H3029" s="42">
        <f>(1-G3029)*F3029</f>
        <v>45000</v>
      </c>
    </row>
    <row r="3030" spans="1:8" x14ac:dyDescent="0.3">
      <c r="A3030" s="40"/>
      <c r="B3030" s="39" t="s">
        <v>9</v>
      </c>
      <c r="C3030" s="39"/>
      <c r="D3030" s="105"/>
      <c r="E3030" s="39"/>
      <c r="F3030" s="170"/>
      <c r="G3030" s="39"/>
      <c r="H3030" s="58">
        <f>H3028+H3029</f>
        <v>45000</v>
      </c>
    </row>
    <row r="3031" spans="1:8" x14ac:dyDescent="0.3">
      <c r="A3031" s="47"/>
      <c r="B3031" s="95">
        <v>5644</v>
      </c>
      <c r="C3031" s="119" t="s">
        <v>874</v>
      </c>
      <c r="D3031" s="156"/>
      <c r="E3031" s="47"/>
      <c r="F3031" s="47"/>
      <c r="G3031" s="60"/>
      <c r="H3031" s="48"/>
    </row>
    <row r="3032" spans="1:8" x14ac:dyDescent="0.3">
      <c r="A3032" s="51"/>
      <c r="B3032" s="151" t="s">
        <v>10</v>
      </c>
      <c r="C3032" s="173" t="s">
        <v>1</v>
      </c>
      <c r="D3032" s="174" t="s">
        <v>2</v>
      </c>
      <c r="E3032" s="151" t="s">
        <v>3</v>
      </c>
      <c r="F3032" s="151" t="s">
        <v>4</v>
      </c>
      <c r="G3032" s="151" t="s">
        <v>5</v>
      </c>
      <c r="H3032" s="175" t="s">
        <v>6</v>
      </c>
    </row>
    <row r="3033" spans="1:8" x14ac:dyDescent="0.3">
      <c r="A3033" s="51">
        <v>1</v>
      </c>
      <c r="B3033" s="53" t="s">
        <v>15</v>
      </c>
      <c r="C3033" s="40"/>
      <c r="D3033" s="54"/>
      <c r="E3033" s="40"/>
      <c r="F3033" s="40"/>
      <c r="G3033" s="55"/>
      <c r="H3033" s="42"/>
    </row>
    <row r="3034" spans="1:8" x14ac:dyDescent="0.3">
      <c r="A3034" s="51"/>
      <c r="B3034" s="40" t="s">
        <v>11</v>
      </c>
      <c r="C3034" s="40"/>
      <c r="D3034" s="146"/>
      <c r="E3034" s="40"/>
      <c r="F3034" s="169"/>
      <c r="G3034" s="55"/>
      <c r="H3034" s="42"/>
    </row>
    <row r="3035" spans="1:8" x14ac:dyDescent="0.3">
      <c r="A3035" s="51">
        <v>2</v>
      </c>
      <c r="B3035" s="40" t="s">
        <v>8</v>
      </c>
      <c r="C3035" s="40">
        <v>1</v>
      </c>
      <c r="D3035" s="146">
        <v>11262</v>
      </c>
      <c r="E3035" s="40">
        <v>5</v>
      </c>
      <c r="F3035" s="169">
        <f>(10000*E3035)+(1262*0.75*E3035)</f>
        <v>54732.5</v>
      </c>
      <c r="G3035" s="55">
        <v>0</v>
      </c>
      <c r="H3035" s="42">
        <f>(1-G3035)*F3035</f>
        <v>54732.5</v>
      </c>
    </row>
    <row r="3036" spans="1:8" x14ac:dyDescent="0.3">
      <c r="A3036" s="51"/>
      <c r="B3036" s="39" t="s">
        <v>9</v>
      </c>
      <c r="C3036" s="39"/>
      <c r="D3036" s="59"/>
      <c r="E3036" s="39"/>
      <c r="F3036" s="39"/>
      <c r="G3036" s="39"/>
      <c r="H3036" s="58">
        <f>H3035</f>
        <v>54732.5</v>
      </c>
    </row>
    <row r="3037" spans="1:8" x14ac:dyDescent="0.3">
      <c r="A3037" s="47"/>
      <c r="B3037" s="95">
        <v>5645</v>
      </c>
      <c r="C3037" s="119" t="s">
        <v>874</v>
      </c>
      <c r="D3037" s="96"/>
      <c r="E3037" s="47"/>
      <c r="F3037" s="47"/>
      <c r="G3037" s="60"/>
      <c r="H3037" s="48"/>
    </row>
    <row r="3038" spans="1:8" x14ac:dyDescent="0.3">
      <c r="A3038" s="40"/>
      <c r="B3038" s="151" t="s">
        <v>10</v>
      </c>
      <c r="C3038" s="173" t="s">
        <v>1</v>
      </c>
      <c r="D3038" s="174" t="s">
        <v>2</v>
      </c>
      <c r="E3038" s="151" t="s">
        <v>3</v>
      </c>
      <c r="F3038" s="151" t="s">
        <v>4</v>
      </c>
      <c r="G3038" s="151" t="s">
        <v>5</v>
      </c>
      <c r="H3038" s="175" t="s">
        <v>6</v>
      </c>
    </row>
    <row r="3039" spans="1:8" x14ac:dyDescent="0.3">
      <c r="A3039" s="40">
        <v>1</v>
      </c>
      <c r="B3039" s="53" t="s">
        <v>15</v>
      </c>
      <c r="C3039" s="40"/>
      <c r="D3039" s="41"/>
      <c r="E3039" s="40"/>
      <c r="F3039" s="40"/>
      <c r="G3039" s="55"/>
      <c r="H3039" s="42"/>
    </row>
    <row r="3040" spans="1:8" x14ac:dyDescent="0.3">
      <c r="A3040" s="40"/>
      <c r="B3040" s="40" t="s">
        <v>11</v>
      </c>
      <c r="C3040" s="57"/>
      <c r="D3040" s="105"/>
      <c r="E3040" s="39"/>
      <c r="F3040" s="39"/>
      <c r="G3040" s="39"/>
      <c r="H3040" s="58"/>
    </row>
    <row r="3041" spans="1:8" x14ac:dyDescent="0.3">
      <c r="A3041" s="40">
        <v>2</v>
      </c>
      <c r="B3041" s="40" t="s">
        <v>8</v>
      </c>
      <c r="C3041" s="40">
        <v>1</v>
      </c>
      <c r="D3041" s="146">
        <v>9800</v>
      </c>
      <c r="E3041" s="40">
        <v>5</v>
      </c>
      <c r="F3041" s="169">
        <f>C3041*D3041*E3041</f>
        <v>49000</v>
      </c>
      <c r="G3041" s="55">
        <v>0</v>
      </c>
      <c r="H3041" s="42">
        <f>(1-G3041)*F3041</f>
        <v>49000</v>
      </c>
    </row>
    <row r="3042" spans="1:8" x14ac:dyDescent="0.3">
      <c r="A3042" s="40"/>
      <c r="B3042" s="39" t="s">
        <v>9</v>
      </c>
      <c r="C3042" s="39"/>
      <c r="D3042" s="105"/>
      <c r="E3042" s="39"/>
      <c r="F3042" s="170"/>
      <c r="G3042" s="39"/>
      <c r="H3042" s="58">
        <f>H3040+H3041</f>
        <v>49000</v>
      </c>
    </row>
    <row r="3043" spans="1:8" x14ac:dyDescent="0.3">
      <c r="A3043" s="47"/>
      <c r="B3043" s="95">
        <v>5646</v>
      </c>
      <c r="C3043" s="119" t="s">
        <v>874</v>
      </c>
      <c r="D3043" s="96"/>
      <c r="E3043" s="47"/>
      <c r="F3043" s="47" t="s">
        <v>1986</v>
      </c>
      <c r="G3043" s="60"/>
      <c r="H3043" s="48"/>
    </row>
    <row r="3044" spans="1:8" x14ac:dyDescent="0.3">
      <c r="A3044" s="40"/>
      <c r="B3044" s="151" t="s">
        <v>10</v>
      </c>
      <c r="C3044" s="173" t="s">
        <v>1</v>
      </c>
      <c r="D3044" s="174" t="s">
        <v>2</v>
      </c>
      <c r="E3044" s="151" t="s">
        <v>3</v>
      </c>
      <c r="F3044" s="151" t="s">
        <v>4</v>
      </c>
      <c r="G3044" s="151" t="s">
        <v>5</v>
      </c>
      <c r="H3044" s="175" t="s">
        <v>6</v>
      </c>
    </row>
    <row r="3045" spans="1:8" ht="129.6" x14ac:dyDescent="0.3">
      <c r="A3045" s="40">
        <v>1</v>
      </c>
      <c r="B3045" s="53" t="s">
        <v>1908</v>
      </c>
      <c r="C3045" s="40">
        <v>1</v>
      </c>
      <c r="D3045" s="41">
        <v>562.08000000000004</v>
      </c>
      <c r="E3045" s="40">
        <v>550</v>
      </c>
      <c r="F3045" s="40">
        <f>C3045*D3045*E3045</f>
        <v>309144</v>
      </c>
      <c r="G3045" s="55">
        <v>0.6</v>
      </c>
      <c r="H3045" s="42">
        <f>(1-G3045)*F3045</f>
        <v>123657.60000000001</v>
      </c>
    </row>
    <row r="3046" spans="1:8" ht="43.2" x14ac:dyDescent="0.3">
      <c r="A3046" s="40">
        <v>2</v>
      </c>
      <c r="B3046" s="53" t="s">
        <v>1323</v>
      </c>
      <c r="C3046" s="40">
        <v>1</v>
      </c>
      <c r="D3046" s="41">
        <v>118.64</v>
      </c>
      <c r="E3046" s="40">
        <v>50</v>
      </c>
      <c r="F3046" s="40">
        <f>C3046*D3046*E3046</f>
        <v>5932</v>
      </c>
      <c r="G3046" s="55">
        <v>0.6</v>
      </c>
      <c r="H3046" s="42">
        <f>(1-G3046)*F3046</f>
        <v>2372.8000000000002</v>
      </c>
    </row>
    <row r="3047" spans="1:8" x14ac:dyDescent="0.3">
      <c r="A3047" s="40"/>
      <c r="B3047" s="40" t="s">
        <v>11</v>
      </c>
      <c r="C3047" s="57"/>
      <c r="D3047" s="105"/>
      <c r="E3047" s="39"/>
      <c r="F3047" s="39"/>
      <c r="G3047" s="39"/>
      <c r="H3047" s="58">
        <f>H3045+H3046</f>
        <v>126030.40000000001</v>
      </c>
    </row>
    <row r="3048" spans="1:8" x14ac:dyDescent="0.3">
      <c r="A3048" s="40">
        <v>3</v>
      </c>
      <c r="B3048" s="40" t="s">
        <v>8</v>
      </c>
      <c r="C3048" s="40">
        <v>1</v>
      </c>
      <c r="D3048" s="146">
        <v>6158</v>
      </c>
      <c r="E3048" s="40">
        <v>5</v>
      </c>
      <c r="F3048" s="169">
        <f>C3048*D3048*E3048</f>
        <v>30790</v>
      </c>
      <c r="G3048" s="55">
        <v>0</v>
      </c>
      <c r="H3048" s="42">
        <f>(1-G3048)*F3048</f>
        <v>30790</v>
      </c>
    </row>
    <row r="3049" spans="1:8" x14ac:dyDescent="0.3">
      <c r="A3049" s="40"/>
      <c r="B3049" s="39" t="s">
        <v>9</v>
      </c>
      <c r="C3049" s="39"/>
      <c r="D3049" s="105"/>
      <c r="E3049" s="39"/>
      <c r="F3049" s="170"/>
      <c r="G3049" s="39"/>
      <c r="H3049" s="58">
        <f>H3047+H3048</f>
        <v>156820.40000000002</v>
      </c>
    </row>
    <row r="3050" spans="1:8" x14ac:dyDescent="0.3">
      <c r="A3050" s="60"/>
      <c r="B3050" s="95">
        <v>5647</v>
      </c>
      <c r="C3050" s="119" t="s">
        <v>874</v>
      </c>
      <c r="D3050" s="156"/>
      <c r="E3050" s="47"/>
      <c r="F3050" s="47"/>
      <c r="G3050" s="60"/>
      <c r="H3050" s="48"/>
    </row>
    <row r="3051" spans="1:8" x14ac:dyDescent="0.3">
      <c r="A3051" s="40"/>
      <c r="B3051" s="151" t="s">
        <v>10</v>
      </c>
      <c r="C3051" s="173" t="s">
        <v>1</v>
      </c>
      <c r="D3051" s="174" t="s">
        <v>2</v>
      </c>
      <c r="E3051" s="151" t="s">
        <v>3</v>
      </c>
      <c r="F3051" s="151" t="s">
        <v>4</v>
      </c>
      <c r="G3051" s="151" t="s">
        <v>5</v>
      </c>
      <c r="H3051" s="175" t="s">
        <v>6</v>
      </c>
    </row>
    <row r="3052" spans="1:8" x14ac:dyDescent="0.3">
      <c r="A3052" s="40">
        <v>1</v>
      </c>
      <c r="B3052" s="53" t="s">
        <v>15</v>
      </c>
      <c r="C3052" s="40"/>
      <c r="D3052" s="41"/>
      <c r="E3052" s="40"/>
      <c r="F3052" s="40"/>
      <c r="G3052" s="55"/>
      <c r="H3052" s="42"/>
    </row>
    <row r="3053" spans="1:8" x14ac:dyDescent="0.3">
      <c r="A3053" s="40"/>
      <c r="B3053" s="40" t="s">
        <v>11</v>
      </c>
      <c r="C3053" s="57"/>
      <c r="D3053" s="105"/>
      <c r="E3053" s="39"/>
      <c r="F3053" s="39"/>
      <c r="G3053" s="39"/>
      <c r="H3053" s="58"/>
    </row>
    <row r="3054" spans="1:8" x14ac:dyDescent="0.3">
      <c r="A3054" s="40">
        <v>2</v>
      </c>
      <c r="B3054" s="40" t="s">
        <v>8</v>
      </c>
      <c r="C3054" s="40">
        <v>1</v>
      </c>
      <c r="D3054" s="146">
        <v>14300</v>
      </c>
      <c r="E3054" s="40">
        <v>5</v>
      </c>
      <c r="F3054" s="169">
        <f>(10000*E3054)+(4300*0.75*E3054)</f>
        <v>66125</v>
      </c>
      <c r="G3054" s="55">
        <v>0</v>
      </c>
      <c r="H3054" s="42">
        <f>(1-G3054)*F3054</f>
        <v>66125</v>
      </c>
    </row>
    <row r="3055" spans="1:8" x14ac:dyDescent="0.3">
      <c r="A3055" s="40"/>
      <c r="B3055" s="39" t="s">
        <v>9</v>
      </c>
      <c r="C3055" s="39"/>
      <c r="D3055" s="105"/>
      <c r="E3055" s="39"/>
      <c r="F3055" s="170"/>
      <c r="G3055" s="39"/>
      <c r="H3055" s="58">
        <f>H3053+H3054</f>
        <v>66125</v>
      </c>
    </row>
    <row r="3056" spans="1:8" x14ac:dyDescent="0.3">
      <c r="A3056" s="60"/>
      <c r="B3056" s="95">
        <v>5725</v>
      </c>
      <c r="C3056" s="119" t="s">
        <v>874</v>
      </c>
      <c r="D3056" s="156"/>
      <c r="E3056" s="47"/>
      <c r="F3056" s="47"/>
      <c r="G3056" s="60"/>
      <c r="H3056" s="48"/>
    </row>
    <row r="3057" spans="1:8" x14ac:dyDescent="0.3">
      <c r="A3057" s="40"/>
      <c r="B3057" s="151" t="s">
        <v>10</v>
      </c>
      <c r="C3057" s="173" t="s">
        <v>1</v>
      </c>
      <c r="D3057" s="174" t="s">
        <v>2</v>
      </c>
      <c r="E3057" s="151" t="s">
        <v>3</v>
      </c>
      <c r="F3057" s="151" t="s">
        <v>4</v>
      </c>
      <c r="G3057" s="151" t="s">
        <v>5</v>
      </c>
      <c r="H3057" s="175" t="s">
        <v>6</v>
      </c>
    </row>
    <row r="3058" spans="1:8" ht="129.6" x14ac:dyDescent="0.3">
      <c r="A3058" s="40">
        <v>1</v>
      </c>
      <c r="B3058" s="53" t="s">
        <v>1645</v>
      </c>
      <c r="C3058" s="40">
        <v>1</v>
      </c>
      <c r="D3058" s="41">
        <v>562.08000000000004</v>
      </c>
      <c r="E3058" s="40">
        <v>550</v>
      </c>
      <c r="F3058" s="40">
        <f>C3058*D3058*E3058</f>
        <v>309144</v>
      </c>
      <c r="G3058" s="55">
        <v>0.6</v>
      </c>
      <c r="H3058" s="42">
        <f>(1-G3058)*F3058</f>
        <v>123657.60000000001</v>
      </c>
    </row>
    <row r="3059" spans="1:8" ht="43.2" x14ac:dyDescent="0.3">
      <c r="A3059" s="40">
        <v>2</v>
      </c>
      <c r="B3059" s="53" t="s">
        <v>1323</v>
      </c>
      <c r="C3059" s="40">
        <v>1</v>
      </c>
      <c r="D3059" s="41">
        <v>118.64</v>
      </c>
      <c r="E3059" s="40">
        <v>50</v>
      </c>
      <c r="F3059" s="40">
        <f>C3059*D3059*E3059</f>
        <v>5932</v>
      </c>
      <c r="G3059" s="55">
        <v>0.6</v>
      </c>
      <c r="H3059" s="42">
        <f>(1-G3059)*F3059</f>
        <v>2372.8000000000002</v>
      </c>
    </row>
    <row r="3060" spans="1:8" x14ac:dyDescent="0.3">
      <c r="A3060" s="40"/>
      <c r="B3060" s="40" t="s">
        <v>11</v>
      </c>
      <c r="C3060" s="40"/>
      <c r="D3060" s="146"/>
      <c r="E3060" s="40"/>
      <c r="F3060" s="169"/>
      <c r="G3060" s="55"/>
      <c r="H3060" s="42">
        <f>SUM(H3058:H3059)</f>
        <v>126030.40000000001</v>
      </c>
    </row>
    <row r="3061" spans="1:8" x14ac:dyDescent="0.3">
      <c r="A3061" s="40">
        <v>3</v>
      </c>
      <c r="B3061" s="40" t="s">
        <v>8</v>
      </c>
      <c r="C3061" s="40">
        <v>1</v>
      </c>
      <c r="D3061" s="146">
        <v>4450</v>
      </c>
      <c r="E3061" s="40">
        <v>5</v>
      </c>
      <c r="F3061" s="169">
        <f>C3061*D3061*E3061</f>
        <v>22250</v>
      </c>
      <c r="G3061" s="55">
        <v>0</v>
      </c>
      <c r="H3061" s="42">
        <f>(1-G3061)*F3061</f>
        <v>22250</v>
      </c>
    </row>
    <row r="3062" spans="1:8" x14ac:dyDescent="0.3">
      <c r="A3062" s="40"/>
      <c r="B3062" s="39" t="s">
        <v>9</v>
      </c>
      <c r="C3062" s="39"/>
      <c r="D3062" s="59"/>
      <c r="E3062" s="39"/>
      <c r="F3062" s="39"/>
      <c r="G3062" s="39"/>
      <c r="H3062" s="58">
        <f>H3060+H3061</f>
        <v>148280.40000000002</v>
      </c>
    </row>
    <row r="3063" spans="1:8" x14ac:dyDescent="0.3">
      <c r="A3063" s="60"/>
      <c r="B3063" s="95">
        <v>5726</v>
      </c>
      <c r="C3063" s="119" t="s">
        <v>874</v>
      </c>
      <c r="D3063" s="156"/>
      <c r="E3063" s="47"/>
      <c r="F3063" s="47"/>
      <c r="G3063" s="60"/>
      <c r="H3063" s="48"/>
    </row>
    <row r="3064" spans="1:8" x14ac:dyDescent="0.3">
      <c r="A3064" s="40"/>
      <c r="B3064" s="151" t="s">
        <v>10</v>
      </c>
      <c r="C3064" s="173" t="s">
        <v>1</v>
      </c>
      <c r="D3064" s="174" t="s">
        <v>2</v>
      </c>
      <c r="E3064" s="151" t="s">
        <v>3</v>
      </c>
      <c r="F3064" s="151" t="s">
        <v>4</v>
      </c>
      <c r="G3064" s="151" t="s">
        <v>5</v>
      </c>
      <c r="H3064" s="175" t="s">
        <v>6</v>
      </c>
    </row>
    <row r="3065" spans="1:8" ht="129.6" x14ac:dyDescent="0.3">
      <c r="A3065" s="40">
        <v>1</v>
      </c>
      <c r="B3065" s="53" t="s">
        <v>1645</v>
      </c>
      <c r="C3065" s="40">
        <v>1</v>
      </c>
      <c r="D3065" s="41">
        <v>562.08000000000004</v>
      </c>
      <c r="E3065" s="40">
        <v>550</v>
      </c>
      <c r="F3065" s="40">
        <f>C3065*D3065*E3065</f>
        <v>309144</v>
      </c>
      <c r="G3065" s="55">
        <v>0.6</v>
      </c>
      <c r="H3065" s="42">
        <f>(1-G3065)*F3065</f>
        <v>123657.60000000001</v>
      </c>
    </row>
    <row r="3066" spans="1:8" ht="43.2" x14ac:dyDescent="0.3">
      <c r="A3066" s="40">
        <v>2</v>
      </c>
      <c r="B3066" s="53" t="s">
        <v>1323</v>
      </c>
      <c r="C3066" s="40">
        <v>1</v>
      </c>
      <c r="D3066" s="41">
        <v>118.64</v>
      </c>
      <c r="E3066" s="40">
        <v>50</v>
      </c>
      <c r="F3066" s="40">
        <f>C3066*D3066*E3066</f>
        <v>5932</v>
      </c>
      <c r="G3066" s="55">
        <v>0.6</v>
      </c>
      <c r="H3066" s="42">
        <f>(1-G3066)*F3066</f>
        <v>2372.8000000000002</v>
      </c>
    </row>
    <row r="3067" spans="1:8" x14ac:dyDescent="0.3">
      <c r="A3067" s="40"/>
      <c r="B3067" s="40" t="s">
        <v>11</v>
      </c>
      <c r="C3067" s="40"/>
      <c r="D3067" s="146"/>
      <c r="E3067" s="40"/>
      <c r="F3067" s="169"/>
      <c r="G3067" s="55"/>
      <c r="H3067" s="42">
        <f>SUM(H3065:H3066)</f>
        <v>126030.40000000001</v>
      </c>
    </row>
    <row r="3068" spans="1:8" x14ac:dyDescent="0.3">
      <c r="A3068" s="40">
        <v>3</v>
      </c>
      <c r="B3068" s="40" t="s">
        <v>8</v>
      </c>
      <c r="C3068" s="40">
        <v>1</v>
      </c>
      <c r="D3068" s="146">
        <v>6158</v>
      </c>
      <c r="E3068" s="40">
        <v>5</v>
      </c>
      <c r="F3068" s="169">
        <f>C3068*D3068*E3068</f>
        <v>30790</v>
      </c>
      <c r="G3068" s="55">
        <v>0</v>
      </c>
      <c r="H3068" s="42">
        <f>(1-G3068)*F3068</f>
        <v>30790</v>
      </c>
    </row>
    <row r="3069" spans="1:8" x14ac:dyDescent="0.3">
      <c r="A3069" s="40"/>
      <c r="B3069" s="39" t="s">
        <v>9</v>
      </c>
      <c r="C3069" s="39"/>
      <c r="D3069" s="59"/>
      <c r="E3069" s="39"/>
      <c r="F3069" s="39"/>
      <c r="G3069" s="39"/>
      <c r="H3069" s="58">
        <f>H3067+H3068</f>
        <v>156820.40000000002</v>
      </c>
    </row>
    <row r="3070" spans="1:8" x14ac:dyDescent="0.3">
      <c r="A3070" s="60"/>
      <c r="B3070" s="95">
        <v>5727</v>
      </c>
      <c r="C3070" s="119" t="s">
        <v>874</v>
      </c>
      <c r="D3070" s="156"/>
      <c r="E3070" s="47"/>
      <c r="F3070" s="47"/>
      <c r="G3070" s="60"/>
      <c r="H3070" s="48"/>
    </row>
    <row r="3071" spans="1:8" x14ac:dyDescent="0.3">
      <c r="A3071" s="40"/>
      <c r="B3071" s="151" t="s">
        <v>10</v>
      </c>
      <c r="C3071" s="173" t="s">
        <v>1</v>
      </c>
      <c r="D3071" s="174" t="s">
        <v>2</v>
      </c>
      <c r="E3071" s="151" t="s">
        <v>3</v>
      </c>
      <c r="F3071" s="151" t="s">
        <v>4</v>
      </c>
      <c r="G3071" s="151" t="s">
        <v>5</v>
      </c>
      <c r="H3071" s="175" t="s">
        <v>6</v>
      </c>
    </row>
    <row r="3072" spans="1:8" ht="129.6" x14ac:dyDescent="0.3">
      <c r="A3072" s="40">
        <v>1</v>
      </c>
      <c r="B3072" s="53" t="s">
        <v>1645</v>
      </c>
      <c r="C3072" s="40">
        <v>1</v>
      </c>
      <c r="D3072" s="41">
        <v>562.08000000000004</v>
      </c>
      <c r="E3072" s="40">
        <v>550</v>
      </c>
      <c r="F3072" s="40">
        <f>C3072*D3072*E3072</f>
        <v>309144</v>
      </c>
      <c r="G3072" s="55">
        <v>0.6</v>
      </c>
      <c r="H3072" s="42">
        <f>(1-G3072)*F3072</f>
        <v>123657.60000000001</v>
      </c>
    </row>
    <row r="3073" spans="1:8" ht="43.2" x14ac:dyDescent="0.3">
      <c r="A3073" s="40">
        <v>2</v>
      </c>
      <c r="B3073" s="53" t="s">
        <v>1323</v>
      </c>
      <c r="C3073" s="40">
        <v>1</v>
      </c>
      <c r="D3073" s="41">
        <v>118.64</v>
      </c>
      <c r="E3073" s="40">
        <v>50</v>
      </c>
      <c r="F3073" s="40">
        <f>C3073*D3073*E3073</f>
        <v>5932</v>
      </c>
      <c r="G3073" s="55">
        <v>0.6</v>
      </c>
      <c r="H3073" s="42">
        <f>(1-G3073)*F3073</f>
        <v>2372.8000000000002</v>
      </c>
    </row>
    <row r="3074" spans="1:8" x14ac:dyDescent="0.3">
      <c r="A3074" s="40"/>
      <c r="B3074" s="40" t="s">
        <v>11</v>
      </c>
      <c r="C3074" s="40"/>
      <c r="D3074" s="146"/>
      <c r="E3074" s="40"/>
      <c r="F3074" s="169"/>
      <c r="G3074" s="55"/>
      <c r="H3074" s="42">
        <f>SUM(H3072:H3073)</f>
        <v>126030.40000000001</v>
      </c>
    </row>
    <row r="3075" spans="1:8" x14ac:dyDescent="0.3">
      <c r="A3075" s="40">
        <v>3</v>
      </c>
      <c r="B3075" s="40" t="s">
        <v>8</v>
      </c>
      <c r="C3075" s="40">
        <v>1</v>
      </c>
      <c r="D3075" s="146">
        <v>4706</v>
      </c>
      <c r="E3075" s="40">
        <v>5</v>
      </c>
      <c r="F3075" s="169">
        <f>C3075*D3075*E3075</f>
        <v>23530</v>
      </c>
      <c r="G3075" s="55">
        <v>0</v>
      </c>
      <c r="H3075" s="42">
        <f>(1-G3075)*F3075</f>
        <v>23530</v>
      </c>
    </row>
    <row r="3076" spans="1:8" x14ac:dyDescent="0.3">
      <c r="A3076" s="40"/>
      <c r="B3076" s="39" t="s">
        <v>9</v>
      </c>
      <c r="C3076" s="39"/>
      <c r="D3076" s="59"/>
      <c r="E3076" s="39"/>
      <c r="F3076" s="39"/>
      <c r="G3076" s="39"/>
      <c r="H3076" s="58">
        <f>H3074+H3075</f>
        <v>149560.40000000002</v>
      </c>
    </row>
    <row r="3077" spans="1:8" x14ac:dyDescent="0.3">
      <c r="A3077" s="60"/>
      <c r="B3077" s="95">
        <v>5728</v>
      </c>
      <c r="C3077" s="119" t="s">
        <v>874</v>
      </c>
      <c r="D3077" s="156"/>
      <c r="E3077" s="47"/>
      <c r="F3077" s="47"/>
      <c r="G3077" s="60"/>
      <c r="H3077" s="48"/>
    </row>
    <row r="3078" spans="1:8" x14ac:dyDescent="0.3">
      <c r="A3078" s="40"/>
      <c r="B3078" s="151" t="s">
        <v>10</v>
      </c>
      <c r="C3078" s="173" t="s">
        <v>1</v>
      </c>
      <c r="D3078" s="174" t="s">
        <v>2</v>
      </c>
      <c r="E3078" s="151" t="s">
        <v>3</v>
      </c>
      <c r="F3078" s="151" t="s">
        <v>4</v>
      </c>
      <c r="G3078" s="151" t="s">
        <v>5</v>
      </c>
      <c r="H3078" s="175" t="s">
        <v>6</v>
      </c>
    </row>
    <row r="3079" spans="1:8" ht="129.6" x14ac:dyDescent="0.3">
      <c r="A3079" s="40">
        <v>1</v>
      </c>
      <c r="B3079" s="53" t="s">
        <v>1645</v>
      </c>
      <c r="C3079" s="40">
        <v>1</v>
      </c>
      <c r="D3079" s="41">
        <v>562.08000000000004</v>
      </c>
      <c r="E3079" s="40">
        <v>550</v>
      </c>
      <c r="F3079" s="40">
        <f>C3079*D3079*E3079</f>
        <v>309144</v>
      </c>
      <c r="G3079" s="55">
        <v>0.6</v>
      </c>
      <c r="H3079" s="42">
        <f>(1-G3079)*F3079</f>
        <v>123657.60000000001</v>
      </c>
    </row>
    <row r="3080" spans="1:8" ht="43.2" x14ac:dyDescent="0.3">
      <c r="A3080" s="40">
        <v>2</v>
      </c>
      <c r="B3080" s="53" t="s">
        <v>1323</v>
      </c>
      <c r="C3080" s="40">
        <v>1</v>
      </c>
      <c r="D3080" s="41">
        <v>118.64</v>
      </c>
      <c r="E3080" s="40">
        <v>50</v>
      </c>
      <c r="F3080" s="40">
        <f>C3080*D3080*E3080</f>
        <v>5932</v>
      </c>
      <c r="G3080" s="55">
        <v>0.6</v>
      </c>
      <c r="H3080" s="42">
        <f>(1-G3080)*F3080</f>
        <v>2372.8000000000002</v>
      </c>
    </row>
    <row r="3081" spans="1:8" x14ac:dyDescent="0.3">
      <c r="A3081" s="40"/>
      <c r="B3081" s="40" t="s">
        <v>11</v>
      </c>
      <c r="C3081" s="40"/>
      <c r="D3081" s="146"/>
      <c r="E3081" s="40"/>
      <c r="F3081" s="169"/>
      <c r="G3081" s="55"/>
      <c r="H3081" s="42">
        <f>SUM(H3079:H3080)</f>
        <v>126030.40000000001</v>
      </c>
    </row>
    <row r="3082" spans="1:8" x14ac:dyDescent="0.3">
      <c r="A3082" s="40">
        <v>3</v>
      </c>
      <c r="B3082" s="40" t="s">
        <v>8</v>
      </c>
      <c r="C3082" s="40">
        <v>1</v>
      </c>
      <c r="D3082" s="146">
        <v>5869</v>
      </c>
      <c r="E3082" s="40">
        <v>5</v>
      </c>
      <c r="F3082" s="169">
        <f>C3082*D3082*E3082</f>
        <v>29345</v>
      </c>
      <c r="G3082" s="55">
        <v>0</v>
      </c>
      <c r="H3082" s="42">
        <f>(1-G3082)*F3082</f>
        <v>29345</v>
      </c>
    </row>
    <row r="3083" spans="1:8" x14ac:dyDescent="0.3">
      <c r="A3083" s="40"/>
      <c r="B3083" s="39" t="s">
        <v>9</v>
      </c>
      <c r="C3083" s="39"/>
      <c r="D3083" s="59"/>
      <c r="E3083" s="39"/>
      <c r="F3083" s="39"/>
      <c r="G3083" s="39"/>
      <c r="H3083" s="58">
        <f>H3081+H3082</f>
        <v>155375.40000000002</v>
      </c>
    </row>
    <row r="3084" spans="1:8" x14ac:dyDescent="0.3">
      <c r="A3084" s="60"/>
      <c r="B3084" s="95">
        <v>5729</v>
      </c>
      <c r="C3084" s="119" t="s">
        <v>874</v>
      </c>
      <c r="D3084" s="156"/>
      <c r="E3084" s="47"/>
      <c r="F3084" s="47"/>
      <c r="G3084" s="60"/>
      <c r="H3084" s="48"/>
    </row>
    <row r="3085" spans="1:8" x14ac:dyDescent="0.3">
      <c r="A3085" s="40"/>
      <c r="B3085" s="151" t="s">
        <v>10</v>
      </c>
      <c r="C3085" s="173" t="s">
        <v>1</v>
      </c>
      <c r="D3085" s="174" t="s">
        <v>2</v>
      </c>
      <c r="E3085" s="151" t="s">
        <v>3</v>
      </c>
      <c r="F3085" s="151" t="s">
        <v>4</v>
      </c>
      <c r="G3085" s="151" t="s">
        <v>5</v>
      </c>
      <c r="H3085" s="175" t="s">
        <v>6</v>
      </c>
    </row>
    <row r="3086" spans="1:8" ht="129.6" x14ac:dyDescent="0.3">
      <c r="A3086" s="40">
        <v>1</v>
      </c>
      <c r="B3086" s="53" t="s">
        <v>1645</v>
      </c>
      <c r="C3086" s="40">
        <v>1</v>
      </c>
      <c r="D3086" s="41">
        <v>562.08000000000004</v>
      </c>
      <c r="E3086" s="40">
        <v>550</v>
      </c>
      <c r="F3086" s="40">
        <f>C3086*D3086*E3086</f>
        <v>309144</v>
      </c>
      <c r="G3086" s="55">
        <v>0.6</v>
      </c>
      <c r="H3086" s="42">
        <f>(1-G3086)*F3086</f>
        <v>123657.60000000001</v>
      </c>
    </row>
    <row r="3087" spans="1:8" ht="43.2" x14ac:dyDescent="0.3">
      <c r="A3087" s="40">
        <v>2</v>
      </c>
      <c r="B3087" s="53" t="s">
        <v>1323</v>
      </c>
      <c r="C3087" s="40">
        <v>1</v>
      </c>
      <c r="D3087" s="41">
        <v>118.64</v>
      </c>
      <c r="E3087" s="40">
        <v>50</v>
      </c>
      <c r="F3087" s="40">
        <f>C3087*D3087*E3087</f>
        <v>5932</v>
      </c>
      <c r="G3087" s="55">
        <v>0.6</v>
      </c>
      <c r="H3087" s="42">
        <f>(1-G3087)*F3087</f>
        <v>2372.8000000000002</v>
      </c>
    </row>
    <row r="3088" spans="1:8" x14ac:dyDescent="0.3">
      <c r="A3088" s="40"/>
      <c r="B3088" s="40" t="s">
        <v>11</v>
      </c>
      <c r="C3088" s="57"/>
      <c r="D3088" s="105"/>
      <c r="E3088" s="39"/>
      <c r="F3088" s="39"/>
      <c r="G3088" s="39"/>
      <c r="H3088" s="58">
        <f>H3086+H3087</f>
        <v>126030.40000000001</v>
      </c>
    </row>
    <row r="3089" spans="1:8" x14ac:dyDescent="0.3">
      <c r="A3089" s="40">
        <v>3</v>
      </c>
      <c r="B3089" s="40" t="s">
        <v>8</v>
      </c>
      <c r="C3089" s="40">
        <v>1</v>
      </c>
      <c r="D3089" s="146">
        <v>5119</v>
      </c>
      <c r="E3089" s="40">
        <v>5</v>
      </c>
      <c r="F3089" s="169">
        <f>C3089*D3089*E3089</f>
        <v>25595</v>
      </c>
      <c r="G3089" s="55">
        <v>0</v>
      </c>
      <c r="H3089" s="42">
        <f>(1-G3089)*F3089</f>
        <v>25595</v>
      </c>
    </row>
    <row r="3090" spans="1:8" x14ac:dyDescent="0.3">
      <c r="A3090" s="40"/>
      <c r="B3090" s="39" t="s">
        <v>9</v>
      </c>
      <c r="C3090" s="39"/>
      <c r="D3090" s="105"/>
      <c r="E3090" s="39"/>
      <c r="F3090" s="170"/>
      <c r="G3090" s="39"/>
      <c r="H3090" s="58">
        <f>H3088+H3089</f>
        <v>151625.40000000002</v>
      </c>
    </row>
    <row r="3091" spans="1:8" x14ac:dyDescent="0.3">
      <c r="A3091" s="60"/>
      <c r="B3091" s="95">
        <v>5730</v>
      </c>
      <c r="C3091" s="119" t="s">
        <v>874</v>
      </c>
      <c r="D3091" s="156"/>
      <c r="E3091" s="47"/>
      <c r="F3091" s="47"/>
      <c r="G3091" s="60"/>
      <c r="H3091" s="48"/>
    </row>
    <row r="3092" spans="1:8" x14ac:dyDescent="0.3">
      <c r="A3092" s="40"/>
      <c r="B3092" s="151" t="s">
        <v>10</v>
      </c>
      <c r="C3092" s="173" t="s">
        <v>1</v>
      </c>
      <c r="D3092" s="174" t="s">
        <v>2</v>
      </c>
      <c r="E3092" s="151" t="s">
        <v>3</v>
      </c>
      <c r="F3092" s="151" t="s">
        <v>4</v>
      </c>
      <c r="G3092" s="151" t="s">
        <v>5</v>
      </c>
      <c r="H3092" s="175" t="s">
        <v>6</v>
      </c>
    </row>
    <row r="3093" spans="1:8" ht="129.6" x14ac:dyDescent="0.3">
      <c r="A3093" s="40">
        <v>1</v>
      </c>
      <c r="B3093" s="53" t="s">
        <v>1645</v>
      </c>
      <c r="C3093" s="40">
        <v>1</v>
      </c>
      <c r="D3093" s="41">
        <v>562.08000000000004</v>
      </c>
      <c r="E3093" s="40">
        <v>550</v>
      </c>
      <c r="F3093" s="40">
        <f>C3093*D3093*E3093</f>
        <v>309144</v>
      </c>
      <c r="G3093" s="55">
        <v>0.6</v>
      </c>
      <c r="H3093" s="42">
        <f>(1-G3093)*F3093</f>
        <v>123657.60000000001</v>
      </c>
    </row>
    <row r="3094" spans="1:8" ht="43.2" x14ac:dyDescent="0.3">
      <c r="A3094" s="40">
        <v>2</v>
      </c>
      <c r="B3094" s="53" t="s">
        <v>1323</v>
      </c>
      <c r="C3094" s="40">
        <v>1</v>
      </c>
      <c r="D3094" s="41">
        <v>118.64</v>
      </c>
      <c r="E3094" s="40">
        <v>50</v>
      </c>
      <c r="F3094" s="40">
        <f>C3094*D3094*E3094</f>
        <v>5932</v>
      </c>
      <c r="G3094" s="55">
        <v>0.6</v>
      </c>
      <c r="H3094" s="42">
        <f>(1-G3094)*F3094</f>
        <v>2372.8000000000002</v>
      </c>
    </row>
    <row r="3095" spans="1:8" x14ac:dyDescent="0.3">
      <c r="A3095" s="40"/>
      <c r="B3095" s="40" t="s">
        <v>11</v>
      </c>
      <c r="C3095" s="40"/>
      <c r="D3095" s="146"/>
      <c r="E3095" s="40"/>
      <c r="F3095" s="169"/>
      <c r="G3095" s="55"/>
      <c r="H3095" s="42">
        <f>SUM(H3093:H3094)</f>
        <v>126030.40000000001</v>
      </c>
    </row>
    <row r="3096" spans="1:8" x14ac:dyDescent="0.3">
      <c r="A3096" s="40">
        <v>3</v>
      </c>
      <c r="B3096" s="40" t="s">
        <v>8</v>
      </c>
      <c r="C3096" s="40">
        <v>1</v>
      </c>
      <c r="D3096" s="146">
        <v>4500</v>
      </c>
      <c r="E3096" s="40">
        <v>5</v>
      </c>
      <c r="F3096" s="169">
        <f>C3096*D3096*E3096</f>
        <v>22500</v>
      </c>
      <c r="G3096" s="55">
        <v>0</v>
      </c>
      <c r="H3096" s="42">
        <f>(1-G3096)*F3096</f>
        <v>22500</v>
      </c>
    </row>
    <row r="3097" spans="1:8" x14ac:dyDescent="0.3">
      <c r="A3097" s="40"/>
      <c r="B3097" s="39" t="s">
        <v>9</v>
      </c>
      <c r="C3097" s="39"/>
      <c r="D3097" s="59"/>
      <c r="E3097" s="39"/>
      <c r="F3097" s="39"/>
      <c r="G3097" s="39"/>
      <c r="H3097" s="58">
        <f>H3095+H3096</f>
        <v>148530.40000000002</v>
      </c>
    </row>
    <row r="3098" spans="1:8" x14ac:dyDescent="0.3">
      <c r="A3098" s="60"/>
      <c r="B3098" s="95">
        <v>5731</v>
      </c>
      <c r="C3098" s="119" t="s">
        <v>874</v>
      </c>
      <c r="D3098" s="156"/>
      <c r="E3098" s="47"/>
      <c r="F3098" s="47"/>
      <c r="G3098" s="60"/>
      <c r="H3098" s="48"/>
    </row>
    <row r="3099" spans="1:8" x14ac:dyDescent="0.3">
      <c r="A3099" s="40"/>
      <c r="B3099" s="151" t="s">
        <v>10</v>
      </c>
      <c r="C3099" s="173" t="s">
        <v>1</v>
      </c>
      <c r="D3099" s="174" t="s">
        <v>2</v>
      </c>
      <c r="E3099" s="151" t="s">
        <v>3</v>
      </c>
      <c r="F3099" s="151" t="s">
        <v>4</v>
      </c>
      <c r="G3099" s="151" t="s">
        <v>5</v>
      </c>
      <c r="H3099" s="175" t="s">
        <v>6</v>
      </c>
    </row>
    <row r="3100" spans="1:8" ht="129.6" x14ac:dyDescent="0.3">
      <c r="A3100" s="40">
        <v>1</v>
      </c>
      <c r="B3100" s="53" t="s">
        <v>1645</v>
      </c>
      <c r="C3100" s="40">
        <v>1</v>
      </c>
      <c r="D3100" s="41">
        <v>562.08000000000004</v>
      </c>
      <c r="E3100" s="40">
        <v>550</v>
      </c>
      <c r="F3100" s="40">
        <f>C3100*D3100*E3100</f>
        <v>309144</v>
      </c>
      <c r="G3100" s="55">
        <v>0.6</v>
      </c>
      <c r="H3100" s="42">
        <f>(1-G3100)*F3100</f>
        <v>123657.60000000001</v>
      </c>
    </row>
    <row r="3101" spans="1:8" ht="43.2" x14ac:dyDescent="0.3">
      <c r="A3101" s="40">
        <v>2</v>
      </c>
      <c r="B3101" s="53" t="s">
        <v>1323</v>
      </c>
      <c r="C3101" s="40">
        <v>1</v>
      </c>
      <c r="D3101" s="41">
        <v>118.64</v>
      </c>
      <c r="E3101" s="40">
        <v>50</v>
      </c>
      <c r="F3101" s="40">
        <f>C3101*D3101*E3101</f>
        <v>5932</v>
      </c>
      <c r="G3101" s="55">
        <v>0.6</v>
      </c>
      <c r="H3101" s="42">
        <f>(1-G3101)*F3101</f>
        <v>2372.8000000000002</v>
      </c>
    </row>
    <row r="3102" spans="1:8" x14ac:dyDescent="0.3">
      <c r="A3102" s="40"/>
      <c r="B3102" s="40" t="s">
        <v>11</v>
      </c>
      <c r="C3102" s="40"/>
      <c r="D3102" s="146"/>
      <c r="E3102" s="40"/>
      <c r="F3102" s="169"/>
      <c r="G3102" s="55"/>
      <c r="H3102" s="42">
        <f>SUM(H3100:H3101)</f>
        <v>126030.40000000001</v>
      </c>
    </row>
    <row r="3103" spans="1:8" x14ac:dyDescent="0.3">
      <c r="A3103" s="40">
        <v>3</v>
      </c>
      <c r="B3103" s="40" t="s">
        <v>8</v>
      </c>
      <c r="C3103" s="40">
        <v>1</v>
      </c>
      <c r="D3103" s="146">
        <v>4500</v>
      </c>
      <c r="E3103" s="40">
        <v>5</v>
      </c>
      <c r="F3103" s="169">
        <f>C3103*D3103*E3103</f>
        <v>22500</v>
      </c>
      <c r="G3103" s="55">
        <v>0</v>
      </c>
      <c r="H3103" s="42">
        <f>(1-G3103)*F3103</f>
        <v>22500</v>
      </c>
    </row>
    <row r="3104" spans="1:8" x14ac:dyDescent="0.3">
      <c r="A3104" s="40"/>
      <c r="B3104" s="39" t="s">
        <v>9</v>
      </c>
      <c r="C3104" s="39"/>
      <c r="D3104" s="59"/>
      <c r="E3104" s="39"/>
      <c r="F3104" s="39"/>
      <c r="G3104" s="39"/>
      <c r="H3104" s="58">
        <f>H3102+H3103</f>
        <v>148530.40000000002</v>
      </c>
    </row>
    <row r="3105" spans="1:8" x14ac:dyDescent="0.3">
      <c r="A3105" s="60"/>
      <c r="B3105" s="95">
        <v>5732</v>
      </c>
      <c r="C3105" s="119" t="s">
        <v>874</v>
      </c>
      <c r="D3105" s="156"/>
      <c r="E3105" s="47"/>
      <c r="F3105" s="47"/>
      <c r="G3105" s="60"/>
      <c r="H3105" s="48"/>
    </row>
    <row r="3106" spans="1:8" x14ac:dyDescent="0.3">
      <c r="A3106" s="40"/>
      <c r="B3106" s="151" t="s">
        <v>10</v>
      </c>
      <c r="C3106" s="173" t="s">
        <v>1</v>
      </c>
      <c r="D3106" s="174" t="s">
        <v>2</v>
      </c>
      <c r="E3106" s="151" t="s">
        <v>3</v>
      </c>
      <c r="F3106" s="151" t="s">
        <v>4</v>
      </c>
      <c r="G3106" s="151" t="s">
        <v>5</v>
      </c>
      <c r="H3106" s="175" t="s">
        <v>6</v>
      </c>
    </row>
    <row r="3107" spans="1:8" ht="129.6" x14ac:dyDescent="0.3">
      <c r="A3107" s="40">
        <v>1</v>
      </c>
      <c r="B3107" s="53" t="s">
        <v>1645</v>
      </c>
      <c r="C3107" s="40">
        <v>1</v>
      </c>
      <c r="D3107" s="41">
        <v>562.08000000000004</v>
      </c>
      <c r="E3107" s="40">
        <v>550</v>
      </c>
      <c r="F3107" s="40">
        <f>C3107*D3107*E3107</f>
        <v>309144</v>
      </c>
      <c r="G3107" s="55">
        <v>0.6</v>
      </c>
      <c r="H3107" s="42">
        <f>(1-G3107)*F3107</f>
        <v>123657.60000000001</v>
      </c>
    </row>
    <row r="3108" spans="1:8" ht="43.2" x14ac:dyDescent="0.3">
      <c r="A3108" s="40">
        <v>2</v>
      </c>
      <c r="B3108" s="53" t="s">
        <v>1323</v>
      </c>
      <c r="C3108" s="40">
        <v>1</v>
      </c>
      <c r="D3108" s="41">
        <v>118.64</v>
      </c>
      <c r="E3108" s="40">
        <v>50</v>
      </c>
      <c r="F3108" s="40">
        <f>C3108*D3108*E3108</f>
        <v>5932</v>
      </c>
      <c r="G3108" s="55">
        <v>0.6</v>
      </c>
      <c r="H3108" s="42">
        <f>(1-G3108)*F3108</f>
        <v>2372.8000000000002</v>
      </c>
    </row>
    <row r="3109" spans="1:8" x14ac:dyDescent="0.3">
      <c r="A3109" s="40"/>
      <c r="B3109" s="40" t="s">
        <v>11</v>
      </c>
      <c r="C3109" s="40"/>
      <c r="D3109" s="146"/>
      <c r="E3109" s="40"/>
      <c r="F3109" s="169"/>
      <c r="G3109" s="55"/>
      <c r="H3109" s="42">
        <f>SUM(H3107:H3108)</f>
        <v>126030.40000000001</v>
      </c>
    </row>
    <row r="3110" spans="1:8" x14ac:dyDescent="0.3">
      <c r="A3110" s="40">
        <v>3</v>
      </c>
      <c r="B3110" s="40" t="s">
        <v>8</v>
      </c>
      <c r="C3110" s="40">
        <v>1</v>
      </c>
      <c r="D3110" s="146">
        <v>4798</v>
      </c>
      <c r="E3110" s="40">
        <v>5</v>
      </c>
      <c r="F3110" s="169">
        <f>C3110*D3110*E3110</f>
        <v>23990</v>
      </c>
      <c r="G3110" s="55">
        <v>0</v>
      </c>
      <c r="H3110" s="42">
        <f>(1-G3110)*F3110</f>
        <v>23990</v>
      </c>
    </row>
    <row r="3111" spans="1:8" x14ac:dyDescent="0.3">
      <c r="A3111" s="40"/>
      <c r="B3111" s="39" t="s">
        <v>9</v>
      </c>
      <c r="C3111" s="39"/>
      <c r="D3111" s="59"/>
      <c r="E3111" s="39"/>
      <c r="F3111" s="39"/>
      <c r="G3111" s="39"/>
      <c r="H3111" s="58">
        <f>H3109+H3110</f>
        <v>150020.40000000002</v>
      </c>
    </row>
    <row r="3112" spans="1:8" x14ac:dyDescent="0.3">
      <c r="A3112" s="47"/>
      <c r="B3112" s="95">
        <v>5733</v>
      </c>
      <c r="C3112" s="119" t="s">
        <v>874</v>
      </c>
      <c r="D3112" s="156"/>
      <c r="E3112" s="47"/>
      <c r="F3112" s="47"/>
      <c r="G3112" s="60"/>
      <c r="H3112" s="48"/>
    </row>
    <row r="3113" spans="1:8" x14ac:dyDescent="0.3">
      <c r="A3113" s="40"/>
      <c r="B3113" s="151" t="s">
        <v>10</v>
      </c>
      <c r="C3113" s="173" t="s">
        <v>1</v>
      </c>
      <c r="D3113" s="174" t="s">
        <v>2</v>
      </c>
      <c r="E3113" s="151" t="s">
        <v>3</v>
      </c>
      <c r="F3113" s="151" t="s">
        <v>4</v>
      </c>
      <c r="G3113" s="151" t="s">
        <v>5</v>
      </c>
      <c r="H3113" s="175" t="s">
        <v>6</v>
      </c>
    </row>
    <row r="3114" spans="1:8" x14ac:dyDescent="0.3">
      <c r="A3114" s="40">
        <v>1</v>
      </c>
      <c r="B3114" s="53" t="s">
        <v>15</v>
      </c>
      <c r="C3114" s="40"/>
      <c r="D3114" s="54"/>
      <c r="E3114" s="40"/>
      <c r="F3114" s="40"/>
      <c r="G3114" s="55"/>
      <c r="H3114" s="42"/>
    </row>
    <row r="3115" spans="1:8" x14ac:dyDescent="0.3">
      <c r="A3115" s="40"/>
      <c r="B3115" s="40" t="s">
        <v>11</v>
      </c>
      <c r="C3115" s="40"/>
      <c r="D3115" s="146"/>
      <c r="E3115" s="40"/>
      <c r="F3115" s="169"/>
      <c r="G3115" s="55"/>
      <c r="H3115" s="42"/>
    </row>
    <row r="3116" spans="1:8" x14ac:dyDescent="0.3">
      <c r="A3116" s="40">
        <v>2</v>
      </c>
      <c r="B3116" s="40" t="s">
        <v>8</v>
      </c>
      <c r="C3116" s="40">
        <v>1</v>
      </c>
      <c r="D3116" s="146">
        <v>6390</v>
      </c>
      <c r="E3116" s="40">
        <v>5</v>
      </c>
      <c r="F3116" s="169">
        <f>C3116*D3116*E3116</f>
        <v>31950</v>
      </c>
      <c r="G3116" s="55">
        <v>0</v>
      </c>
      <c r="H3116" s="42">
        <f>(1-G3116)*F3116</f>
        <v>31950</v>
      </c>
    </row>
    <row r="3117" spans="1:8" x14ac:dyDescent="0.3">
      <c r="A3117" s="40"/>
      <c r="B3117" s="39" t="s">
        <v>9</v>
      </c>
      <c r="C3117" s="39"/>
      <c r="D3117" s="59"/>
      <c r="E3117" s="39"/>
      <c r="F3117" s="39"/>
      <c r="G3117" s="39"/>
      <c r="H3117" s="58">
        <f>H3116</f>
        <v>31950</v>
      </c>
    </row>
    <row r="3118" spans="1:8" x14ac:dyDescent="0.3">
      <c r="A3118" s="47"/>
      <c r="B3118" s="95">
        <v>5734</v>
      </c>
      <c r="C3118" s="119" t="s">
        <v>874</v>
      </c>
      <c r="D3118" s="156"/>
      <c r="E3118" s="47"/>
      <c r="F3118" s="47"/>
      <c r="G3118" s="60"/>
      <c r="H3118" s="48"/>
    </row>
    <row r="3119" spans="1:8" x14ac:dyDescent="0.3">
      <c r="A3119" s="40"/>
      <c r="B3119" s="151" t="s">
        <v>10</v>
      </c>
      <c r="C3119" s="173" t="s">
        <v>1</v>
      </c>
      <c r="D3119" s="174" t="s">
        <v>2</v>
      </c>
      <c r="E3119" s="151" t="s">
        <v>3</v>
      </c>
      <c r="F3119" s="151" t="s">
        <v>4</v>
      </c>
      <c r="G3119" s="151" t="s">
        <v>5</v>
      </c>
      <c r="H3119" s="175" t="s">
        <v>6</v>
      </c>
    </row>
    <row r="3120" spans="1:8" x14ac:dyDescent="0.3">
      <c r="A3120" s="40">
        <v>1</v>
      </c>
      <c r="B3120" s="53" t="s">
        <v>15</v>
      </c>
      <c r="C3120" s="40"/>
      <c r="D3120" s="54"/>
      <c r="E3120" s="40"/>
      <c r="F3120" s="40"/>
      <c r="G3120" s="55"/>
      <c r="H3120" s="42"/>
    </row>
    <row r="3121" spans="1:8" x14ac:dyDescent="0.3">
      <c r="A3121" s="40"/>
      <c r="B3121" s="40" t="s">
        <v>11</v>
      </c>
      <c r="C3121" s="40"/>
      <c r="D3121" s="146"/>
      <c r="E3121" s="40"/>
      <c r="F3121" s="169"/>
      <c r="G3121" s="55"/>
      <c r="H3121" s="42"/>
    </row>
    <row r="3122" spans="1:8" x14ac:dyDescent="0.3">
      <c r="A3122" s="40">
        <v>2</v>
      </c>
      <c r="B3122" s="40" t="s">
        <v>8</v>
      </c>
      <c r="C3122" s="40">
        <v>1</v>
      </c>
      <c r="D3122" s="146">
        <v>4500</v>
      </c>
      <c r="E3122" s="40">
        <v>5</v>
      </c>
      <c r="F3122" s="169">
        <f>C3122*D3122*E3122</f>
        <v>22500</v>
      </c>
      <c r="G3122" s="55">
        <v>0</v>
      </c>
      <c r="H3122" s="42">
        <f>(1-G3122)*F3122</f>
        <v>22500</v>
      </c>
    </row>
    <row r="3123" spans="1:8" x14ac:dyDescent="0.3">
      <c r="A3123" s="40"/>
      <c r="B3123" s="39" t="s">
        <v>9</v>
      </c>
      <c r="C3123" s="39"/>
      <c r="D3123" s="59"/>
      <c r="E3123" s="39"/>
      <c r="F3123" s="39"/>
      <c r="G3123" s="39"/>
      <c r="H3123" s="58">
        <f>H3122</f>
        <v>22500</v>
      </c>
    </row>
    <row r="3124" spans="1:8" x14ac:dyDescent="0.3">
      <c r="A3124" s="47"/>
      <c r="B3124" s="95">
        <v>5734</v>
      </c>
      <c r="C3124" s="119" t="s">
        <v>874</v>
      </c>
      <c r="D3124" s="156"/>
      <c r="E3124" s="47"/>
      <c r="F3124" s="47"/>
      <c r="G3124" s="60"/>
      <c r="H3124" s="48"/>
    </row>
    <row r="3125" spans="1:8" x14ac:dyDescent="0.3">
      <c r="A3125" s="40"/>
      <c r="B3125" s="151" t="s">
        <v>10</v>
      </c>
      <c r="C3125" s="173" t="s">
        <v>1</v>
      </c>
      <c r="D3125" s="174" t="s">
        <v>2</v>
      </c>
      <c r="E3125" s="151" t="s">
        <v>3</v>
      </c>
      <c r="F3125" s="151" t="s">
        <v>4</v>
      </c>
      <c r="G3125" s="151" t="s">
        <v>5</v>
      </c>
      <c r="H3125" s="175" t="s">
        <v>6</v>
      </c>
    </row>
    <row r="3126" spans="1:8" x14ac:dyDescent="0.3">
      <c r="A3126" s="40">
        <v>1</v>
      </c>
      <c r="B3126" s="53" t="s">
        <v>15</v>
      </c>
      <c r="C3126" s="40"/>
      <c r="D3126" s="54"/>
      <c r="E3126" s="40"/>
      <c r="F3126" s="40"/>
      <c r="G3126" s="55"/>
      <c r="H3126" s="42"/>
    </row>
    <row r="3127" spans="1:8" x14ac:dyDescent="0.3">
      <c r="A3127" s="40"/>
      <c r="B3127" s="40" t="s">
        <v>11</v>
      </c>
      <c r="C3127" s="40"/>
      <c r="D3127" s="146"/>
      <c r="E3127" s="40"/>
      <c r="F3127" s="169"/>
      <c r="G3127" s="55"/>
      <c r="H3127" s="42"/>
    </row>
    <row r="3128" spans="1:8" x14ac:dyDescent="0.3">
      <c r="A3128" s="40">
        <v>2</v>
      </c>
      <c r="B3128" s="40" t="s">
        <v>8</v>
      </c>
      <c r="C3128" s="40">
        <v>1</v>
      </c>
      <c r="D3128" s="146">
        <v>4500</v>
      </c>
      <c r="E3128" s="40">
        <v>5</v>
      </c>
      <c r="F3128" s="169">
        <f>C3128*D3128*E3128</f>
        <v>22500</v>
      </c>
      <c r="G3128" s="55">
        <v>0</v>
      </c>
      <c r="H3128" s="42">
        <f>(1-G3128)*F3128</f>
        <v>22500</v>
      </c>
    </row>
    <row r="3129" spans="1:8" x14ac:dyDescent="0.3">
      <c r="A3129" s="40"/>
      <c r="B3129" s="39" t="s">
        <v>9</v>
      </c>
      <c r="C3129" s="39"/>
      <c r="D3129" s="59"/>
      <c r="E3129" s="39"/>
      <c r="F3129" s="39"/>
      <c r="G3129" s="39"/>
      <c r="H3129" s="58">
        <f>H3128</f>
        <v>22500</v>
      </c>
    </row>
    <row r="3130" spans="1:8" x14ac:dyDescent="0.3">
      <c r="A3130" s="47"/>
      <c r="B3130" s="95">
        <v>5735</v>
      </c>
      <c r="C3130" s="119" t="s">
        <v>874</v>
      </c>
      <c r="D3130" s="156"/>
      <c r="E3130" s="47"/>
      <c r="F3130" s="47"/>
      <c r="G3130" s="60"/>
      <c r="H3130" s="48"/>
    </row>
    <row r="3131" spans="1:8" x14ac:dyDescent="0.3">
      <c r="A3131" s="40"/>
      <c r="B3131" s="151" t="s">
        <v>10</v>
      </c>
      <c r="C3131" s="173" t="s">
        <v>1</v>
      </c>
      <c r="D3131" s="174" t="s">
        <v>2</v>
      </c>
      <c r="E3131" s="151" t="s">
        <v>3</v>
      </c>
      <c r="F3131" s="151" t="s">
        <v>4</v>
      </c>
      <c r="G3131" s="151" t="s">
        <v>5</v>
      </c>
      <c r="H3131" s="175" t="s">
        <v>6</v>
      </c>
    </row>
    <row r="3132" spans="1:8" x14ac:dyDescent="0.3">
      <c r="A3132" s="40">
        <v>1</v>
      </c>
      <c r="B3132" s="53" t="s">
        <v>15</v>
      </c>
      <c r="C3132" s="40"/>
      <c r="D3132" s="54"/>
      <c r="E3132" s="40"/>
      <c r="F3132" s="40"/>
      <c r="G3132" s="55"/>
      <c r="H3132" s="42"/>
    </row>
    <row r="3133" spans="1:8" x14ac:dyDescent="0.3">
      <c r="A3133" s="40"/>
      <c r="B3133" s="40" t="s">
        <v>11</v>
      </c>
      <c r="C3133" s="40"/>
      <c r="D3133" s="146"/>
      <c r="E3133" s="40"/>
      <c r="F3133" s="169"/>
      <c r="G3133" s="55"/>
      <c r="H3133" s="42"/>
    </row>
    <row r="3134" spans="1:8" x14ac:dyDescent="0.3">
      <c r="A3134" s="40">
        <v>2</v>
      </c>
      <c r="B3134" s="40" t="s">
        <v>8</v>
      </c>
      <c r="C3134" s="40">
        <v>1</v>
      </c>
      <c r="D3134" s="146">
        <v>6881</v>
      </c>
      <c r="E3134" s="40">
        <v>5</v>
      </c>
      <c r="F3134" s="169">
        <f>C3134*D3134*E3134</f>
        <v>34405</v>
      </c>
      <c r="G3134" s="55">
        <v>0</v>
      </c>
      <c r="H3134" s="42">
        <f>(1-G3134)*F3134</f>
        <v>34405</v>
      </c>
    </row>
    <row r="3135" spans="1:8" x14ac:dyDescent="0.3">
      <c r="A3135" s="40"/>
      <c r="B3135" s="39" t="s">
        <v>9</v>
      </c>
      <c r="C3135" s="39"/>
      <c r="D3135" s="59"/>
      <c r="E3135" s="39"/>
      <c r="F3135" s="39"/>
      <c r="G3135" s="39"/>
      <c r="H3135" s="58">
        <f>H3134</f>
        <v>34405</v>
      </c>
    </row>
    <row r="3136" spans="1:8" x14ac:dyDescent="0.3">
      <c r="A3136" s="47"/>
      <c r="B3136" s="95">
        <v>5736</v>
      </c>
      <c r="C3136" s="119" t="s">
        <v>874</v>
      </c>
      <c r="D3136" s="156"/>
      <c r="E3136" s="47"/>
      <c r="F3136" s="47"/>
      <c r="G3136" s="60"/>
      <c r="H3136" s="48"/>
    </row>
    <row r="3137" spans="1:8" x14ac:dyDescent="0.3">
      <c r="A3137" s="40"/>
      <c r="B3137" s="151" t="s">
        <v>10</v>
      </c>
      <c r="C3137" s="173" t="s">
        <v>1</v>
      </c>
      <c r="D3137" s="174" t="s">
        <v>2</v>
      </c>
      <c r="E3137" s="151" t="s">
        <v>3</v>
      </c>
      <c r="F3137" s="151" t="s">
        <v>4</v>
      </c>
      <c r="G3137" s="151" t="s">
        <v>5</v>
      </c>
      <c r="H3137" s="175" t="s">
        <v>6</v>
      </c>
    </row>
    <row r="3138" spans="1:8" x14ac:dyDescent="0.3">
      <c r="A3138" s="40">
        <v>1</v>
      </c>
      <c r="B3138" s="53" t="s">
        <v>15</v>
      </c>
      <c r="C3138" s="40"/>
      <c r="D3138" s="54"/>
      <c r="E3138" s="40"/>
      <c r="F3138" s="40"/>
      <c r="G3138" s="55"/>
      <c r="H3138" s="42"/>
    </row>
    <row r="3139" spans="1:8" x14ac:dyDescent="0.3">
      <c r="A3139" s="40"/>
      <c r="B3139" s="40" t="s">
        <v>11</v>
      </c>
      <c r="C3139" s="40"/>
      <c r="D3139" s="146"/>
      <c r="E3139" s="40"/>
      <c r="F3139" s="169"/>
      <c r="G3139" s="55"/>
      <c r="H3139" s="42"/>
    </row>
    <row r="3140" spans="1:8" x14ac:dyDescent="0.3">
      <c r="A3140" s="40">
        <v>2</v>
      </c>
      <c r="B3140" s="40" t="s">
        <v>8</v>
      </c>
      <c r="C3140" s="40">
        <v>1</v>
      </c>
      <c r="D3140" s="146">
        <v>5002</v>
      </c>
      <c r="E3140" s="40">
        <v>5</v>
      </c>
      <c r="F3140" s="169">
        <f>C3140*D3140*E3140</f>
        <v>25010</v>
      </c>
      <c r="G3140" s="55">
        <v>0</v>
      </c>
      <c r="H3140" s="42">
        <f>(1-G3140)*F3140</f>
        <v>25010</v>
      </c>
    </row>
    <row r="3141" spans="1:8" x14ac:dyDescent="0.3">
      <c r="A3141" s="40"/>
      <c r="B3141" s="39" t="s">
        <v>9</v>
      </c>
      <c r="C3141" s="39"/>
      <c r="D3141" s="59"/>
      <c r="E3141" s="39"/>
      <c r="F3141" s="39"/>
      <c r="G3141" s="39"/>
      <c r="H3141" s="58">
        <f>H3140</f>
        <v>25010</v>
      </c>
    </row>
    <row r="3142" spans="1:8" x14ac:dyDescent="0.3">
      <c r="A3142" s="47"/>
      <c r="B3142" s="95">
        <v>5738</v>
      </c>
      <c r="C3142" s="119" t="s">
        <v>874</v>
      </c>
      <c r="D3142" s="156"/>
      <c r="E3142" s="47"/>
      <c r="F3142" s="47"/>
      <c r="G3142" s="60"/>
      <c r="H3142" s="48"/>
    </row>
    <row r="3143" spans="1:8" x14ac:dyDescent="0.3">
      <c r="A3143" s="40"/>
      <c r="B3143" s="151" t="s">
        <v>10</v>
      </c>
      <c r="C3143" s="173" t="s">
        <v>1</v>
      </c>
      <c r="D3143" s="174" t="s">
        <v>2</v>
      </c>
      <c r="E3143" s="151" t="s">
        <v>3</v>
      </c>
      <c r="F3143" s="151" t="s">
        <v>4</v>
      </c>
      <c r="G3143" s="151" t="s">
        <v>5</v>
      </c>
      <c r="H3143" s="175" t="s">
        <v>6</v>
      </c>
    </row>
    <row r="3144" spans="1:8" x14ac:dyDescent="0.3">
      <c r="A3144" s="40">
        <v>1</v>
      </c>
      <c r="B3144" s="53" t="s">
        <v>15</v>
      </c>
      <c r="C3144" s="40"/>
      <c r="D3144" s="54"/>
      <c r="E3144" s="40"/>
      <c r="F3144" s="40"/>
      <c r="G3144" s="55"/>
      <c r="H3144" s="42"/>
    </row>
    <row r="3145" spans="1:8" x14ac:dyDescent="0.3">
      <c r="A3145" s="40"/>
      <c r="B3145" s="40" t="s">
        <v>11</v>
      </c>
      <c r="C3145" s="40"/>
      <c r="D3145" s="146"/>
      <c r="E3145" s="40"/>
      <c r="F3145" s="169"/>
      <c r="G3145" s="55"/>
      <c r="H3145" s="42"/>
    </row>
    <row r="3146" spans="1:8" x14ac:dyDescent="0.3">
      <c r="A3146" s="40">
        <v>2</v>
      </c>
      <c r="B3146" s="40" t="s">
        <v>8</v>
      </c>
      <c r="C3146" s="40">
        <v>1</v>
      </c>
      <c r="D3146" s="146">
        <v>6533</v>
      </c>
      <c r="E3146" s="40">
        <v>5</v>
      </c>
      <c r="F3146" s="169">
        <f>C3146*D3146*E3146</f>
        <v>32665</v>
      </c>
      <c r="G3146" s="55">
        <v>0</v>
      </c>
      <c r="H3146" s="42">
        <f>(1-G3146)*F3146</f>
        <v>32665</v>
      </c>
    </row>
    <row r="3147" spans="1:8" x14ac:dyDescent="0.3">
      <c r="A3147" s="40"/>
      <c r="B3147" s="39" t="s">
        <v>9</v>
      </c>
      <c r="C3147" s="39"/>
      <c r="D3147" s="59"/>
      <c r="E3147" s="39"/>
      <c r="F3147" s="39"/>
      <c r="G3147" s="39"/>
      <c r="H3147" s="58">
        <f>H3146</f>
        <v>32665</v>
      </c>
    </row>
    <row r="3148" spans="1:8" x14ac:dyDescent="0.3">
      <c r="A3148" s="47"/>
      <c r="B3148" s="95">
        <v>5739</v>
      </c>
      <c r="C3148" s="119" t="s">
        <v>874</v>
      </c>
      <c r="D3148" s="156"/>
      <c r="E3148" s="47"/>
      <c r="F3148" s="47"/>
      <c r="G3148" s="60"/>
      <c r="H3148" s="48"/>
    </row>
    <row r="3149" spans="1:8" x14ac:dyDescent="0.3">
      <c r="A3149" s="40"/>
      <c r="B3149" s="151" t="s">
        <v>10</v>
      </c>
      <c r="C3149" s="173" t="s">
        <v>1</v>
      </c>
      <c r="D3149" s="174" t="s">
        <v>2</v>
      </c>
      <c r="E3149" s="151" t="s">
        <v>3</v>
      </c>
      <c r="F3149" s="151" t="s">
        <v>4</v>
      </c>
      <c r="G3149" s="151" t="s">
        <v>5</v>
      </c>
      <c r="H3149" s="175" t="s">
        <v>6</v>
      </c>
    </row>
    <row r="3150" spans="1:8" x14ac:dyDescent="0.3">
      <c r="A3150" s="40">
        <v>1</v>
      </c>
      <c r="B3150" s="53" t="s">
        <v>15</v>
      </c>
      <c r="C3150" s="40"/>
      <c r="D3150" s="54"/>
      <c r="E3150" s="40"/>
      <c r="F3150" s="40"/>
      <c r="G3150" s="55"/>
      <c r="H3150" s="42"/>
    </row>
    <row r="3151" spans="1:8" x14ac:dyDescent="0.3">
      <c r="A3151" s="40"/>
      <c r="B3151" s="40" t="s">
        <v>11</v>
      </c>
      <c r="C3151" s="40"/>
      <c r="D3151" s="146"/>
      <c r="E3151" s="40"/>
      <c r="F3151" s="169"/>
      <c r="G3151" s="55"/>
      <c r="H3151" s="42"/>
    </row>
    <row r="3152" spans="1:8" x14ac:dyDescent="0.3">
      <c r="A3152" s="40">
        <v>2</v>
      </c>
      <c r="B3152" s="40" t="s">
        <v>8</v>
      </c>
      <c r="C3152" s="40">
        <v>1</v>
      </c>
      <c r="D3152" s="146">
        <v>4216</v>
      </c>
      <c r="E3152" s="40">
        <v>5</v>
      </c>
      <c r="F3152" s="169">
        <f>C3152*D3152*E3152</f>
        <v>21080</v>
      </c>
      <c r="G3152" s="55">
        <v>0</v>
      </c>
      <c r="H3152" s="42">
        <f>(1-G3152)*F3152</f>
        <v>21080</v>
      </c>
    </row>
    <row r="3153" spans="1:8" x14ac:dyDescent="0.3">
      <c r="A3153" s="40"/>
      <c r="B3153" s="39" t="s">
        <v>9</v>
      </c>
      <c r="C3153" s="39"/>
      <c r="D3153" s="59"/>
      <c r="E3153" s="39"/>
      <c r="F3153" s="39"/>
      <c r="G3153" s="39"/>
      <c r="H3153" s="58">
        <f>H3152</f>
        <v>21080</v>
      </c>
    </row>
    <row r="3154" spans="1:8" x14ac:dyDescent="0.3">
      <c r="A3154" s="47"/>
      <c r="B3154" s="95">
        <v>5740</v>
      </c>
      <c r="C3154" s="119" t="s">
        <v>874</v>
      </c>
      <c r="D3154" s="156"/>
      <c r="E3154" s="47"/>
      <c r="F3154" s="47"/>
      <c r="G3154" s="60"/>
      <c r="H3154" s="48"/>
    </row>
    <row r="3155" spans="1:8" x14ac:dyDescent="0.3">
      <c r="A3155" s="40"/>
      <c r="B3155" s="151" t="s">
        <v>10</v>
      </c>
      <c r="C3155" s="173" t="s">
        <v>1</v>
      </c>
      <c r="D3155" s="174" t="s">
        <v>2</v>
      </c>
      <c r="E3155" s="151" t="s">
        <v>3</v>
      </c>
      <c r="F3155" s="151" t="s">
        <v>4</v>
      </c>
      <c r="G3155" s="151" t="s">
        <v>5</v>
      </c>
      <c r="H3155" s="175" t="s">
        <v>6</v>
      </c>
    </row>
    <row r="3156" spans="1:8" x14ac:dyDescent="0.3">
      <c r="A3156" s="40">
        <v>1</v>
      </c>
      <c r="B3156" s="53" t="s">
        <v>15</v>
      </c>
      <c r="C3156" s="40"/>
      <c r="D3156" s="54"/>
      <c r="E3156" s="40"/>
      <c r="F3156" s="40"/>
      <c r="G3156" s="55"/>
      <c r="H3156" s="42"/>
    </row>
    <row r="3157" spans="1:8" x14ac:dyDescent="0.3">
      <c r="A3157" s="40"/>
      <c r="B3157" s="40" t="s">
        <v>11</v>
      </c>
      <c r="C3157" s="40"/>
      <c r="D3157" s="146"/>
      <c r="E3157" s="40"/>
      <c r="F3157" s="169"/>
      <c r="G3157" s="55"/>
      <c r="H3157" s="42"/>
    </row>
    <row r="3158" spans="1:8" x14ac:dyDescent="0.3">
      <c r="A3158" s="40">
        <v>2</v>
      </c>
      <c r="B3158" s="40" t="s">
        <v>8</v>
      </c>
      <c r="C3158" s="40">
        <v>1</v>
      </c>
      <c r="D3158" s="146">
        <v>4500</v>
      </c>
      <c r="E3158" s="40">
        <v>5</v>
      </c>
      <c r="F3158" s="169">
        <f>C3158*D3158*E3158</f>
        <v>22500</v>
      </c>
      <c r="G3158" s="55">
        <v>0</v>
      </c>
      <c r="H3158" s="42">
        <f>(1-G3158)*F3158</f>
        <v>22500</v>
      </c>
    </row>
    <row r="3159" spans="1:8" x14ac:dyDescent="0.3">
      <c r="A3159" s="40"/>
      <c r="B3159" s="39" t="s">
        <v>9</v>
      </c>
      <c r="C3159" s="39"/>
      <c r="D3159" s="59"/>
      <c r="E3159" s="39"/>
      <c r="F3159" s="39"/>
      <c r="G3159" s="39"/>
      <c r="H3159" s="58">
        <f>H3158</f>
        <v>22500</v>
      </c>
    </row>
    <row r="3160" spans="1:8" x14ac:dyDescent="0.3">
      <c r="A3160" s="47"/>
      <c r="B3160" s="95">
        <v>5741</v>
      </c>
      <c r="C3160" s="119" t="s">
        <v>874</v>
      </c>
      <c r="D3160" s="156"/>
      <c r="E3160" s="47"/>
      <c r="F3160" s="47"/>
      <c r="G3160" s="60"/>
      <c r="H3160" s="48"/>
    </row>
    <row r="3161" spans="1:8" x14ac:dyDescent="0.3">
      <c r="A3161" s="40"/>
      <c r="B3161" s="151" t="s">
        <v>10</v>
      </c>
      <c r="C3161" s="173" t="s">
        <v>1</v>
      </c>
      <c r="D3161" s="174" t="s">
        <v>2</v>
      </c>
      <c r="E3161" s="151" t="s">
        <v>3</v>
      </c>
      <c r="F3161" s="151" t="s">
        <v>4</v>
      </c>
      <c r="G3161" s="151" t="s">
        <v>5</v>
      </c>
      <c r="H3161" s="175" t="s">
        <v>6</v>
      </c>
    </row>
    <row r="3162" spans="1:8" x14ac:dyDescent="0.3">
      <c r="A3162" s="40">
        <v>1</v>
      </c>
      <c r="B3162" s="53" t="s">
        <v>15</v>
      </c>
      <c r="C3162" s="40"/>
      <c r="D3162" s="54"/>
      <c r="E3162" s="40"/>
      <c r="F3162" s="40"/>
      <c r="G3162" s="55"/>
      <c r="H3162" s="42"/>
    </row>
    <row r="3163" spans="1:8" x14ac:dyDescent="0.3">
      <c r="A3163" s="40"/>
      <c r="B3163" s="40" t="s">
        <v>11</v>
      </c>
      <c r="C3163" s="40"/>
      <c r="D3163" s="146"/>
      <c r="E3163" s="40"/>
      <c r="F3163" s="169"/>
      <c r="G3163" s="55"/>
      <c r="H3163" s="42"/>
    </row>
    <row r="3164" spans="1:8" x14ac:dyDescent="0.3">
      <c r="A3164" s="51">
        <v>2</v>
      </c>
      <c r="B3164" s="40" t="s">
        <v>8</v>
      </c>
      <c r="C3164" s="40">
        <v>1</v>
      </c>
      <c r="D3164" s="146">
        <v>6323</v>
      </c>
      <c r="E3164" s="40">
        <v>5</v>
      </c>
      <c r="F3164" s="169">
        <f>C3164*D3164*E3164</f>
        <v>31615</v>
      </c>
      <c r="G3164" s="55">
        <v>0</v>
      </c>
      <c r="H3164" s="42">
        <f>(1-G3164)*F3164</f>
        <v>31615</v>
      </c>
    </row>
    <row r="3165" spans="1:8" x14ac:dyDescent="0.3">
      <c r="A3165" s="51"/>
      <c r="B3165" s="39" t="s">
        <v>9</v>
      </c>
      <c r="C3165" s="39"/>
      <c r="D3165" s="59"/>
      <c r="E3165" s="39"/>
      <c r="F3165" s="39"/>
      <c r="G3165" s="39"/>
      <c r="H3165" s="58">
        <f>H3164</f>
        <v>31615</v>
      </c>
    </row>
    <row r="3166" spans="1:8" x14ac:dyDescent="0.3">
      <c r="A3166" s="39"/>
      <c r="B3166" s="70"/>
      <c r="C3166" s="40"/>
      <c r="D3166" s="41"/>
      <c r="E3166" s="40"/>
      <c r="F3166" s="68"/>
      <c r="G3166" s="40"/>
      <c r="H3166" s="106"/>
    </row>
    <row r="3167" spans="1:8" x14ac:dyDescent="0.3">
      <c r="A3167" s="47"/>
      <c r="B3167" s="95">
        <v>6154</v>
      </c>
      <c r="C3167" s="119" t="s">
        <v>874</v>
      </c>
      <c r="D3167" s="156"/>
      <c r="E3167" s="47" t="s">
        <v>460</v>
      </c>
      <c r="F3167" s="47"/>
      <c r="G3167" s="60"/>
      <c r="H3167" s="48"/>
    </row>
    <row r="3168" spans="1:8" x14ac:dyDescent="0.3">
      <c r="A3168" s="40"/>
      <c r="B3168" s="151" t="s">
        <v>10</v>
      </c>
      <c r="C3168" s="173" t="s">
        <v>1</v>
      </c>
      <c r="D3168" s="174" t="s">
        <v>2</v>
      </c>
      <c r="E3168" s="151" t="s">
        <v>3</v>
      </c>
      <c r="F3168" s="151" t="s">
        <v>4</v>
      </c>
      <c r="G3168" s="151" t="s">
        <v>5</v>
      </c>
      <c r="H3168" s="175" t="s">
        <v>6</v>
      </c>
    </row>
    <row r="3169" spans="1:8" ht="129.6" x14ac:dyDescent="0.3">
      <c r="A3169" s="40">
        <v>1</v>
      </c>
      <c r="B3169" s="53" t="s">
        <v>1645</v>
      </c>
      <c r="C3169" s="40">
        <v>1</v>
      </c>
      <c r="D3169" s="41">
        <v>562.08000000000004</v>
      </c>
      <c r="E3169" s="40">
        <v>550</v>
      </c>
      <c r="F3169" s="40">
        <f>C3169*D3169*E3169</f>
        <v>309144</v>
      </c>
      <c r="G3169" s="55">
        <v>0.6</v>
      </c>
      <c r="H3169" s="42">
        <f>(1-G3169)*F3169</f>
        <v>123657.60000000001</v>
      </c>
    </row>
    <row r="3170" spans="1:8" ht="43.2" x14ac:dyDescent="0.3">
      <c r="A3170" s="40">
        <v>2</v>
      </c>
      <c r="B3170" s="53" t="s">
        <v>1323</v>
      </c>
      <c r="C3170" s="40">
        <v>1</v>
      </c>
      <c r="D3170" s="41">
        <v>118.64</v>
      </c>
      <c r="E3170" s="40">
        <v>50</v>
      </c>
      <c r="F3170" s="40">
        <f>C3170*D3170*E3170</f>
        <v>5932</v>
      </c>
      <c r="G3170" s="55">
        <v>0.6</v>
      </c>
      <c r="H3170" s="42">
        <f>(1-G3170)*F3170</f>
        <v>2372.8000000000002</v>
      </c>
    </row>
    <row r="3171" spans="1:8" x14ac:dyDescent="0.3">
      <c r="A3171" s="40"/>
      <c r="B3171" s="40" t="s">
        <v>11</v>
      </c>
      <c r="C3171" s="57"/>
      <c r="D3171" s="105"/>
      <c r="E3171" s="39"/>
      <c r="F3171" s="39"/>
      <c r="G3171" s="39"/>
      <c r="H3171" s="58">
        <f>H3169+H3170</f>
        <v>126030.40000000001</v>
      </c>
    </row>
    <row r="3172" spans="1:8" x14ac:dyDescent="0.3">
      <c r="A3172" s="40">
        <v>3</v>
      </c>
      <c r="B3172" s="40" t="s">
        <v>8</v>
      </c>
      <c r="C3172" s="40">
        <v>1</v>
      </c>
      <c r="D3172" s="146">
        <v>3220</v>
      </c>
      <c r="E3172" s="40">
        <v>5</v>
      </c>
      <c r="F3172" s="169">
        <f>C3172*D3172*E3172</f>
        <v>16100</v>
      </c>
      <c r="G3172" s="55">
        <v>0</v>
      </c>
      <c r="H3172" s="42">
        <f>(1-G3172)*F3172</f>
        <v>16100</v>
      </c>
    </row>
    <row r="3173" spans="1:8" x14ac:dyDescent="0.3">
      <c r="A3173" s="40"/>
      <c r="B3173" s="39" t="s">
        <v>9</v>
      </c>
      <c r="C3173" s="39"/>
      <c r="D3173" s="105"/>
      <c r="E3173" s="39"/>
      <c r="F3173" s="170"/>
      <c r="G3173" s="39"/>
      <c r="H3173" s="58">
        <f>H3171+H3172</f>
        <v>142130.40000000002</v>
      </c>
    </row>
    <row r="3174" spans="1:8" x14ac:dyDescent="0.3">
      <c r="A3174" s="60"/>
      <c r="B3174" s="95">
        <v>6155</v>
      </c>
      <c r="C3174" s="119" t="s">
        <v>874</v>
      </c>
      <c r="D3174" s="156"/>
      <c r="E3174" s="47" t="s">
        <v>460</v>
      </c>
      <c r="F3174" s="47"/>
      <c r="G3174" s="60"/>
      <c r="H3174" s="48"/>
    </row>
    <row r="3175" spans="1:8" x14ac:dyDescent="0.3">
      <c r="A3175" s="151"/>
      <c r="B3175" s="151" t="s">
        <v>10</v>
      </c>
      <c r="C3175" s="173" t="s">
        <v>1</v>
      </c>
      <c r="D3175" s="174" t="s">
        <v>2</v>
      </c>
      <c r="E3175" s="151" t="s">
        <v>3</v>
      </c>
      <c r="F3175" s="151" t="s">
        <v>4</v>
      </c>
      <c r="G3175" s="151" t="s">
        <v>5</v>
      </c>
      <c r="H3175" s="175" t="s">
        <v>6</v>
      </c>
    </row>
    <row r="3176" spans="1:8" ht="129.6" x14ac:dyDescent="0.3">
      <c r="A3176" s="40">
        <v>1</v>
      </c>
      <c r="B3176" s="53" t="s">
        <v>1645</v>
      </c>
      <c r="C3176" s="40">
        <v>1</v>
      </c>
      <c r="D3176" s="41">
        <v>562.08000000000004</v>
      </c>
      <c r="E3176" s="40">
        <v>550</v>
      </c>
      <c r="F3176" s="40">
        <f>C3176*D3176*E3176</f>
        <v>309144</v>
      </c>
      <c r="G3176" s="55">
        <v>0.6</v>
      </c>
      <c r="H3176" s="42">
        <f>(1-G3176)*F3176</f>
        <v>123657.60000000001</v>
      </c>
    </row>
    <row r="3177" spans="1:8" ht="43.2" x14ac:dyDescent="0.3">
      <c r="A3177" s="40">
        <v>2</v>
      </c>
      <c r="B3177" s="53" t="s">
        <v>1323</v>
      </c>
      <c r="C3177" s="40">
        <v>1</v>
      </c>
      <c r="D3177" s="41">
        <v>118.64</v>
      </c>
      <c r="E3177" s="40">
        <v>50</v>
      </c>
      <c r="F3177" s="40">
        <f>C3177*D3177*E3177</f>
        <v>5932</v>
      </c>
      <c r="G3177" s="55">
        <v>0.6</v>
      </c>
      <c r="H3177" s="42">
        <f>(1-G3177)*F3177</f>
        <v>2372.8000000000002</v>
      </c>
    </row>
    <row r="3178" spans="1:8" x14ac:dyDescent="0.3">
      <c r="A3178" s="40"/>
      <c r="B3178" s="40" t="s">
        <v>11</v>
      </c>
      <c r="C3178" s="57"/>
      <c r="D3178" s="105"/>
      <c r="E3178" s="39"/>
      <c r="F3178" s="39"/>
      <c r="G3178" s="39"/>
      <c r="H3178" s="58">
        <f>H3176+H3177</f>
        <v>126030.40000000001</v>
      </c>
    </row>
    <row r="3179" spans="1:8" x14ac:dyDescent="0.3">
      <c r="A3179" s="40">
        <v>3</v>
      </c>
      <c r="B3179" s="40" t="s">
        <v>8</v>
      </c>
      <c r="C3179" s="40">
        <v>1</v>
      </c>
      <c r="D3179" s="146">
        <v>4084</v>
      </c>
      <c r="E3179" s="40">
        <v>5</v>
      </c>
      <c r="F3179" s="169">
        <f>C3179*D3179*E3179</f>
        <v>20420</v>
      </c>
      <c r="G3179" s="55">
        <v>0</v>
      </c>
      <c r="H3179" s="42">
        <f>(1-G3179)*F3179</f>
        <v>20420</v>
      </c>
    </row>
    <row r="3180" spans="1:8" x14ac:dyDescent="0.3">
      <c r="A3180" s="40"/>
      <c r="B3180" s="39" t="s">
        <v>9</v>
      </c>
      <c r="C3180" s="39"/>
      <c r="D3180" s="105"/>
      <c r="E3180" s="39"/>
      <c r="F3180" s="170"/>
      <c r="G3180" s="39"/>
      <c r="H3180" s="58">
        <f>H3178+H3179</f>
        <v>146450.40000000002</v>
      </c>
    </row>
    <row r="3181" spans="1:8" x14ac:dyDescent="0.3">
      <c r="A3181" s="51"/>
      <c r="B3181" s="70"/>
      <c r="C3181" s="39"/>
      <c r="D3181" s="59"/>
      <c r="E3181" s="39"/>
      <c r="F3181" s="71"/>
      <c r="G3181" s="39"/>
      <c r="H3181" s="58"/>
    </row>
    <row r="3182" spans="1:8" x14ac:dyDescent="0.3">
      <c r="A3182" s="40"/>
      <c r="B3182" s="40"/>
      <c r="C3182" s="40"/>
      <c r="D3182" s="41"/>
      <c r="E3182" s="40"/>
      <c r="F3182" s="40"/>
      <c r="G3182" s="40"/>
      <c r="H3182" s="42"/>
    </row>
    <row r="3183" spans="1:8" x14ac:dyDescent="0.3">
      <c r="A3183" s="221"/>
      <c r="B3183" s="113"/>
      <c r="C3183" s="127"/>
      <c r="D3183" s="222"/>
      <c r="E3183" s="221"/>
      <c r="F3183" s="127"/>
      <c r="G3183" s="127"/>
      <c r="H3183" s="136"/>
    </row>
    <row r="3184" spans="1:8" ht="21" x14ac:dyDescent="0.4">
      <c r="A3184" s="32"/>
      <c r="B3184" s="33"/>
      <c r="C3184" s="34"/>
      <c r="D3184" s="35"/>
      <c r="E3184" s="32"/>
      <c r="F3184" s="34"/>
      <c r="G3184" s="34"/>
      <c r="H3184" s="36"/>
    </row>
    <row r="3185" spans="1:8" ht="15.6" x14ac:dyDescent="0.3">
      <c r="A3185" s="223"/>
      <c r="B3185" s="224"/>
      <c r="C3185" s="225"/>
      <c r="D3185" s="226"/>
      <c r="E3185" s="225"/>
      <c r="F3185" s="225"/>
      <c r="G3185" s="225"/>
      <c r="H3185" s="227"/>
    </row>
    <row r="3186" spans="1:8" ht="15.6" x14ac:dyDescent="0.3">
      <c r="A3186" s="228"/>
      <c r="B3186" s="229"/>
      <c r="C3186" s="230"/>
      <c r="D3186" s="231"/>
      <c r="E3186" s="230"/>
      <c r="F3186" s="232"/>
      <c r="G3186" s="232"/>
      <c r="H3186" s="233"/>
    </row>
    <row r="3187" spans="1:8" ht="15.6" x14ac:dyDescent="0.3">
      <c r="A3187" s="234"/>
      <c r="B3187" s="235"/>
      <c r="C3187" s="235"/>
      <c r="D3187" s="236"/>
      <c r="E3187" s="237"/>
      <c r="F3187" s="237"/>
      <c r="G3187" s="237"/>
      <c r="H3187" s="238"/>
    </row>
    <row r="3188" spans="1:8" x14ac:dyDescent="0.3">
      <c r="A3188" s="115"/>
      <c r="B3188" s="128"/>
      <c r="C3188" s="131"/>
      <c r="D3188" s="116"/>
      <c r="E3188" s="131"/>
      <c r="F3188" s="134"/>
      <c r="G3188" s="113"/>
      <c r="H3188" s="136"/>
    </row>
    <row r="3189" spans="1:8" x14ac:dyDescent="0.3">
      <c r="A3189" s="113"/>
      <c r="B3189" s="102"/>
      <c r="C3189" s="239"/>
      <c r="D3189" s="116"/>
      <c r="E3189" s="115"/>
      <c r="F3189" s="117"/>
      <c r="G3189" s="115"/>
      <c r="H3189" s="240"/>
    </row>
    <row r="3190" spans="1:8" x14ac:dyDescent="0.3">
      <c r="A3190" s="113"/>
      <c r="B3190" s="102"/>
      <c r="C3190" s="113"/>
      <c r="D3190" s="150"/>
      <c r="E3190" s="113"/>
      <c r="F3190" s="134"/>
      <c r="G3190" s="135"/>
      <c r="H3190" s="136"/>
    </row>
    <row r="3191" spans="1:8" x14ac:dyDescent="0.3">
      <c r="A3191" s="113"/>
      <c r="B3191" s="102"/>
      <c r="C3191" s="113"/>
      <c r="D3191" s="150"/>
      <c r="E3191" s="113"/>
      <c r="F3191" s="134"/>
      <c r="G3191" s="135"/>
      <c r="H3191" s="136"/>
    </row>
    <row r="3192" spans="1:8" x14ac:dyDescent="0.3">
      <c r="A3192" s="113"/>
      <c r="B3192" s="102"/>
      <c r="C3192" s="113"/>
      <c r="D3192" s="150"/>
      <c r="E3192" s="113"/>
      <c r="F3192" s="134"/>
      <c r="G3192" s="135"/>
      <c r="H3192" s="136"/>
    </row>
    <row r="3193" spans="1:8" x14ac:dyDescent="0.3">
      <c r="A3193" s="113"/>
      <c r="B3193" s="102"/>
      <c r="C3193" s="113"/>
      <c r="D3193" s="150"/>
      <c r="E3193" s="113"/>
      <c r="F3193" s="134"/>
      <c r="G3193" s="135"/>
      <c r="H3193" s="136"/>
    </row>
    <row r="3194" spans="1:8" x14ac:dyDescent="0.3">
      <c r="A3194" s="113"/>
      <c r="B3194" s="102"/>
      <c r="C3194" s="113"/>
      <c r="D3194" s="150"/>
      <c r="E3194" s="113"/>
      <c r="F3194" s="134"/>
      <c r="G3194" s="135"/>
      <c r="H3194" s="136"/>
    </row>
    <row r="3195" spans="1:8" x14ac:dyDescent="0.3">
      <c r="A3195" s="113"/>
      <c r="B3195" s="102"/>
      <c r="C3195" s="113"/>
      <c r="D3195" s="150"/>
      <c r="E3195" s="113"/>
      <c r="F3195" s="134"/>
      <c r="G3195" s="135"/>
      <c r="H3195" s="136"/>
    </row>
    <row r="3196" spans="1:8" x14ac:dyDescent="0.3">
      <c r="A3196" s="113"/>
      <c r="B3196" s="102"/>
      <c r="C3196" s="113"/>
      <c r="D3196" s="150"/>
      <c r="E3196" s="113"/>
      <c r="F3196" s="134"/>
      <c r="G3196" s="135"/>
      <c r="H3196" s="136"/>
    </row>
    <row r="3197" spans="1:8" ht="15.6" x14ac:dyDescent="0.3">
      <c r="A3197" s="223"/>
      <c r="B3197" s="241"/>
      <c r="C3197" s="242"/>
      <c r="D3197" s="243"/>
      <c r="E3197" s="242"/>
      <c r="F3197" s="242"/>
      <c r="G3197" s="244"/>
      <c r="H3197" s="245"/>
    </row>
    <row r="3198" spans="1:8" ht="15.6" x14ac:dyDescent="0.3">
      <c r="A3198" s="223"/>
      <c r="B3198" s="241"/>
      <c r="C3198" s="242"/>
      <c r="D3198" s="243"/>
      <c r="E3198" s="242"/>
      <c r="F3198" s="242"/>
      <c r="G3198" s="244"/>
      <c r="H3198" s="245"/>
    </row>
    <row r="3199" spans="1:8" ht="15.6" x14ac:dyDescent="0.3">
      <c r="A3199" s="223"/>
      <c r="B3199" s="241"/>
      <c r="C3199" s="242"/>
      <c r="D3199" s="243"/>
      <c r="E3199" s="242"/>
      <c r="F3199" s="242"/>
      <c r="G3199" s="244"/>
      <c r="H3199" s="245"/>
    </row>
    <row r="3200" spans="1:8" ht="15.6" x14ac:dyDescent="0.3">
      <c r="A3200" s="223"/>
      <c r="B3200" s="241"/>
      <c r="C3200" s="242"/>
      <c r="D3200" s="243"/>
      <c r="E3200" s="242"/>
      <c r="F3200" s="242"/>
      <c r="G3200" s="244"/>
      <c r="H3200" s="245"/>
    </row>
    <row r="3201" spans="1:8" ht="15.6" x14ac:dyDescent="0.3">
      <c r="A3201" s="223"/>
      <c r="B3201" s="224"/>
      <c r="C3201" s="242"/>
      <c r="D3201" s="246"/>
      <c r="E3201" s="242"/>
      <c r="F3201" s="242"/>
      <c r="G3201" s="244"/>
      <c r="H3201" s="227"/>
    </row>
    <row r="3202" spans="1:8" ht="15.6" x14ac:dyDescent="0.3">
      <c r="A3202" s="223"/>
      <c r="B3202" s="224"/>
      <c r="C3202" s="242"/>
      <c r="D3202" s="246"/>
      <c r="E3202" s="242"/>
      <c r="F3202" s="242"/>
      <c r="G3202" s="244"/>
      <c r="H3202" s="227"/>
    </row>
    <row r="3203" spans="1:8" ht="15.6" x14ac:dyDescent="0.3">
      <c r="A3203" s="223"/>
      <c r="B3203" s="224"/>
      <c r="C3203" s="225"/>
      <c r="D3203" s="226"/>
      <c r="E3203" s="225"/>
      <c r="F3203" s="225"/>
      <c r="G3203" s="225"/>
      <c r="H3203" s="227"/>
    </row>
    <row r="3204" spans="1:8" ht="18" x14ac:dyDescent="0.35">
      <c r="A3204" s="247"/>
      <c r="B3204" s="248"/>
      <c r="C3204" s="3"/>
      <c r="D3204" s="249"/>
      <c r="E3204" s="3"/>
      <c r="F3204" s="3"/>
      <c r="G3204" s="3"/>
      <c r="H3204" s="250"/>
    </row>
    <row r="3205" spans="1:8" ht="15.6" x14ac:dyDescent="0.3">
      <c r="A3205" s="251"/>
      <c r="B3205" s="100"/>
      <c r="C3205" s="100"/>
      <c r="D3205" s="252"/>
      <c r="E3205" s="100"/>
      <c r="F3205" s="100"/>
      <c r="G3205" s="100"/>
    </row>
    <row r="3206" spans="1:8" ht="15.6" x14ac:dyDescent="0.3">
      <c r="A3206" s="251"/>
      <c r="B3206" s="100"/>
      <c r="C3206" s="100"/>
      <c r="D3206" s="252"/>
      <c r="E3206" s="100"/>
      <c r="F3206" s="100"/>
      <c r="G3206" s="100"/>
    </row>
  </sheetData>
  <printOptions gridLines="1"/>
  <pageMargins left="0.70866141732283505" right="0.70866141732283505" top="0.74803149606299202" bottom="0.74803149606299202" header="0.31496062992126" footer="0.31496062992126"/>
  <pageSetup paperSize="9" orientation="landscape" horizontalDpi="4294967295" verticalDpi="4294967295" r:id="rId1"/>
  <headerFooter>
    <oddHeader>&amp;LMUTARE CITY COUNCIL VALUATION ROLL 2017</oddHeader>
    <oddFooter>&amp;CPage &amp;P of &amp;N&amp;RHEAVY INDUSTRY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828"/>
  <sheetViews>
    <sheetView topLeftCell="A460" workbookViewId="0">
      <pane ySplit="2016" topLeftCell="A596" activePane="bottomLeft"/>
      <selection pane="bottomLeft" activeCell="F615" sqref="F615"/>
    </sheetView>
  </sheetViews>
  <sheetFormatPr defaultRowHeight="14.4" x14ac:dyDescent="0.3"/>
  <cols>
    <col min="1" max="1" width="5.21875" style="12" customWidth="1"/>
    <col min="2" max="2" width="14.5546875" style="12" customWidth="1"/>
    <col min="3" max="3" width="14.5546875" style="328" customWidth="1"/>
    <col min="4" max="4" width="17.88671875" customWidth="1"/>
    <col min="5" max="5" width="20.6640625" customWidth="1"/>
    <col min="6" max="7" width="14.5546875" customWidth="1"/>
    <col min="8" max="8" width="10.21875" customWidth="1"/>
    <col min="9" max="9" width="13.33203125" style="336" customWidth="1"/>
    <col min="10" max="10" width="14.88671875" style="336" customWidth="1"/>
    <col min="11" max="11" width="12.21875" style="21" customWidth="1"/>
    <col min="12" max="12" width="11.109375" customWidth="1"/>
  </cols>
  <sheetData>
    <row r="2" spans="1:12" ht="15.6" x14ac:dyDescent="0.3">
      <c r="A2" s="15"/>
      <c r="B2" s="17" t="s">
        <v>1068</v>
      </c>
      <c r="C2" s="316"/>
      <c r="D2" s="16"/>
      <c r="F2" s="17"/>
      <c r="G2" s="17"/>
      <c r="H2" s="18"/>
      <c r="I2" s="329"/>
      <c r="J2" s="329"/>
      <c r="K2" s="19"/>
      <c r="L2" t="s">
        <v>1068</v>
      </c>
    </row>
    <row r="3" spans="1:12" ht="15.6" x14ac:dyDescent="0.3">
      <c r="B3" s="10"/>
      <c r="C3" s="317"/>
      <c r="D3" s="4"/>
      <c r="E3" s="5"/>
      <c r="F3" s="5"/>
      <c r="G3" s="5"/>
      <c r="H3" s="6"/>
      <c r="I3" s="330"/>
      <c r="J3" s="330"/>
      <c r="K3" s="20"/>
    </row>
    <row r="4" spans="1:12" ht="16.2" thickBot="1" x14ac:dyDescent="0.35">
      <c r="B4" s="11"/>
      <c r="C4" s="321"/>
      <c r="D4" s="7"/>
      <c r="E4" s="5"/>
      <c r="F4" s="5"/>
      <c r="G4" s="5"/>
      <c r="H4" s="6"/>
      <c r="I4" s="330"/>
      <c r="J4" s="330"/>
      <c r="K4" s="20"/>
    </row>
    <row r="5" spans="1:12" ht="63" thickTop="1" x14ac:dyDescent="0.3">
      <c r="A5" s="257" t="s">
        <v>1059</v>
      </c>
      <c r="B5" s="258" t="s">
        <v>1060</v>
      </c>
      <c r="C5" s="318" t="s">
        <v>1993</v>
      </c>
      <c r="D5" s="258" t="s">
        <v>1061</v>
      </c>
      <c r="E5" s="258" t="s">
        <v>1062</v>
      </c>
      <c r="F5" s="258" t="s">
        <v>1063</v>
      </c>
      <c r="G5" s="258" t="s">
        <v>1064</v>
      </c>
      <c r="H5" s="259" t="s">
        <v>1065</v>
      </c>
      <c r="I5" s="260" t="s">
        <v>1066</v>
      </c>
      <c r="J5" s="260" t="s">
        <v>1067</v>
      </c>
      <c r="K5" s="261" t="s">
        <v>1927</v>
      </c>
      <c r="L5" t="s">
        <v>1060</v>
      </c>
    </row>
    <row r="6" spans="1:12" x14ac:dyDescent="0.3">
      <c r="A6" s="262"/>
      <c r="B6" s="262"/>
      <c r="C6" s="322"/>
      <c r="D6" s="263"/>
      <c r="E6" s="263"/>
      <c r="F6" s="263"/>
      <c r="G6" s="264"/>
      <c r="H6" s="263"/>
      <c r="I6" s="331"/>
      <c r="J6" s="331"/>
      <c r="K6" s="265"/>
    </row>
    <row r="7" spans="1:12" ht="28.8" x14ac:dyDescent="0.3">
      <c r="A7" s="266">
        <v>1</v>
      </c>
      <c r="B7" s="266" t="str">
        <f>'MERGED HEAVY IND'!B8</f>
        <v xml:space="preserve">508A </v>
      </c>
      <c r="C7" s="323">
        <v>23006702</v>
      </c>
      <c r="D7" s="267" t="str">
        <f>'MERGED HEAVY IND'!E8</f>
        <v>CARS (PVT) LTD</v>
      </c>
      <c r="E7" s="268" t="str">
        <f>'MERGED HEAVY IND'!C8</f>
        <v>9 - 11 GLASSGOW RD       MUNENI</v>
      </c>
      <c r="F7" s="268" t="s">
        <v>1928</v>
      </c>
      <c r="G7" s="268" t="s">
        <v>1252</v>
      </c>
      <c r="H7" s="269">
        <f>'MERGED HEAVY IND'!D15</f>
        <v>21040</v>
      </c>
      <c r="I7" s="332">
        <f>'MERGED HEAVY IND'!H15</f>
        <v>181600</v>
      </c>
      <c r="J7" s="332">
        <f>'MERGED HEAVY IND'!H14</f>
        <v>68599.662500000006</v>
      </c>
      <c r="K7" s="270">
        <f>'MERGED HEAVY IND'!H16</f>
        <v>250199.66250000001</v>
      </c>
      <c r="L7" t="s">
        <v>714</v>
      </c>
    </row>
    <row r="8" spans="1:12" x14ac:dyDescent="0.3">
      <c r="A8" s="266"/>
      <c r="B8" s="266"/>
      <c r="C8" s="323"/>
      <c r="D8" s="268"/>
      <c r="E8" s="268"/>
      <c r="F8" s="268"/>
      <c r="G8" s="268"/>
      <c r="H8" s="271"/>
      <c r="I8" s="332"/>
      <c r="J8" s="332"/>
      <c r="K8" s="270"/>
    </row>
    <row r="9" spans="1:12" ht="28.8" x14ac:dyDescent="0.3">
      <c r="A9" s="266">
        <f>A7+1</f>
        <v>2</v>
      </c>
      <c r="B9" s="266" t="str">
        <f>'MERGED HEAVY IND'!B18</f>
        <v xml:space="preserve">512A </v>
      </c>
      <c r="C9" s="323">
        <v>23006301</v>
      </c>
      <c r="D9" s="268" t="str">
        <f>'MERGED HEAVY IND'!F18</f>
        <v>NATIONAL FOODS DEPOT</v>
      </c>
      <c r="E9" s="268" t="str">
        <f>'MERGED HEAVY IND'!C18</f>
        <v>1, 5 and 7 GLASSGOW RD MUNENI</v>
      </c>
      <c r="F9" s="268" t="s">
        <v>1928</v>
      </c>
      <c r="G9" s="268" t="s">
        <v>1251</v>
      </c>
      <c r="H9" s="271">
        <f>'MERGED HEAVY IND'!D39</f>
        <v>12586</v>
      </c>
      <c r="I9" s="332">
        <f>'MERGED HEAVY IND'!H39</f>
        <v>95516</v>
      </c>
      <c r="J9" s="332">
        <f>'MERGED HEAVY IND'!H38</f>
        <v>1825957.1249999998</v>
      </c>
      <c r="K9" s="270">
        <f>'MERGED HEAVY IND'!H40</f>
        <v>1921473.1249999998</v>
      </c>
      <c r="L9" t="s">
        <v>717</v>
      </c>
    </row>
    <row r="10" spans="1:12" x14ac:dyDescent="0.3">
      <c r="A10" s="266"/>
      <c r="B10" s="266"/>
      <c r="C10" s="323"/>
      <c r="D10" s="268"/>
      <c r="E10" s="268"/>
      <c r="F10" s="268"/>
      <c r="G10" s="268"/>
      <c r="H10" s="271"/>
      <c r="I10" s="332"/>
      <c r="J10" s="332"/>
      <c r="K10" s="270"/>
    </row>
    <row r="11" spans="1:12" x14ac:dyDescent="0.3">
      <c r="A11" s="266">
        <f>A9+1</f>
        <v>3</v>
      </c>
      <c r="B11" s="266">
        <f>'MERGED HEAVY IND'!B42</f>
        <v>515</v>
      </c>
      <c r="C11" s="323">
        <v>23003900</v>
      </c>
      <c r="D11" s="268" t="str">
        <f>'MERGED HEAVY IND'!E42</f>
        <v>CALTEX OIL ZIM</v>
      </c>
      <c r="E11" s="268" t="str">
        <f>'MERGED HEAVY IND'!C42</f>
        <v>6 NEWCASTLE ROAD</v>
      </c>
      <c r="F11" s="268" t="s">
        <v>1928</v>
      </c>
      <c r="G11" s="268" t="s">
        <v>1254</v>
      </c>
      <c r="H11" s="271">
        <f>'MERGED HEAVY IND'!D54</f>
        <v>13036</v>
      </c>
      <c r="I11" s="332">
        <f>'MERGED HEAVY IND'!H54</f>
        <v>98216</v>
      </c>
      <c r="J11" s="332">
        <f>'MERGED HEAVY IND'!H53</f>
        <v>206577.5</v>
      </c>
      <c r="K11" s="270">
        <f>'MERGED HEAVY IND'!H55</f>
        <v>304793.5</v>
      </c>
      <c r="L11">
        <v>515</v>
      </c>
    </row>
    <row r="12" spans="1:12" x14ac:dyDescent="0.3">
      <c r="A12" s="266"/>
      <c r="B12" s="266"/>
      <c r="C12" s="323"/>
      <c r="D12" s="268"/>
      <c r="E12" s="268"/>
      <c r="F12" s="268"/>
      <c r="G12" s="268"/>
      <c r="H12" s="271"/>
      <c r="I12" s="332"/>
      <c r="J12" s="332"/>
      <c r="K12" s="270"/>
    </row>
    <row r="13" spans="1:12" ht="28.8" x14ac:dyDescent="0.3">
      <c r="A13" s="266">
        <v>4</v>
      </c>
      <c r="B13" s="272">
        <f>'MERGED HEAVY IND'!B57</f>
        <v>516</v>
      </c>
      <c r="C13" s="323">
        <v>23003600</v>
      </c>
      <c r="D13" s="268" t="str">
        <f>'MERGED HEAVY IND'!E57</f>
        <v>TOTAL ZIMBABWE  ( MOBILE)</v>
      </c>
      <c r="E13" s="268" t="str">
        <f>'MERGED HEAVY IND'!C57</f>
        <v>8 NEW CASTLE ROAD</v>
      </c>
      <c r="F13" s="268" t="s">
        <v>1928</v>
      </c>
      <c r="G13" s="268" t="s">
        <v>1254</v>
      </c>
      <c r="H13" s="271">
        <f>'MERGED HEAVY IND'!D71</f>
        <v>15100</v>
      </c>
      <c r="I13" s="332">
        <f>'MERGED HEAVY IND'!H71</f>
        <v>110600</v>
      </c>
      <c r="J13" s="332">
        <f>'MERGED HEAVY IND'!H70</f>
        <v>45928.000000000007</v>
      </c>
      <c r="K13" s="270">
        <f>'MERGED HEAVY IND'!H72</f>
        <v>156528</v>
      </c>
      <c r="L13" s="340">
        <v>516</v>
      </c>
    </row>
    <row r="14" spans="1:12" x14ac:dyDescent="0.3">
      <c r="A14" s="266"/>
      <c r="B14" s="266"/>
      <c r="C14" s="323"/>
      <c r="D14" s="268"/>
      <c r="E14" s="268"/>
      <c r="F14" s="268"/>
      <c r="G14" s="268"/>
      <c r="H14" s="271"/>
      <c r="I14" s="332"/>
      <c r="J14" s="332"/>
      <c r="K14" s="270"/>
    </row>
    <row r="15" spans="1:12" ht="28.8" x14ac:dyDescent="0.3">
      <c r="A15" s="266">
        <v>5</v>
      </c>
      <c r="B15" s="272" t="str">
        <f>'MERGED HEAVY IND'!B74</f>
        <v>517 &amp;518</v>
      </c>
      <c r="C15" s="323">
        <v>23030300</v>
      </c>
      <c r="D15" s="268" t="str">
        <f>'MERGED HEAVY IND'!E74</f>
        <v>ZUVA PETROLLEUM</v>
      </c>
      <c r="E15" s="268" t="str">
        <f>'MERGED HEAVY IND'!C74</f>
        <v>10 &amp; 12 NEW CASTLE ROAD</v>
      </c>
      <c r="F15" s="268" t="s">
        <v>1928</v>
      </c>
      <c r="G15" s="268" t="s">
        <v>1254</v>
      </c>
      <c r="H15" s="271">
        <f>'MERGED HEAVY IND'!D93</f>
        <v>30200</v>
      </c>
      <c r="I15" s="332">
        <f>'MERGED HEAVY IND'!H93</f>
        <v>180400</v>
      </c>
      <c r="J15" s="332">
        <f>'MERGED HEAVY IND'!H92</f>
        <v>430994.04</v>
      </c>
      <c r="K15" s="270">
        <f>'MERGED HEAVY IND'!H94</f>
        <v>611394.04</v>
      </c>
      <c r="L15" s="340" t="s">
        <v>1079</v>
      </c>
    </row>
    <row r="16" spans="1:12" x14ac:dyDescent="0.3">
      <c r="A16" s="266"/>
      <c r="B16" s="266"/>
      <c r="C16" s="323"/>
      <c r="D16" s="268"/>
      <c r="E16" s="268"/>
      <c r="F16" s="268"/>
      <c r="G16" s="268"/>
      <c r="H16" s="271"/>
      <c r="I16" s="332"/>
      <c r="J16" s="332"/>
      <c r="K16" s="270"/>
    </row>
    <row r="17" spans="1:12" ht="28.8" x14ac:dyDescent="0.3">
      <c r="A17" s="266">
        <v>6</v>
      </c>
      <c r="B17" s="273" t="str">
        <f>'MERGED HEAVY IND'!B96</f>
        <v>519 &amp; 520</v>
      </c>
      <c r="C17" s="324">
        <v>23003000</v>
      </c>
      <c r="D17" s="274" t="str">
        <f>'MERGED HEAVY IND'!E96</f>
        <v>BLUE RIBBON FOODS</v>
      </c>
      <c r="E17" s="274" t="str">
        <f>'MERGED HEAVY IND'!C96</f>
        <v>14 &amp; 16 NEW CASTLE ROAD</v>
      </c>
      <c r="F17" s="268" t="s">
        <v>1928</v>
      </c>
      <c r="G17" s="274" t="s">
        <v>1255</v>
      </c>
      <c r="H17" s="275">
        <f>'MERGED HEAVY IND'!D112</f>
        <v>20150</v>
      </c>
      <c r="I17" s="333">
        <f>'MERGED HEAVY IND'!H112</f>
        <v>140600</v>
      </c>
      <c r="J17" s="333">
        <f>'MERGED HEAVY IND'!H111</f>
        <v>1269193.99</v>
      </c>
      <c r="K17" s="276">
        <f>'MERGED HEAVY IND'!H113</f>
        <v>1409793.99</v>
      </c>
      <c r="L17" s="340" t="s">
        <v>1071</v>
      </c>
    </row>
    <row r="18" spans="1:12" x14ac:dyDescent="0.3">
      <c r="A18" s="266"/>
      <c r="B18" s="266"/>
      <c r="C18" s="323"/>
      <c r="D18" s="268"/>
      <c r="E18" s="268"/>
      <c r="F18" s="268"/>
      <c r="G18" s="268"/>
      <c r="H18" s="271"/>
      <c r="I18" s="332"/>
      <c r="J18" s="332"/>
      <c r="K18" s="270"/>
    </row>
    <row r="19" spans="1:12" ht="28.8" x14ac:dyDescent="0.3">
      <c r="A19" s="266">
        <v>7</v>
      </c>
      <c r="B19" s="266">
        <f>'MERGED HEAVY IND'!B115</f>
        <v>737</v>
      </c>
      <c r="C19" s="323">
        <v>23030600</v>
      </c>
      <c r="D19" s="268" t="str">
        <f>'MERGED HEAVY IND'!F115</f>
        <v>QUEST MOTORS</v>
      </c>
      <c r="E19" s="268" t="str">
        <f>'MERGED HEAVY IND'!C115</f>
        <v>13 GLASSGOW RD MUNENI</v>
      </c>
      <c r="F19" s="268" t="s">
        <v>1928</v>
      </c>
      <c r="G19" s="268" t="s">
        <v>1256</v>
      </c>
      <c r="H19" s="271">
        <f>'MERGED HEAVY IND'!D125</f>
        <v>12464</v>
      </c>
      <c r="I19" s="332">
        <f>'MERGED HEAVY IND'!H125</f>
        <v>99712</v>
      </c>
      <c r="J19" s="332">
        <f>'MERGED HEAVY IND'!H124</f>
        <v>252234.96249999997</v>
      </c>
      <c r="K19" s="270">
        <f>'MERGED HEAVY IND'!H126</f>
        <v>351946.96249999997</v>
      </c>
      <c r="L19">
        <v>737</v>
      </c>
    </row>
    <row r="20" spans="1:12" x14ac:dyDescent="0.3">
      <c r="A20" s="266"/>
      <c r="B20" s="266"/>
      <c r="C20" s="323"/>
      <c r="D20" s="268"/>
      <c r="E20" s="268"/>
      <c r="F20" s="268"/>
      <c r="G20" s="268"/>
      <c r="H20" s="271"/>
      <c r="I20" s="332"/>
      <c r="J20" s="332"/>
      <c r="K20" s="270"/>
    </row>
    <row r="21" spans="1:12" ht="28.8" x14ac:dyDescent="0.3">
      <c r="A21" s="266">
        <v>8</v>
      </c>
      <c r="B21" s="266">
        <f>'MERGED HEAVY IND'!B128</f>
        <v>738</v>
      </c>
      <c r="C21" s="323">
        <v>23030600</v>
      </c>
      <c r="D21" s="268" t="str">
        <f>'MERGED HEAVY IND'!F128</f>
        <v>QUEST MOTORS</v>
      </c>
      <c r="E21" s="268" t="str">
        <f>'MERGED HEAVY IND'!C128</f>
        <v>15 GLASSGOW RD MUNENI</v>
      </c>
      <c r="F21" s="268" t="s">
        <v>1928</v>
      </c>
      <c r="G21" s="268" t="s">
        <v>1256</v>
      </c>
      <c r="H21" s="271">
        <f>'MERGED HEAVY IND'!D137</f>
        <v>12384</v>
      </c>
      <c r="I21" s="332">
        <f>'MERGED HEAVY IND'!H137</f>
        <v>94304</v>
      </c>
      <c r="J21" s="332">
        <f>'MERGED HEAVY IND'!H136</f>
        <v>25951.035</v>
      </c>
      <c r="K21" s="270">
        <f>'MERGED HEAVY IND'!H138</f>
        <v>120255.035</v>
      </c>
      <c r="L21">
        <v>738</v>
      </c>
    </row>
    <row r="22" spans="1:12" x14ac:dyDescent="0.3">
      <c r="A22" s="266"/>
      <c r="B22" s="266"/>
      <c r="C22" s="323"/>
      <c r="D22" s="268"/>
      <c r="E22" s="268"/>
      <c r="F22" s="268"/>
      <c r="G22" s="268"/>
      <c r="H22" s="271"/>
      <c r="I22" s="332"/>
      <c r="J22" s="332"/>
      <c r="K22" s="270"/>
    </row>
    <row r="23" spans="1:12" ht="28.8" x14ac:dyDescent="0.3">
      <c r="A23" s="266">
        <v>9</v>
      </c>
      <c r="B23" s="266" t="str">
        <f>'MERGED HEAVY IND'!B139</f>
        <v>739A</v>
      </c>
      <c r="C23" s="323">
        <v>23030700</v>
      </c>
      <c r="D23" s="268" t="str">
        <f>'MERGED HEAVY IND'!F139</f>
        <v>BORDER TIMBERS</v>
      </c>
      <c r="E23" s="268" t="str">
        <f>'MERGED HEAVY IND'!C139</f>
        <v>3 GLASSGOW RD MUNENI</v>
      </c>
      <c r="F23" s="268" t="s">
        <v>1928</v>
      </c>
      <c r="G23" s="268" t="s">
        <v>1257</v>
      </c>
      <c r="H23" s="271">
        <f>'MERGED HEAVY IND'!D170</f>
        <v>28412</v>
      </c>
      <c r="I23" s="332">
        <f>'MERGED HEAVY IND'!H170</f>
        <v>190472</v>
      </c>
      <c r="J23" s="332">
        <f>'MERGED HEAVY IND'!H169</f>
        <v>3067750.2600000002</v>
      </c>
      <c r="K23" s="270">
        <f>'MERGED HEAVY IND'!H171</f>
        <v>3258222.2600000002</v>
      </c>
      <c r="L23" t="s">
        <v>741</v>
      </c>
    </row>
    <row r="24" spans="1:12" x14ac:dyDescent="0.3">
      <c r="A24" s="266"/>
      <c r="B24" s="266"/>
      <c r="C24" s="323"/>
      <c r="D24" s="268"/>
      <c r="E24" s="268"/>
      <c r="F24" s="268"/>
      <c r="G24" s="268"/>
      <c r="H24" s="271"/>
      <c r="I24" s="332"/>
      <c r="J24" s="332"/>
      <c r="K24" s="270"/>
    </row>
    <row r="25" spans="1:12" x14ac:dyDescent="0.3">
      <c r="A25" s="266">
        <v>10</v>
      </c>
      <c r="B25" s="266" t="str">
        <f>'MERGED HEAVY IND'!B173</f>
        <v>745B</v>
      </c>
      <c r="C25" s="323">
        <v>23004200</v>
      </c>
      <c r="D25" s="268" t="str">
        <f>'MERGED HEAVY IND'!F173</f>
        <v>PG INDUSTRIES</v>
      </c>
      <c r="E25" s="268" t="str">
        <f>'MERGED HEAVY IND'!C173</f>
        <v>7 VUMBA ROAD</v>
      </c>
      <c r="F25" s="268" t="s">
        <v>1928</v>
      </c>
      <c r="G25" s="268" t="s">
        <v>1258</v>
      </c>
      <c r="H25" s="271">
        <f>'MERGED HEAVY IND'!D182</f>
        <v>14996</v>
      </c>
      <c r="I25" s="332">
        <f>'MERGED HEAVY IND'!H182</f>
        <v>109976</v>
      </c>
      <c r="J25" s="332">
        <f>'MERGED HEAVY IND'!H181</f>
        <v>523345.38</v>
      </c>
      <c r="K25" s="270">
        <f>'MERGED HEAVY IND'!H183</f>
        <v>633321.38</v>
      </c>
      <c r="L25" t="s">
        <v>756</v>
      </c>
    </row>
    <row r="26" spans="1:12" x14ac:dyDescent="0.3">
      <c r="A26" s="266"/>
      <c r="B26" s="266"/>
      <c r="C26" s="323"/>
      <c r="D26" s="268"/>
      <c r="E26" s="268"/>
      <c r="F26" s="268"/>
      <c r="G26" s="268"/>
      <c r="H26" s="271"/>
      <c r="I26" s="332"/>
      <c r="J26" s="332"/>
      <c r="K26" s="270"/>
    </row>
    <row r="27" spans="1:12" x14ac:dyDescent="0.3">
      <c r="A27" s="266">
        <v>11</v>
      </c>
      <c r="B27" s="266" t="str">
        <f>'MERGED HEAVY IND'!B184</f>
        <v>S/D  OF 745</v>
      </c>
      <c r="C27" s="323"/>
      <c r="D27" s="267" t="str">
        <f>'MERGED HEAVY IND'!E184</f>
        <v>CITY OF MUTARE</v>
      </c>
      <c r="E27" s="267" t="str">
        <f>'MERGED HEAVY IND'!C184</f>
        <v>VUMBA ROAD</v>
      </c>
      <c r="F27" s="268" t="s">
        <v>1928</v>
      </c>
      <c r="G27" s="268" t="s">
        <v>1252</v>
      </c>
      <c r="H27" s="271">
        <f>'MERGED HEAVY IND'!D193</f>
        <v>14996</v>
      </c>
      <c r="I27" s="332">
        <f>'MERGED HEAVY IND'!H193</f>
        <v>109976</v>
      </c>
      <c r="J27" s="332">
        <f>'MERGED HEAVY IND'!H192</f>
        <v>120117.45000000001</v>
      </c>
      <c r="K27" s="270">
        <f>'MERGED HEAVY IND'!H194</f>
        <v>230093.45</v>
      </c>
      <c r="L27" t="s">
        <v>761</v>
      </c>
    </row>
    <row r="28" spans="1:12" x14ac:dyDescent="0.3">
      <c r="A28" s="266"/>
      <c r="B28" s="266"/>
      <c r="C28" s="323"/>
      <c r="D28" s="268"/>
      <c r="E28" s="268"/>
      <c r="F28" s="268"/>
      <c r="G28" s="268"/>
      <c r="H28" s="271"/>
      <c r="I28" s="332"/>
      <c r="J28" s="332"/>
      <c r="K28" s="270"/>
    </row>
    <row r="29" spans="1:12" ht="28.8" x14ac:dyDescent="0.3">
      <c r="A29" s="266">
        <v>12</v>
      </c>
      <c r="B29" s="272">
        <f>'MERGED HEAVY IND'!B196</f>
        <v>747</v>
      </c>
      <c r="C29" s="323">
        <v>23030800</v>
      </c>
      <c r="D29" s="268" t="str">
        <f>'MERGED HEAVY IND'!E196</f>
        <v>HALSTED BROTHERS (EAST) PVT LTD</v>
      </c>
      <c r="E29" s="268" t="str">
        <f>'MERGED HEAVY IND'!C196</f>
        <v>22 &amp; 24 NEW CASTLE ROAD</v>
      </c>
      <c r="F29" s="268" t="s">
        <v>1928</v>
      </c>
      <c r="G29" s="268" t="s">
        <v>1258</v>
      </c>
      <c r="H29" s="271">
        <f>'MERGED HEAVY IND'!D206</f>
        <v>32661</v>
      </c>
      <c r="I29" s="332">
        <f>'MERGED HEAVY IND'!H206</f>
        <v>180665.25</v>
      </c>
      <c r="J29" s="332">
        <f>'MERGED HEAVY IND'!H205</f>
        <v>1190881.03</v>
      </c>
      <c r="K29" s="270">
        <f>'MERGED HEAVY IND'!H207</f>
        <v>1371546.28</v>
      </c>
      <c r="L29" s="340">
        <v>747</v>
      </c>
    </row>
    <row r="30" spans="1:12" x14ac:dyDescent="0.3">
      <c r="A30" s="266"/>
      <c r="B30" s="266"/>
      <c r="C30" s="323"/>
      <c r="D30" s="268"/>
      <c r="E30" s="268"/>
      <c r="F30" s="268"/>
      <c r="G30" s="268"/>
      <c r="H30" s="271"/>
      <c r="I30" s="332"/>
      <c r="J30" s="332"/>
      <c r="K30" s="270"/>
    </row>
    <row r="31" spans="1:12" x14ac:dyDescent="0.3">
      <c r="A31" s="266">
        <v>13</v>
      </c>
      <c r="B31" s="272">
        <f>'MERGED HEAVY IND'!B208</f>
        <v>749</v>
      </c>
      <c r="C31" s="323">
        <v>23030900</v>
      </c>
      <c r="D31" s="268" t="str">
        <f>'MERGED HEAVY IND'!E208</f>
        <v>TOTAL ZIMBABWE</v>
      </c>
      <c r="E31" s="268" t="str">
        <f>'MERGED HEAVY IND'!C208</f>
        <v xml:space="preserve">20 NEW CASTLE ROAD  </v>
      </c>
      <c r="F31" s="268" t="s">
        <v>1928</v>
      </c>
      <c r="G31" s="268" t="s">
        <v>1254</v>
      </c>
      <c r="H31" s="271">
        <f>'MERGED HEAVY IND'!D219</f>
        <v>13945</v>
      </c>
      <c r="I31" s="332">
        <f>'MERGED HEAVY IND'!H219</f>
        <v>103670</v>
      </c>
      <c r="J31" s="332">
        <f>'MERGED HEAVY IND'!H218</f>
        <v>522678</v>
      </c>
      <c r="K31" s="270">
        <f>'MERGED HEAVY IND'!H220</f>
        <v>626348</v>
      </c>
      <c r="L31" s="340">
        <v>749</v>
      </c>
    </row>
    <row r="32" spans="1:12" x14ac:dyDescent="0.3">
      <c r="A32" s="266"/>
      <c r="B32" s="266"/>
      <c r="C32" s="323"/>
      <c r="D32" s="268"/>
      <c r="E32" s="268"/>
      <c r="F32" s="268"/>
      <c r="G32" s="268"/>
      <c r="H32" s="271"/>
      <c r="I32" s="332"/>
      <c r="J32" s="332"/>
      <c r="K32" s="270"/>
    </row>
    <row r="33" spans="1:12" ht="43.2" x14ac:dyDescent="0.3">
      <c r="A33" s="266">
        <v>14</v>
      </c>
      <c r="B33" s="272">
        <f>'MERGED HEAVY IND'!B221</f>
        <v>750</v>
      </c>
      <c r="C33" s="323">
        <v>23005000</v>
      </c>
      <c r="D33" s="268" t="str">
        <f>'MERGED HEAVY IND'!E221</f>
        <v>DEVCHANDS ENTERPRISES PVT LTD</v>
      </c>
      <c r="E33" s="268" t="str">
        <f>'MERGED HEAVY IND'!C221</f>
        <v>18 NEW CASTLE ROAD</v>
      </c>
      <c r="F33" s="268" t="s">
        <v>1928</v>
      </c>
      <c r="G33" s="268" t="s">
        <v>1260</v>
      </c>
      <c r="H33" s="271">
        <f>'MERGED HEAVY IND'!D231</f>
        <v>10975</v>
      </c>
      <c r="I33" s="332">
        <f>'MERGED HEAVY IND'!H231</f>
        <v>85850</v>
      </c>
      <c r="J33" s="332">
        <f>'MERGED HEAVY IND'!H230</f>
        <v>443472.39999999997</v>
      </c>
      <c r="K33" s="270">
        <f>'MERGED HEAVY IND'!H232</f>
        <v>529322.39999999991</v>
      </c>
      <c r="L33" s="340">
        <v>750</v>
      </c>
    </row>
    <row r="34" spans="1:12" x14ac:dyDescent="0.3">
      <c r="A34" s="266"/>
      <c r="B34" s="266"/>
      <c r="C34" s="323"/>
      <c r="D34" s="268"/>
      <c r="E34" s="268"/>
      <c r="F34" s="268"/>
      <c r="G34" s="268"/>
      <c r="H34" s="271"/>
      <c r="I34" s="332"/>
      <c r="J34" s="332"/>
      <c r="K34" s="270"/>
    </row>
    <row r="35" spans="1:12" ht="28.8" x14ac:dyDescent="0.3">
      <c r="A35" s="266">
        <v>15</v>
      </c>
      <c r="B35" s="277">
        <v>5067</v>
      </c>
      <c r="C35" s="319">
        <v>23009100</v>
      </c>
      <c r="D35" s="268" t="str">
        <f>'MERGED HEAVY IND'!E234</f>
        <v>E.C MEIKLES PVT LTD</v>
      </c>
      <c r="E35" s="268" t="str">
        <f>'MERGED HEAVY IND'!C234</f>
        <v>4 CARDIFF</v>
      </c>
      <c r="F35" s="268" t="s">
        <v>1928</v>
      </c>
      <c r="G35" s="268" t="s">
        <v>1252</v>
      </c>
      <c r="H35" s="271">
        <f>'MERGED HEAVY IND'!D244</f>
        <v>12978</v>
      </c>
      <c r="I35" s="332">
        <f>'MERGED HEAVY IND'!H244</f>
        <v>97868</v>
      </c>
      <c r="J35" s="332">
        <f>'MERGED HEAVY IND'!H243</f>
        <v>81196</v>
      </c>
      <c r="K35" s="270">
        <f>'MERGED HEAVY IND'!H245</f>
        <v>179064</v>
      </c>
      <c r="L35">
        <v>5067</v>
      </c>
    </row>
    <row r="36" spans="1:12" x14ac:dyDescent="0.3">
      <c r="A36" s="266"/>
      <c r="B36" s="277"/>
      <c r="C36" s="319"/>
      <c r="D36" s="268"/>
      <c r="E36" s="268"/>
      <c r="F36" s="268"/>
      <c r="G36" s="268"/>
      <c r="H36" s="271"/>
      <c r="I36" s="332"/>
      <c r="J36" s="332"/>
      <c r="K36" s="270"/>
    </row>
    <row r="37" spans="1:12" ht="28.8" x14ac:dyDescent="0.3">
      <c r="A37" s="266">
        <v>16</v>
      </c>
      <c r="B37" s="277">
        <v>5067</v>
      </c>
      <c r="C37" s="319">
        <v>23009100</v>
      </c>
      <c r="D37" s="268" t="str">
        <f>'MERGED HEAVY IND'!E247</f>
        <v>GREEN MOTOR SERVICES</v>
      </c>
      <c r="E37" s="268" t="str">
        <f>'MERGED HEAVY IND'!C247</f>
        <v>No 2-4 CARDIF ROAD</v>
      </c>
      <c r="F37" s="268" t="s">
        <v>1928</v>
      </c>
      <c r="G37" s="268" t="s">
        <v>1252</v>
      </c>
      <c r="H37" s="271">
        <f>'MERGED HEAVY IND'!D261</f>
        <v>12978</v>
      </c>
      <c r="I37" s="332">
        <f>'MERGED HEAVY IND'!H261</f>
        <v>97868</v>
      </c>
      <c r="J37" s="332">
        <f>'MERGED HEAVY IND'!H260</f>
        <v>1589881.5250000001</v>
      </c>
      <c r="K37" s="270">
        <f>'MERGED HEAVY IND'!H262</f>
        <v>1687749.5250000001</v>
      </c>
      <c r="L37">
        <v>5067</v>
      </c>
    </row>
    <row r="38" spans="1:12" x14ac:dyDescent="0.3">
      <c r="A38" s="266"/>
      <c r="B38" s="277"/>
      <c r="C38" s="319"/>
      <c r="D38" s="268"/>
      <c r="E38" s="268"/>
      <c r="F38" s="268"/>
      <c r="G38" s="268"/>
      <c r="H38" s="271"/>
      <c r="I38" s="332"/>
      <c r="J38" s="332"/>
      <c r="K38" s="270"/>
    </row>
    <row r="39" spans="1:12" ht="28.8" x14ac:dyDescent="0.3">
      <c r="A39" s="266">
        <v>17</v>
      </c>
      <c r="B39" s="277" t="str">
        <f>'MERGED HEAVY IND'!B264</f>
        <v>881/882</v>
      </c>
      <c r="C39" s="319">
        <v>23014700</v>
      </c>
      <c r="D39" s="268" t="str">
        <f>'MERGED HEAVY IND'!E264</f>
        <v>PILLARTON ENTERPRISES</v>
      </c>
      <c r="E39" s="268" t="str">
        <f>'MERGED HEAVY IND'!C264</f>
        <v>1-3 NEWCASTLE ROAD</v>
      </c>
      <c r="F39" s="268" t="s">
        <v>1928</v>
      </c>
      <c r="G39" s="268" t="s">
        <v>1261</v>
      </c>
      <c r="H39" s="271">
        <f>'MERGED HEAVY IND'!D274</f>
        <v>17137</v>
      </c>
      <c r="I39" s="332">
        <f>'MERGED HEAVY IND'!H274</f>
        <v>122822</v>
      </c>
      <c r="J39" s="332">
        <f>'MERGED HEAVY IND'!H273</f>
        <v>490031</v>
      </c>
      <c r="K39" s="270">
        <f>'MERGED HEAVY IND'!H275</f>
        <v>612853</v>
      </c>
      <c r="L39" t="s">
        <v>319</v>
      </c>
    </row>
    <row r="40" spans="1:12" x14ac:dyDescent="0.3">
      <c r="A40" s="266"/>
      <c r="B40" s="277"/>
      <c r="C40" s="319"/>
      <c r="D40" s="268"/>
      <c r="E40" s="268"/>
      <c r="F40" s="268"/>
      <c r="G40" s="268"/>
      <c r="H40" s="271"/>
      <c r="I40" s="332"/>
      <c r="J40" s="332"/>
      <c r="K40" s="270"/>
    </row>
    <row r="41" spans="1:12" x14ac:dyDescent="0.3">
      <c r="A41" s="266">
        <v>18</v>
      </c>
      <c r="B41" s="277">
        <f>'MERGED HEAVY IND'!B276</f>
        <v>883</v>
      </c>
      <c r="C41" s="319">
        <v>23003701</v>
      </c>
      <c r="D41" s="268" t="str">
        <f>'MERGED HEAVY IND'!E276</f>
        <v>P.O OLIVER P/L</v>
      </c>
      <c r="E41" s="268" t="str">
        <f>'MERGED HEAVY IND'!C276</f>
        <v>5 NEWCASTLE ROAD</v>
      </c>
      <c r="F41" s="268" t="s">
        <v>1928</v>
      </c>
      <c r="G41" s="268" t="s">
        <v>1252</v>
      </c>
      <c r="H41" s="271">
        <f>'MERGED HEAVY IND'!D284</f>
        <v>11180</v>
      </c>
      <c r="I41" s="332">
        <f>'MERGED HEAVY IND'!H284</f>
        <v>87080</v>
      </c>
      <c r="J41" s="332">
        <f>'MERGED HEAVY IND'!H283</f>
        <v>81317.500000000029</v>
      </c>
      <c r="K41" s="270">
        <f>'MERGED HEAVY IND'!H285</f>
        <v>168397.50000000003</v>
      </c>
      <c r="L41">
        <v>883</v>
      </c>
    </row>
    <row r="42" spans="1:12" x14ac:dyDescent="0.3">
      <c r="A42" s="266"/>
      <c r="B42" s="277"/>
      <c r="C42" s="319"/>
      <c r="D42" s="268"/>
      <c r="E42" s="268"/>
      <c r="F42" s="268"/>
      <c r="G42" s="268"/>
      <c r="H42" s="271"/>
      <c r="I42" s="332"/>
      <c r="J42" s="332"/>
      <c r="K42" s="270"/>
    </row>
    <row r="43" spans="1:12" ht="28.8" x14ac:dyDescent="0.3">
      <c r="A43" s="266">
        <v>19</v>
      </c>
      <c r="B43" s="277">
        <f>'MERGED HEAVY IND'!B286</f>
        <v>884</v>
      </c>
      <c r="C43" s="319">
        <v>23003300</v>
      </c>
      <c r="D43" s="268" t="str">
        <f>'MERGED HEAVY IND'!E286</f>
        <v>KERSM INVESTMENTS</v>
      </c>
      <c r="E43" s="268" t="str">
        <f>'MERGED HEAVY IND'!C286</f>
        <v>7 NEWCASTLE</v>
      </c>
      <c r="F43" s="268" t="s">
        <v>1928</v>
      </c>
      <c r="G43" s="268" t="s">
        <v>1252</v>
      </c>
      <c r="H43" s="271">
        <f>'MERGED HEAVY IND'!D305</f>
        <v>11911</v>
      </c>
      <c r="I43" s="332">
        <f>'MERGED HEAVY IND'!H305</f>
        <v>91466</v>
      </c>
      <c r="J43" s="332">
        <f>'MERGED HEAVY IND'!H304</f>
        <v>454178</v>
      </c>
      <c r="K43" s="270">
        <f>'MERGED HEAVY IND'!H306</f>
        <v>545644</v>
      </c>
      <c r="L43">
        <v>884</v>
      </c>
    </row>
    <row r="44" spans="1:12" x14ac:dyDescent="0.3">
      <c r="A44" s="266"/>
      <c r="B44" s="277"/>
      <c r="C44" s="319"/>
      <c r="D44" s="268"/>
      <c r="E44" s="268"/>
      <c r="F44" s="268"/>
      <c r="G44" s="268"/>
      <c r="H44" s="271"/>
      <c r="I44" s="332"/>
      <c r="J44" s="332"/>
      <c r="K44" s="270"/>
    </row>
    <row r="45" spans="1:12" x14ac:dyDescent="0.3">
      <c r="A45" s="266">
        <v>20</v>
      </c>
      <c r="B45" s="277" t="str">
        <f>'MERGED HEAVY IND'!B307</f>
        <v>REM OF 886</v>
      </c>
      <c r="C45" s="319">
        <v>23029700</v>
      </c>
      <c r="D45" s="268" t="str">
        <f>'MERGED HEAVY IND'!E307</f>
        <v>ZINWA</v>
      </c>
      <c r="E45" s="268" t="str">
        <f>'MERGED HEAVY IND'!C307</f>
        <v>11 NEWCASTLE ROAD</v>
      </c>
      <c r="F45" s="268" t="s">
        <v>1928</v>
      </c>
      <c r="G45" s="268" t="s">
        <v>1262</v>
      </c>
      <c r="H45" s="271">
        <f>'MERGED HEAVY IND'!D325</f>
        <v>9326</v>
      </c>
      <c r="I45" s="332">
        <f>'MERGED HEAVY IND'!H325</f>
        <v>74608</v>
      </c>
      <c r="J45" s="332">
        <f>'MERGED HEAVY IND'!H324</f>
        <v>162188.9</v>
      </c>
      <c r="K45" s="270">
        <f>'MERGED HEAVY IND'!H326</f>
        <v>236796.9</v>
      </c>
      <c r="L45" t="s">
        <v>349</v>
      </c>
    </row>
    <row r="46" spans="1:12" x14ac:dyDescent="0.3">
      <c r="A46" s="266"/>
      <c r="B46" s="277"/>
      <c r="C46" s="319"/>
      <c r="D46" s="268"/>
      <c r="E46" s="268"/>
      <c r="F46" s="268"/>
      <c r="G46" s="268"/>
      <c r="H46" s="271"/>
      <c r="I46" s="332"/>
      <c r="J46" s="332"/>
      <c r="K46" s="270"/>
    </row>
    <row r="47" spans="1:12" ht="28.8" x14ac:dyDescent="0.3">
      <c r="A47" s="266">
        <v>21</v>
      </c>
      <c r="B47" s="277">
        <v>885</v>
      </c>
      <c r="C47" s="319">
        <v>23029600</v>
      </c>
      <c r="D47" s="268" t="str">
        <f>'MERGED HEAVY IND'!E327</f>
        <v>MINISTRY OF LOCAL GOVERNMENT</v>
      </c>
      <c r="E47" s="268" t="str">
        <f>'MERGED HEAVY IND'!C327</f>
        <v xml:space="preserve">9 NEWCASTLE </v>
      </c>
      <c r="F47" s="268" t="s">
        <v>1928</v>
      </c>
      <c r="G47" s="268" t="s">
        <v>1263</v>
      </c>
      <c r="H47" s="271">
        <f>'MERGED HEAVY IND'!D344</f>
        <v>10757</v>
      </c>
      <c r="I47" s="332">
        <f>'MERGED HEAVY IND'!H344</f>
        <v>84542</v>
      </c>
      <c r="J47" s="332">
        <f>'MERGED HEAVY IND'!H343</f>
        <v>633015.15</v>
      </c>
      <c r="K47" s="270">
        <f>'MERGED HEAVY IND'!H345</f>
        <v>717557.15</v>
      </c>
      <c r="L47">
        <v>885</v>
      </c>
    </row>
    <row r="48" spans="1:12" x14ac:dyDescent="0.3">
      <c r="A48" s="266"/>
      <c r="B48" s="277"/>
      <c r="C48" s="319"/>
      <c r="D48" s="268"/>
      <c r="E48" s="268"/>
      <c r="F48" s="268"/>
      <c r="G48" s="268"/>
      <c r="H48" s="271"/>
      <c r="I48" s="332"/>
      <c r="J48" s="332"/>
      <c r="K48" s="270"/>
    </row>
    <row r="49" spans="1:12" ht="28.8" x14ac:dyDescent="0.3">
      <c r="A49" s="266">
        <v>22</v>
      </c>
      <c r="B49" s="277">
        <f>'MERGED HEAVY IND'!B347</f>
        <v>889</v>
      </c>
      <c r="C49" s="319">
        <v>23022800</v>
      </c>
      <c r="D49" s="268" t="str">
        <f>'MERGED HEAVY IND'!E347</f>
        <v>UNIFREIGHT AFRICA PVT LTD</v>
      </c>
      <c r="E49" s="268" t="str">
        <f>'MERGED HEAVY IND'!C347</f>
        <v>17 NEWCASTLE</v>
      </c>
      <c r="F49" s="268" t="s">
        <v>1928</v>
      </c>
      <c r="G49" s="268" t="s">
        <v>1264</v>
      </c>
      <c r="H49" s="271">
        <f>'MERGED HEAVY IND'!D361</f>
        <v>14973</v>
      </c>
      <c r="I49" s="332">
        <f>'MERGED HEAVY IND'!H361</f>
        <v>109838</v>
      </c>
      <c r="J49" s="332">
        <f>'MERGED HEAVY IND'!H360</f>
        <v>355568.34</v>
      </c>
      <c r="K49" s="270">
        <f>'MERGED HEAVY IND'!H362</f>
        <v>465406.34</v>
      </c>
      <c r="L49">
        <v>889</v>
      </c>
    </row>
    <row r="50" spans="1:12" x14ac:dyDescent="0.3">
      <c r="A50" s="266"/>
      <c r="B50" s="277"/>
      <c r="C50" s="319"/>
      <c r="D50" s="268"/>
      <c r="E50" s="268"/>
      <c r="F50" s="268"/>
      <c r="G50" s="268"/>
      <c r="H50" s="271"/>
      <c r="I50" s="332"/>
      <c r="J50" s="332"/>
      <c r="K50" s="270"/>
    </row>
    <row r="51" spans="1:12" ht="28.8" x14ac:dyDescent="0.3">
      <c r="A51" s="266">
        <v>23</v>
      </c>
      <c r="B51" s="277">
        <f>'MERGED HEAVY IND'!B363</f>
        <v>890</v>
      </c>
      <c r="C51" s="319">
        <v>23004902</v>
      </c>
      <c r="D51" s="268" t="str">
        <f>'MERGED HEAVY IND'!E363</f>
        <v>EXNEW ENTERPRISES</v>
      </c>
      <c r="E51" s="268" t="str">
        <f>'MERGED HEAVY IND'!C363</f>
        <v>19 NEWCASTLE ROAD</v>
      </c>
      <c r="F51" s="268" t="s">
        <v>1928</v>
      </c>
      <c r="G51" s="268" t="s">
        <v>1261</v>
      </c>
      <c r="H51" s="271">
        <f>'MERGED HEAVY IND'!D376</f>
        <v>12424</v>
      </c>
      <c r="I51" s="332">
        <f>'MERGED HEAVY IND'!H376</f>
        <v>94544</v>
      </c>
      <c r="J51" s="332">
        <f>'MERGED HEAVY IND'!H375</f>
        <v>285781</v>
      </c>
      <c r="K51" s="270">
        <f>'MERGED HEAVY IND'!H377</f>
        <v>380325</v>
      </c>
      <c r="L51">
        <v>890</v>
      </c>
    </row>
    <row r="52" spans="1:12" x14ac:dyDescent="0.3">
      <c r="A52" s="266"/>
      <c r="B52" s="277"/>
      <c r="C52" s="319"/>
      <c r="D52" s="268"/>
      <c r="E52" s="268"/>
      <c r="F52" s="268"/>
      <c r="G52" s="268"/>
      <c r="H52" s="271"/>
      <c r="I52" s="332"/>
      <c r="J52" s="332"/>
      <c r="K52" s="270"/>
    </row>
    <row r="53" spans="1:12" ht="28.8" x14ac:dyDescent="0.3">
      <c r="A53" s="266">
        <v>24</v>
      </c>
      <c r="B53" s="278" t="str">
        <f>'MERGED HEAVY IND'!B379</f>
        <v>REMAINDER OF 891 C</v>
      </c>
      <c r="C53" s="319">
        <v>23024100</v>
      </c>
      <c r="D53" s="268" t="str">
        <f>'MERGED HEAVY IND'!E379</f>
        <v>(FREE PORT ) OMAR</v>
      </c>
      <c r="E53" s="268" t="str">
        <f>'MERGED HEAVY IND'!C379</f>
        <v>15 VUMBA ROAD</v>
      </c>
      <c r="F53" s="268" t="s">
        <v>1928</v>
      </c>
      <c r="G53" s="268" t="s">
        <v>1261</v>
      </c>
      <c r="H53" s="271">
        <f>'MERGED HEAVY IND'!D388</f>
        <v>11127</v>
      </c>
      <c r="I53" s="332">
        <f>'MERGED HEAVY IND'!H388</f>
        <v>86762</v>
      </c>
      <c r="J53" s="332">
        <f>'MERGED HEAVY IND'!H387</f>
        <v>1128205.5990000002</v>
      </c>
      <c r="K53" s="270">
        <f>'MERGED HEAVY IND'!H389</f>
        <v>1214967.5990000002</v>
      </c>
      <c r="L53" s="340" t="s">
        <v>1101</v>
      </c>
    </row>
    <row r="54" spans="1:12" x14ac:dyDescent="0.3">
      <c r="A54" s="266"/>
      <c r="B54" s="277"/>
      <c r="C54" s="319"/>
      <c r="D54" s="268"/>
      <c r="E54" s="268"/>
      <c r="F54" s="268"/>
      <c r="G54" s="268"/>
      <c r="H54" s="271"/>
      <c r="I54" s="332"/>
      <c r="J54" s="332"/>
      <c r="K54" s="270"/>
    </row>
    <row r="55" spans="1:12" x14ac:dyDescent="0.3">
      <c r="A55" s="266">
        <v>25</v>
      </c>
      <c r="B55" s="278" t="str">
        <f>'MERGED HEAVY IND'!B390</f>
        <v>Lot 1 of 892 A</v>
      </c>
      <c r="C55" s="319">
        <v>23030000</v>
      </c>
      <c r="D55" s="268" t="str">
        <f>'MERGED HEAVY IND'!E390</f>
        <v>ZINWA</v>
      </c>
      <c r="E55" s="268" t="str">
        <f>'MERGED HEAVY IND'!C390</f>
        <v>7 PARK ROAD</v>
      </c>
      <c r="F55" s="268" t="s">
        <v>1928</v>
      </c>
      <c r="G55" s="268" t="s">
        <v>1262</v>
      </c>
      <c r="H55" s="271">
        <f>'MERGED HEAVY IND'!D404</f>
        <v>14130</v>
      </c>
      <c r="I55" s="332">
        <f>'MERGED HEAVY IND'!H404</f>
        <v>74780</v>
      </c>
      <c r="J55" s="332">
        <f>'MERGED HEAVY IND'!H403</f>
        <v>759244</v>
      </c>
      <c r="K55" s="270">
        <f>'MERGED HEAVY IND'!H405</f>
        <v>834024</v>
      </c>
      <c r="L55" s="340" t="s">
        <v>1105</v>
      </c>
    </row>
    <row r="56" spans="1:12" x14ac:dyDescent="0.3">
      <c r="A56" s="266"/>
      <c r="B56" s="277"/>
      <c r="C56" s="319"/>
      <c r="D56" s="268"/>
      <c r="E56" s="268"/>
      <c r="F56" s="268"/>
      <c r="G56" s="268"/>
      <c r="H56" s="271"/>
      <c r="I56" s="332"/>
      <c r="J56" s="332"/>
      <c r="K56" s="270"/>
    </row>
    <row r="57" spans="1:12" ht="28.8" x14ac:dyDescent="0.3">
      <c r="A57" s="266">
        <v>26</v>
      </c>
      <c r="B57" s="277" t="str">
        <f>'MERGED HEAVY IND'!B406</f>
        <v>896-A OF 896-897</v>
      </c>
      <c r="C57" s="319">
        <v>23010300</v>
      </c>
      <c r="D57" s="268" t="str">
        <f>'MERGED HEAVY IND'!E406</f>
        <v>MUTARE DRY PORT</v>
      </c>
      <c r="E57" s="268" t="str">
        <f>'MERGED HEAVY IND'!C406</f>
        <v>No 11 PARK ROAD</v>
      </c>
      <c r="F57" s="268" t="s">
        <v>1928</v>
      </c>
      <c r="G57" s="268" t="s">
        <v>1264</v>
      </c>
      <c r="H57" s="271">
        <f>'MERGED HEAVY IND'!D416</f>
        <v>33388.5</v>
      </c>
      <c r="I57" s="332">
        <f>'MERGED HEAVY IND'!H416</f>
        <v>186777</v>
      </c>
      <c r="J57" s="332">
        <f>'MERGED HEAVY IND'!H415</f>
        <v>37384.75</v>
      </c>
      <c r="K57" s="270">
        <f>'MERGED HEAVY IND'!H417</f>
        <v>224161.75</v>
      </c>
      <c r="L57" t="s">
        <v>54</v>
      </c>
    </row>
    <row r="58" spans="1:12" x14ac:dyDescent="0.3">
      <c r="A58" s="266"/>
      <c r="B58" s="277"/>
      <c r="C58" s="319"/>
      <c r="D58" s="268"/>
      <c r="E58" s="268"/>
      <c r="F58" s="268"/>
      <c r="G58" s="268"/>
      <c r="H58" s="271"/>
      <c r="I58" s="332"/>
      <c r="J58" s="332"/>
      <c r="K58" s="270"/>
    </row>
    <row r="59" spans="1:12" ht="28.8" x14ac:dyDescent="0.3">
      <c r="A59" s="266">
        <v>27</v>
      </c>
      <c r="B59" s="277">
        <f>'MERGED HEAVY IND'!B419</f>
        <v>920</v>
      </c>
      <c r="C59" s="319">
        <v>23005802</v>
      </c>
      <c r="D59" s="268" t="str">
        <f>'MERGED HEAVY IND'!E419</f>
        <v>ZIMBA AGENCIES (PVT)LTD</v>
      </c>
      <c r="E59" s="268" t="str">
        <f>'MERGED HEAVY IND'!C419</f>
        <v>3 INDUSTRIAL ROAD</v>
      </c>
      <c r="F59" s="268" t="s">
        <v>1928</v>
      </c>
      <c r="G59" s="268" t="s">
        <v>1261</v>
      </c>
      <c r="H59" s="271">
        <f>'MERGED HEAVY IND'!D427</f>
        <v>5590</v>
      </c>
      <c r="I59" s="332">
        <f>'MERGED HEAVY IND'!H427</f>
        <v>44720</v>
      </c>
      <c r="J59" s="332">
        <f>'MERGED HEAVY IND'!H426</f>
        <v>296927.5</v>
      </c>
      <c r="K59" s="270">
        <f>'MERGED HEAVY IND'!H428</f>
        <v>341647.5</v>
      </c>
      <c r="L59">
        <v>920</v>
      </c>
    </row>
    <row r="60" spans="1:12" x14ac:dyDescent="0.3">
      <c r="A60" s="266"/>
      <c r="B60" s="277"/>
      <c r="C60" s="319"/>
      <c r="D60" s="268"/>
      <c r="E60" s="268"/>
      <c r="F60" s="268"/>
      <c r="G60" s="268"/>
      <c r="H60" s="271"/>
      <c r="I60" s="332"/>
      <c r="J60" s="332"/>
      <c r="K60" s="270"/>
    </row>
    <row r="61" spans="1:12" x14ac:dyDescent="0.3">
      <c r="A61" s="266">
        <v>28</v>
      </c>
      <c r="B61" s="277">
        <f>'MERGED HEAVY IND'!B430</f>
        <v>921</v>
      </c>
      <c r="C61" s="319">
        <v>23023000</v>
      </c>
      <c r="D61" s="268" t="str">
        <f>'MERGED HEAVY IND'!E430</f>
        <v>TSL PROPERTIES</v>
      </c>
      <c r="E61" s="268" t="str">
        <f>'MERGED HEAVY IND'!C430</f>
        <v>10 PARK ROAD</v>
      </c>
      <c r="F61" s="268" t="s">
        <v>1928</v>
      </c>
      <c r="G61" s="268" t="s">
        <v>1252</v>
      </c>
      <c r="H61" s="271">
        <f>'MERGED HEAVY IND'!D438</f>
        <v>40630</v>
      </c>
      <c r="I61" s="332">
        <f>'MERGED HEAVY IND'!H438</f>
        <v>201260</v>
      </c>
      <c r="J61" s="332">
        <f>'MERGED HEAVY IND'!H437</f>
        <v>710000</v>
      </c>
      <c r="K61" s="270">
        <f>'MERGED HEAVY IND'!H439</f>
        <v>911260</v>
      </c>
      <c r="L61">
        <v>921</v>
      </c>
    </row>
    <row r="62" spans="1:12" x14ac:dyDescent="0.3">
      <c r="A62" s="266"/>
      <c r="B62" s="277"/>
      <c r="C62" s="319"/>
      <c r="D62" s="268"/>
      <c r="E62" s="268"/>
      <c r="F62" s="268"/>
      <c r="G62" s="268"/>
      <c r="H62" s="271"/>
      <c r="I62" s="332"/>
      <c r="J62" s="332"/>
      <c r="K62" s="270"/>
    </row>
    <row r="63" spans="1:12" ht="28.8" x14ac:dyDescent="0.3">
      <c r="A63" s="266">
        <f>A61+1</f>
        <v>29</v>
      </c>
      <c r="B63" s="277" t="str">
        <f>'MERGED HEAVY IND'!B441</f>
        <v>955 &amp;956</v>
      </c>
      <c r="C63" s="319">
        <v>23023100</v>
      </c>
      <c r="D63" s="268" t="str">
        <f>'MERGED HEAVY IND'!E441</f>
        <v>GLENBURN INVESTMENTS</v>
      </c>
      <c r="E63" s="268" t="str">
        <f>'MERGED HEAVY IND'!C441</f>
        <v>22 GLASGOW ROAD</v>
      </c>
      <c r="F63" s="268" t="s">
        <v>1928</v>
      </c>
      <c r="G63" s="268" t="s">
        <v>1262</v>
      </c>
      <c r="H63" s="271">
        <f>'MERGED HEAVY IND'!D449</f>
        <v>6108</v>
      </c>
      <c r="I63" s="332">
        <f>'MERGED HEAVY IND'!H449</f>
        <v>48864</v>
      </c>
      <c r="J63" s="332">
        <f>'MERGED HEAVY IND'!H448</f>
        <v>1052386.75</v>
      </c>
      <c r="K63" s="270">
        <f>'MERGED HEAVY IND'!H450</f>
        <v>1101250.75</v>
      </c>
      <c r="L63" s="2" t="s">
        <v>1932</v>
      </c>
    </row>
    <row r="64" spans="1:12" x14ac:dyDescent="0.3">
      <c r="A64" s="266"/>
      <c r="B64" s="277"/>
      <c r="C64" s="319"/>
      <c r="D64" s="268"/>
      <c r="E64" s="268"/>
      <c r="F64" s="268"/>
      <c r="G64" s="268"/>
      <c r="H64" s="271"/>
      <c r="I64" s="332"/>
      <c r="J64" s="332"/>
      <c r="K64" s="270"/>
    </row>
    <row r="65" spans="1:12" ht="43.2" x14ac:dyDescent="0.3">
      <c r="A65" s="266">
        <v>30</v>
      </c>
      <c r="B65" s="277">
        <f>'MERGED HEAVY IND'!B451</f>
        <v>957</v>
      </c>
      <c r="C65" s="319">
        <v>23023200</v>
      </c>
      <c r="D65" s="268" t="str">
        <f>'MERGED HEAVY IND'!E451</f>
        <v>COUNTRY BUILDING CONTRACTORS</v>
      </c>
      <c r="E65" s="268" t="str">
        <f>'MERGED HEAVY IND'!C451</f>
        <v>18 GLASGOW ROAD</v>
      </c>
      <c r="F65" s="268" t="s">
        <v>1928</v>
      </c>
      <c r="G65" s="268" t="s">
        <v>1267</v>
      </c>
      <c r="H65" s="271">
        <f>'MERGED HEAVY IND'!D459</f>
        <v>3994</v>
      </c>
      <c r="I65" s="332">
        <f>'MERGED HEAVY IND'!H459</f>
        <v>31952</v>
      </c>
      <c r="J65" s="332">
        <f>'MERGED HEAVY IND'!H458</f>
        <v>251630.5</v>
      </c>
      <c r="K65" s="270">
        <f>'MERGED HEAVY IND'!H460</f>
        <v>283582.5</v>
      </c>
      <c r="L65">
        <v>957</v>
      </c>
    </row>
    <row r="66" spans="1:12" x14ac:dyDescent="0.3">
      <c r="A66" s="266"/>
      <c r="B66" s="277"/>
      <c r="C66" s="319"/>
      <c r="D66" s="268"/>
      <c r="E66" s="268"/>
      <c r="F66" s="268"/>
      <c r="G66" s="268"/>
      <c r="H66" s="271"/>
      <c r="I66" s="332"/>
      <c r="J66" s="332"/>
      <c r="K66" s="270"/>
    </row>
    <row r="67" spans="1:12" ht="28.8" x14ac:dyDescent="0.3">
      <c r="A67" s="266">
        <f>A65+1</f>
        <v>31</v>
      </c>
      <c r="B67" s="277">
        <f>'MERGED HEAVY IND'!B461</f>
        <v>958</v>
      </c>
      <c r="C67" s="319">
        <v>23023300</v>
      </c>
      <c r="D67" s="268" t="str">
        <f>'MERGED HEAVY IND'!E461</f>
        <v>TULISDANYA &amp; J. PITAMBER</v>
      </c>
      <c r="E67" s="268" t="str">
        <f>'MERGED HEAVY IND'!C461</f>
        <v>16 GLASGOW ROAD</v>
      </c>
      <c r="F67" s="268" t="s">
        <v>1928</v>
      </c>
      <c r="G67" s="268" t="s">
        <v>1261</v>
      </c>
      <c r="H67" s="271">
        <f>'MERGED HEAVY IND'!D468</f>
        <v>2811</v>
      </c>
      <c r="I67" s="332">
        <f>'MERGED HEAVY IND'!H468</f>
        <v>22488</v>
      </c>
      <c r="J67" s="332">
        <f>'MERGED HEAVY IND'!H467</f>
        <v>199921.08</v>
      </c>
      <c r="K67" s="270">
        <f>'MERGED HEAVY IND'!H469</f>
        <v>222409.08</v>
      </c>
      <c r="L67" s="2">
        <v>958</v>
      </c>
    </row>
    <row r="68" spans="1:12" x14ac:dyDescent="0.3">
      <c r="A68" s="266"/>
      <c r="B68" s="277"/>
      <c r="C68" s="319"/>
      <c r="D68" s="268"/>
      <c r="E68" s="268"/>
      <c r="F68" s="268"/>
      <c r="G68" s="268"/>
      <c r="H68" s="271"/>
      <c r="I68" s="332"/>
      <c r="J68" s="332"/>
      <c r="K68" s="270"/>
    </row>
    <row r="69" spans="1:12" ht="28.8" x14ac:dyDescent="0.3">
      <c r="A69" s="266">
        <f>A67+1</f>
        <v>32</v>
      </c>
      <c r="B69" s="277">
        <f>'MERGED HEAVY IND'!B470</f>
        <v>959</v>
      </c>
      <c r="C69" s="319">
        <v>23023400</v>
      </c>
      <c r="D69" s="268" t="str">
        <f>'MERGED HEAVY IND'!E470</f>
        <v>WILSPOT ENTERPRISES</v>
      </c>
      <c r="E69" s="268" t="str">
        <f>'MERGED HEAVY IND'!C470</f>
        <v>14 GLASGOW ROAD</v>
      </c>
      <c r="F69" s="268" t="s">
        <v>1928</v>
      </c>
      <c r="G69" s="268" t="s">
        <v>1268</v>
      </c>
      <c r="H69" s="271">
        <f>'MERGED HEAVY IND'!D475</f>
        <v>2478</v>
      </c>
      <c r="I69" s="332">
        <f>'MERGED HEAVY IND'!H475</f>
        <v>19824</v>
      </c>
      <c r="J69" s="332">
        <f>'MERGED HEAVY IND'!H474</f>
        <v>81385.8</v>
      </c>
      <c r="K69" s="270">
        <f>'MERGED HEAVY IND'!H476</f>
        <v>101209.8</v>
      </c>
      <c r="L69">
        <v>959</v>
      </c>
    </row>
    <row r="70" spans="1:12" x14ac:dyDescent="0.3">
      <c r="A70" s="266"/>
      <c r="B70" s="277"/>
      <c r="C70" s="319"/>
      <c r="D70" s="268"/>
      <c r="E70" s="268"/>
      <c r="F70" s="268"/>
      <c r="G70" s="268"/>
      <c r="H70" s="271"/>
      <c r="I70" s="332"/>
      <c r="J70" s="332"/>
      <c r="K70" s="270"/>
    </row>
    <row r="71" spans="1:12" x14ac:dyDescent="0.3">
      <c r="A71" s="266">
        <f>A69+1</f>
        <v>33</v>
      </c>
      <c r="B71" s="277">
        <f>'MERGED HEAVY IND'!B477</f>
        <v>960</v>
      </c>
      <c r="C71" s="319">
        <v>23006202</v>
      </c>
      <c r="D71" s="268" t="str">
        <f>'MERGED HEAVY IND'!E477</f>
        <v>SAW SERVICES</v>
      </c>
      <c r="E71" s="268" t="str">
        <f>'MERGED HEAVY IND'!C477</f>
        <v>12 GLASGOW ROAD</v>
      </c>
      <c r="F71" s="268" t="s">
        <v>1928</v>
      </c>
      <c r="G71" s="268" t="s">
        <v>1252</v>
      </c>
      <c r="H71" s="271">
        <f>'MERGED HEAVY IND'!D484</f>
        <v>2478</v>
      </c>
      <c r="I71" s="332">
        <f>'MERGED HEAVY IND'!H484</f>
        <v>19824</v>
      </c>
      <c r="J71" s="332">
        <f>'MERGED HEAVY IND'!H483</f>
        <v>330991.19999999995</v>
      </c>
      <c r="K71" s="270">
        <f>'MERGED HEAVY IND'!H485</f>
        <v>350815.19999999995</v>
      </c>
      <c r="L71">
        <v>960</v>
      </c>
    </row>
    <row r="72" spans="1:12" x14ac:dyDescent="0.3">
      <c r="A72" s="266"/>
      <c r="B72" s="277"/>
      <c r="C72" s="319"/>
      <c r="D72" s="268"/>
      <c r="E72" s="268"/>
      <c r="F72" s="268"/>
      <c r="G72" s="268"/>
      <c r="H72" s="271"/>
      <c r="I72" s="332"/>
      <c r="J72" s="332"/>
      <c r="K72" s="270"/>
    </row>
    <row r="73" spans="1:12" ht="28.8" x14ac:dyDescent="0.3">
      <c r="A73" s="266">
        <f>A71+1</f>
        <v>34</v>
      </c>
      <c r="B73" s="277">
        <f>'MERGED HEAVY IND'!B486</f>
        <v>961</v>
      </c>
      <c r="C73" s="319">
        <v>23023500</v>
      </c>
      <c r="D73" s="268" t="str">
        <f>'MERGED HEAVY IND'!E486</f>
        <v>CHRISTODOULATORS ALEXANDER</v>
      </c>
      <c r="E73" s="268" t="str">
        <f>'MERGED HEAVY IND'!C486</f>
        <v>10 GLASGOW ROAD</v>
      </c>
      <c r="F73" s="268" t="s">
        <v>1928</v>
      </c>
      <c r="G73" s="268" t="s">
        <v>1262</v>
      </c>
      <c r="H73" s="271">
        <f>'MERGED HEAVY IND'!D491</f>
        <v>1735</v>
      </c>
      <c r="I73" s="332">
        <f>'MERGED HEAVY IND'!H491</f>
        <v>13880</v>
      </c>
      <c r="J73" s="332">
        <f>'MERGED HEAVY IND'!H490</f>
        <v>99850</v>
      </c>
      <c r="K73" s="270">
        <f>'MERGED HEAVY IND'!H492</f>
        <v>113730</v>
      </c>
      <c r="L73">
        <v>961</v>
      </c>
    </row>
    <row r="74" spans="1:12" x14ac:dyDescent="0.3">
      <c r="A74" s="266"/>
      <c r="B74" s="277"/>
      <c r="C74" s="319"/>
      <c r="D74" s="268"/>
      <c r="E74" s="268"/>
      <c r="F74" s="268"/>
      <c r="G74" s="268"/>
      <c r="H74" s="271"/>
      <c r="I74" s="332"/>
      <c r="J74" s="332"/>
      <c r="K74" s="270"/>
    </row>
    <row r="75" spans="1:12" x14ac:dyDescent="0.3">
      <c r="A75" s="266">
        <f>A73+1</f>
        <v>35</v>
      </c>
      <c r="B75" s="277">
        <f>'MERGED HEAVY IND'!B493</f>
        <v>962</v>
      </c>
      <c r="C75" s="319">
        <v>23023600</v>
      </c>
      <c r="D75" s="268" t="str">
        <f>'MERGED HEAVY IND'!E493</f>
        <v xml:space="preserve">W. G. CROWSON </v>
      </c>
      <c r="E75" s="268" t="str">
        <f>'MERGED HEAVY IND'!C493</f>
        <v>8 GLASGOW ROAD</v>
      </c>
      <c r="F75" s="268" t="s">
        <v>1928</v>
      </c>
      <c r="G75" s="268" t="s">
        <v>1260</v>
      </c>
      <c r="H75" s="271">
        <f>'MERGED HEAVY IND'!D500</f>
        <v>1715</v>
      </c>
      <c r="I75" s="332">
        <f>'MERGED HEAVY IND'!H500</f>
        <v>13720</v>
      </c>
      <c r="J75" s="332">
        <f>'MERGED HEAVY IND'!H499</f>
        <v>283932.59999999998</v>
      </c>
      <c r="K75" s="270">
        <f>'MERGED HEAVY IND'!H501</f>
        <v>297652.59999999998</v>
      </c>
      <c r="L75">
        <v>962</v>
      </c>
    </row>
    <row r="76" spans="1:12" x14ac:dyDescent="0.3">
      <c r="A76" s="266"/>
      <c r="B76" s="277"/>
      <c r="C76" s="319"/>
      <c r="D76" s="268"/>
      <c r="E76" s="268"/>
      <c r="F76" s="268"/>
      <c r="G76" s="268"/>
      <c r="H76" s="271"/>
      <c r="I76" s="332"/>
      <c r="J76" s="332"/>
      <c r="K76" s="270"/>
    </row>
    <row r="77" spans="1:12" x14ac:dyDescent="0.3">
      <c r="A77" s="266">
        <f>A75+1</f>
        <v>36</v>
      </c>
      <c r="B77" s="277">
        <f>'MERGED HEAVY IND'!B503</f>
        <v>978</v>
      </c>
      <c r="C77" s="319">
        <v>23008300</v>
      </c>
      <c r="D77" s="268" t="str">
        <f>'MERGED HEAVY IND'!E503</f>
        <v>BRENDAN RODGERS</v>
      </c>
      <c r="E77" s="268" t="str">
        <f>'MERGED HEAVY IND'!C503</f>
        <v>6 PARK ROAD</v>
      </c>
      <c r="F77" s="268" t="s">
        <v>1928</v>
      </c>
      <c r="G77" s="268" t="s">
        <v>1252</v>
      </c>
      <c r="H77" s="271">
        <f>'MERGED HEAVY IND'!D508</f>
        <v>2977</v>
      </c>
      <c r="I77" s="332">
        <f>'MERGED HEAVY IND'!H508</f>
        <v>23816</v>
      </c>
      <c r="J77" s="332">
        <f>'MERGED HEAVY IND'!H507</f>
        <v>8697</v>
      </c>
      <c r="K77" s="270">
        <f>'MERGED HEAVY IND'!H509</f>
        <v>32513</v>
      </c>
      <c r="L77">
        <v>978</v>
      </c>
    </row>
    <row r="78" spans="1:12" x14ac:dyDescent="0.3">
      <c r="A78" s="266"/>
      <c r="B78" s="277"/>
      <c r="C78" s="319"/>
      <c r="D78" s="268"/>
      <c r="E78" s="268"/>
      <c r="F78" s="268"/>
      <c r="G78" s="268"/>
      <c r="H78" s="271"/>
      <c r="I78" s="332"/>
      <c r="J78" s="332"/>
      <c r="K78" s="270"/>
    </row>
    <row r="79" spans="1:12" x14ac:dyDescent="0.3">
      <c r="A79" s="266">
        <f>A77+1</f>
        <v>37</v>
      </c>
      <c r="B79" s="277">
        <f>'MERGED HEAVY IND'!B511</f>
        <v>979</v>
      </c>
      <c r="C79" s="319">
        <v>11010800</v>
      </c>
      <c r="D79" s="268" t="str">
        <f>'MERGED HEAVY IND'!E511</f>
        <v>ZVIDZAI ZANA</v>
      </c>
      <c r="E79" s="268" t="str">
        <f>'MERGED HEAVY IND'!C511</f>
        <v>8 PARK ROAD</v>
      </c>
      <c r="F79" s="268" t="s">
        <v>1928</v>
      </c>
      <c r="G79" s="268" t="s">
        <v>1252</v>
      </c>
      <c r="H79" s="271">
        <f>'MERGED HEAVY IND'!D520</f>
        <v>3093</v>
      </c>
      <c r="I79" s="332">
        <f>'MERGED HEAVY IND'!H520</f>
        <v>24744</v>
      </c>
      <c r="J79" s="332">
        <f>'MERGED HEAVY IND'!H519</f>
        <v>66675.03</v>
      </c>
      <c r="K79" s="270">
        <f>'MERGED HEAVY IND'!H521</f>
        <v>91419.03</v>
      </c>
      <c r="L79">
        <v>979</v>
      </c>
    </row>
    <row r="80" spans="1:12" x14ac:dyDescent="0.3">
      <c r="A80" s="266"/>
      <c r="B80" s="277"/>
      <c r="C80" s="319"/>
      <c r="D80" s="268"/>
      <c r="E80" s="268"/>
      <c r="F80" s="268"/>
      <c r="G80" s="268"/>
      <c r="H80" s="271"/>
      <c r="I80" s="332"/>
      <c r="J80" s="332"/>
      <c r="K80" s="270"/>
    </row>
    <row r="81" spans="1:12" x14ac:dyDescent="0.3">
      <c r="A81" s="266">
        <f>A79+1</f>
        <v>38</v>
      </c>
      <c r="B81" s="277">
        <f>'MERGED HEAVY IND'!B522</f>
        <v>980</v>
      </c>
      <c r="C81" s="319">
        <v>23023700</v>
      </c>
      <c r="D81" s="268" t="str">
        <f>'MERGED HEAVY IND'!E522</f>
        <v>JAMES VALENTINE</v>
      </c>
      <c r="E81" s="268" t="str">
        <f>'MERGED HEAVY IND'!C522</f>
        <v>2 BEIRA ROAD</v>
      </c>
      <c r="F81" s="268" t="s">
        <v>1928</v>
      </c>
      <c r="G81" s="268" t="s">
        <v>1269</v>
      </c>
      <c r="H81" s="271">
        <f>'MERGED HEAVY IND'!D530</f>
        <v>3093</v>
      </c>
      <c r="I81" s="332">
        <f>'MERGED HEAVY IND'!H530</f>
        <v>24744</v>
      </c>
      <c r="J81" s="332">
        <f>'MERGED HEAVY IND'!H529</f>
        <v>71148.2</v>
      </c>
      <c r="K81" s="270">
        <f>'MERGED HEAVY IND'!H531</f>
        <v>95892.2</v>
      </c>
      <c r="L81">
        <v>980</v>
      </c>
    </row>
    <row r="82" spans="1:12" x14ac:dyDescent="0.3">
      <c r="A82" s="266"/>
      <c r="B82" s="277"/>
      <c r="C82" s="319"/>
      <c r="D82" s="268"/>
      <c r="E82" s="268"/>
      <c r="F82" s="268"/>
      <c r="G82" s="268"/>
      <c r="H82" s="271"/>
      <c r="I82" s="332"/>
      <c r="J82" s="332"/>
      <c r="K82" s="270"/>
    </row>
    <row r="83" spans="1:12" x14ac:dyDescent="0.3">
      <c r="A83" s="266">
        <f>A81+1</f>
        <v>39</v>
      </c>
      <c r="B83" s="277">
        <f>'MERGED HEAVY IND'!B532</f>
        <v>981</v>
      </c>
      <c r="C83" s="319">
        <v>23008002</v>
      </c>
      <c r="D83" s="268" t="str">
        <f>'MERGED HEAVY IND'!E532</f>
        <v>JENIFER KASERERA</v>
      </c>
      <c r="E83" s="268" t="str">
        <f>'MERGED HEAVY IND'!C532</f>
        <v>4 BEIRA ROAD</v>
      </c>
      <c r="F83" s="268" t="s">
        <v>1928</v>
      </c>
      <c r="G83" s="268" t="s">
        <v>1269</v>
      </c>
      <c r="H83" s="271">
        <f>'MERGED HEAVY IND'!D537</f>
        <v>2151</v>
      </c>
      <c r="I83" s="332">
        <f>'MERGED HEAVY IND'!H537</f>
        <v>17208</v>
      </c>
      <c r="J83" s="332">
        <f>'MERGED HEAVY IND'!H536</f>
        <v>53833.5</v>
      </c>
      <c r="K83" s="270">
        <f>'MERGED HEAVY IND'!H538</f>
        <v>71041.5</v>
      </c>
      <c r="L83">
        <v>981</v>
      </c>
    </row>
    <row r="84" spans="1:12" x14ac:dyDescent="0.3">
      <c r="A84" s="266"/>
      <c r="B84" s="277"/>
      <c r="C84" s="319"/>
      <c r="D84" s="268"/>
      <c r="E84" s="268"/>
      <c r="F84" s="268"/>
      <c r="G84" s="268"/>
      <c r="H84" s="271"/>
      <c r="I84" s="332"/>
      <c r="J84" s="332"/>
      <c r="K84" s="270"/>
    </row>
    <row r="85" spans="1:12" x14ac:dyDescent="0.3">
      <c r="A85" s="266">
        <f>A83+1</f>
        <v>40</v>
      </c>
      <c r="B85" s="277" t="str">
        <f>'MERGED HEAVY IND'!B539</f>
        <v>LOT 1 OF 982 A</v>
      </c>
      <c r="C85" s="319">
        <v>23007900</v>
      </c>
      <c r="D85" s="268" t="str">
        <f>'MERGED HEAVY IND'!E539</f>
        <v>J.D MAKANDWA</v>
      </c>
      <c r="E85" s="268" t="str">
        <f>'MERGED HEAVY IND'!C539</f>
        <v>6 BEIRA ROAD</v>
      </c>
      <c r="F85" s="268" t="s">
        <v>1928</v>
      </c>
      <c r="G85" s="268" t="s">
        <v>1269</v>
      </c>
      <c r="H85" s="271">
        <f>'MERGED HEAVY IND'!D545</f>
        <v>1486</v>
      </c>
      <c r="I85" s="332">
        <f>'MERGED HEAVY IND'!H545</f>
        <v>11888</v>
      </c>
      <c r="J85" s="332">
        <f>'MERGED HEAVY IND'!H544</f>
        <v>46025</v>
      </c>
      <c r="K85" s="270">
        <f>'MERGED HEAVY IND'!H546</f>
        <v>57913</v>
      </c>
      <c r="L85" t="s">
        <v>423</v>
      </c>
    </row>
    <row r="86" spans="1:12" x14ac:dyDescent="0.3">
      <c r="A86" s="266"/>
      <c r="B86" s="277"/>
      <c r="C86" s="319"/>
      <c r="D86" s="268"/>
      <c r="E86" s="268"/>
      <c r="F86" s="268"/>
      <c r="G86" s="268"/>
      <c r="H86" s="271"/>
      <c r="I86" s="332"/>
      <c r="J86" s="332"/>
      <c r="K86" s="270"/>
    </row>
    <row r="87" spans="1:12" x14ac:dyDescent="0.3">
      <c r="A87" s="266">
        <f>A85+1</f>
        <v>41</v>
      </c>
      <c r="B87" s="277" t="str">
        <f>'MERGED HEAVY IND'!B547</f>
        <v xml:space="preserve">LOT 2 OF 982A </v>
      </c>
      <c r="C87" s="319">
        <v>23022700</v>
      </c>
      <c r="D87" s="268" t="str">
        <f>'MERGED HEAVY IND'!E547</f>
        <v>DR OBONYE</v>
      </c>
      <c r="E87" s="268" t="str">
        <f>'MERGED HEAVY IND'!C547</f>
        <v>8 BEIRA ROAD</v>
      </c>
      <c r="F87" s="268" t="s">
        <v>1928</v>
      </c>
      <c r="G87" s="268" t="s">
        <v>1269</v>
      </c>
      <c r="H87" s="271">
        <f>'MERGED HEAVY IND'!D554</f>
        <v>1278</v>
      </c>
      <c r="I87" s="332">
        <f>'MERGED HEAVY IND'!H554</f>
        <v>10224</v>
      </c>
      <c r="J87" s="332">
        <f>'MERGED HEAVY IND'!H553</f>
        <v>45916.5</v>
      </c>
      <c r="K87" s="270">
        <f>'MERGED HEAVY IND'!H555</f>
        <v>56140.5</v>
      </c>
      <c r="L87" t="s">
        <v>429</v>
      </c>
    </row>
    <row r="88" spans="1:12" x14ac:dyDescent="0.3">
      <c r="A88" s="266"/>
      <c r="B88" s="277"/>
      <c r="C88" s="319"/>
      <c r="D88" s="268"/>
      <c r="E88" s="268"/>
      <c r="F88" s="268"/>
      <c r="G88" s="268"/>
      <c r="H88" s="271"/>
      <c r="I88" s="332"/>
      <c r="J88" s="332"/>
      <c r="K88" s="270"/>
    </row>
    <row r="89" spans="1:12" x14ac:dyDescent="0.3">
      <c r="A89" s="266">
        <f>A87+1</f>
        <v>42</v>
      </c>
      <c r="B89" s="277" t="str">
        <f>'MERGED HEAVY IND'!B556</f>
        <v>REM OF 982 A</v>
      </c>
      <c r="C89" s="319">
        <v>23008100</v>
      </c>
      <c r="D89" s="268" t="str">
        <f>'MERGED HEAVY IND'!E556</f>
        <v>E. MWASHITA</v>
      </c>
      <c r="E89" s="268" t="str">
        <f>'MERGED HEAVY IND'!C556</f>
        <v>10 BEIRA ROAD</v>
      </c>
      <c r="F89" s="268" t="s">
        <v>1928</v>
      </c>
      <c r="G89" s="268" t="s">
        <v>1269</v>
      </c>
      <c r="H89" s="271">
        <f>'MERGED HEAVY IND'!D562</f>
        <v>1262</v>
      </c>
      <c r="I89" s="332">
        <f>'MERGED HEAVY IND'!H562</f>
        <v>10096</v>
      </c>
      <c r="J89" s="332">
        <f>'MERGED HEAVY IND'!H561</f>
        <v>30200</v>
      </c>
      <c r="K89" s="270">
        <f>'MERGED HEAVY IND'!H563</f>
        <v>40296</v>
      </c>
      <c r="L89" t="s">
        <v>435</v>
      </c>
    </row>
    <row r="90" spans="1:12" x14ac:dyDescent="0.3">
      <c r="A90" s="266"/>
      <c r="B90" s="277"/>
      <c r="C90" s="319"/>
      <c r="D90" s="268"/>
      <c r="E90" s="268"/>
      <c r="F90" s="268"/>
      <c r="G90" s="268"/>
      <c r="H90" s="271"/>
      <c r="I90" s="332"/>
      <c r="J90" s="332"/>
      <c r="K90" s="270"/>
    </row>
    <row r="91" spans="1:12" ht="28.8" x14ac:dyDescent="0.3">
      <c r="A91" s="266">
        <f>A89+1</f>
        <v>43</v>
      </c>
      <c r="B91" s="277">
        <f>'MERGED HEAVY IND'!B564</f>
        <v>984</v>
      </c>
      <c r="C91" s="319">
        <v>23023800</v>
      </c>
      <c r="D91" s="268" t="str">
        <f>'MERGED HEAVY IND'!E564</f>
        <v>MR MUNDORINGISA</v>
      </c>
      <c r="E91" s="268" t="str">
        <f>'MERGED HEAVY IND'!C564</f>
        <v>12 BEIRA ROAD</v>
      </c>
      <c r="F91" s="268" t="s">
        <v>1928</v>
      </c>
      <c r="G91" s="268" t="s">
        <v>1269</v>
      </c>
      <c r="H91" s="271">
        <f>'MERGED HEAVY IND'!D571</f>
        <v>1433</v>
      </c>
      <c r="I91" s="332">
        <f>'MERGED HEAVY IND'!H571</f>
        <v>11464</v>
      </c>
      <c r="J91" s="332">
        <f>'MERGED HEAVY IND'!H570</f>
        <v>34681.599999999999</v>
      </c>
      <c r="K91" s="270">
        <f>'MERGED HEAVY IND'!H572</f>
        <v>46145.599999999999</v>
      </c>
      <c r="L91">
        <v>984</v>
      </c>
    </row>
    <row r="92" spans="1:12" x14ac:dyDescent="0.3">
      <c r="A92" s="266"/>
      <c r="B92" s="277"/>
      <c r="C92" s="319"/>
      <c r="D92" s="268"/>
      <c r="E92" s="268"/>
      <c r="F92" s="268"/>
      <c r="G92" s="268"/>
      <c r="H92" s="271"/>
      <c r="I92" s="332"/>
      <c r="J92" s="332"/>
      <c r="K92" s="270"/>
    </row>
    <row r="93" spans="1:12" ht="28.8" x14ac:dyDescent="0.3">
      <c r="A93" s="266">
        <f>A91+1</f>
        <v>44</v>
      </c>
      <c r="B93" s="278">
        <f>'MERGED HEAVY IND'!B573</f>
        <v>987</v>
      </c>
      <c r="C93" s="319">
        <v>23023900</v>
      </c>
      <c r="D93" s="268" t="str">
        <f>'MERGED HEAVY IND'!C573</f>
        <v>5 ST HELLENS DRIVE</v>
      </c>
      <c r="E93" s="268" t="str">
        <f>'MERGED HEAVY IND'!E573</f>
        <v>MANICA BOARDS &amp; DOORS PVT LTD</v>
      </c>
      <c r="F93" s="268" t="s">
        <v>1928</v>
      </c>
      <c r="G93" s="268" t="s">
        <v>1260</v>
      </c>
      <c r="H93" s="271">
        <f>'MERGED HEAVY IND'!D593</f>
        <v>3558</v>
      </c>
      <c r="I93" s="332">
        <f>'MERGED HEAVY IND'!H593</f>
        <v>28464</v>
      </c>
      <c r="J93" s="332">
        <f>'MERGED HEAVY IND'!H592</f>
        <v>7098129.915</v>
      </c>
      <c r="K93" s="270">
        <f>'MERGED HEAVY IND'!H594</f>
        <v>7126593.915</v>
      </c>
      <c r="L93" s="340">
        <v>987</v>
      </c>
    </row>
    <row r="94" spans="1:12" x14ac:dyDescent="0.3">
      <c r="A94" s="266"/>
      <c r="B94" s="277"/>
      <c r="C94" s="319"/>
      <c r="D94" s="268"/>
      <c r="E94" s="268"/>
      <c r="F94" s="268"/>
      <c r="G94" s="268"/>
      <c r="H94" s="271"/>
      <c r="I94" s="332"/>
      <c r="J94" s="332"/>
      <c r="K94" s="270"/>
    </row>
    <row r="95" spans="1:12" ht="43.2" x14ac:dyDescent="0.3">
      <c r="A95" s="266">
        <f>A93+1</f>
        <v>45</v>
      </c>
      <c r="B95" s="278" t="str">
        <f>'MERGED HEAVY IND'!B596</f>
        <v>1451-1452-1453-1454</v>
      </c>
      <c r="C95" s="319">
        <v>23025800</v>
      </c>
      <c r="D95" s="268" t="str">
        <f>'MERGED HEAVY IND'!E596</f>
        <v>NATIONAL RAILWAYS OF ZIMBABWE</v>
      </c>
      <c r="E95" s="268" t="str">
        <f>'MERGED HEAVY IND'!C596</f>
        <v>No 1 CARDIFF ROAD</v>
      </c>
      <c r="F95" s="268" t="s">
        <v>1928</v>
      </c>
      <c r="G95" s="268" t="s">
        <v>1261</v>
      </c>
      <c r="H95" s="271">
        <f>'MERGED HEAVY IND'!D604</f>
        <v>13272</v>
      </c>
      <c r="I95" s="332">
        <f>'MERGED HEAVY IND'!H604</f>
        <v>99632</v>
      </c>
      <c r="J95" s="332">
        <f>'MERGED HEAVY IND'!H603</f>
        <v>534336.25</v>
      </c>
      <c r="K95" s="270">
        <f>'MERGED HEAVY IND'!H605</f>
        <v>633968.25</v>
      </c>
      <c r="L95" s="340" t="s">
        <v>1914</v>
      </c>
    </row>
    <row r="96" spans="1:12" x14ac:dyDescent="0.3">
      <c r="A96" s="266"/>
      <c r="B96" s="278"/>
      <c r="C96" s="319">
        <v>23025900</v>
      </c>
      <c r="D96" s="268"/>
      <c r="E96" s="268"/>
      <c r="F96" s="268"/>
      <c r="G96" s="268"/>
      <c r="H96" s="271"/>
      <c r="I96" s="332"/>
      <c r="J96" s="332"/>
      <c r="K96" s="270"/>
      <c r="L96" s="340"/>
    </row>
    <row r="97" spans="1:12" x14ac:dyDescent="0.3">
      <c r="A97" s="266"/>
      <c r="B97" s="278"/>
      <c r="C97" s="319">
        <v>23026000</v>
      </c>
      <c r="D97" s="268"/>
      <c r="E97" s="268"/>
      <c r="F97" s="268"/>
      <c r="G97" s="268"/>
      <c r="H97" s="271"/>
      <c r="I97" s="332"/>
      <c r="J97" s="332"/>
      <c r="K97" s="270"/>
      <c r="L97" s="340"/>
    </row>
    <row r="98" spans="1:12" x14ac:dyDescent="0.3">
      <c r="A98" s="266"/>
      <c r="B98" s="277"/>
      <c r="C98" s="319"/>
      <c r="D98" s="268"/>
      <c r="E98" s="268"/>
      <c r="F98" s="268"/>
      <c r="G98" s="268"/>
      <c r="H98" s="271"/>
      <c r="I98" s="332"/>
      <c r="J98" s="332"/>
      <c r="K98" s="270"/>
    </row>
    <row r="99" spans="1:12" x14ac:dyDescent="0.3">
      <c r="A99" s="266">
        <f>A95+1</f>
        <v>46</v>
      </c>
      <c r="B99" s="277">
        <v>4018</v>
      </c>
      <c r="C99" s="319">
        <v>23008603</v>
      </c>
      <c r="D99" s="268" t="str">
        <f>'MERGED HEAVY IND'!E607</f>
        <v>ERIC CARLSON</v>
      </c>
      <c r="E99" s="268" t="str">
        <f>'MERGED HEAVY IND'!C607</f>
        <v>No 25 PARK ROAD</v>
      </c>
      <c r="F99" s="268" t="s">
        <v>1928</v>
      </c>
      <c r="G99" s="268" t="s">
        <v>1262</v>
      </c>
      <c r="H99" s="271">
        <f>'MERGED HEAVY IND'!D622</f>
        <v>7929</v>
      </c>
      <c r="I99" s="332">
        <f>'MERGED HEAVY IND'!H622</f>
        <v>63432</v>
      </c>
      <c r="J99" s="332">
        <f>'MERGED HEAVY IND'!H621</f>
        <v>254642</v>
      </c>
      <c r="K99" s="270">
        <f>'MERGED HEAVY IND'!H623</f>
        <v>318074</v>
      </c>
      <c r="L99">
        <v>4018</v>
      </c>
    </row>
    <row r="100" spans="1:12" x14ac:dyDescent="0.3">
      <c r="A100" s="266"/>
      <c r="B100" s="277"/>
      <c r="C100" s="319"/>
      <c r="D100" s="268"/>
      <c r="E100" s="268"/>
      <c r="F100" s="268"/>
      <c r="G100" s="268"/>
      <c r="H100" s="271"/>
      <c r="I100" s="332"/>
      <c r="J100" s="332"/>
      <c r="K100" s="270"/>
    </row>
    <row r="101" spans="1:12" x14ac:dyDescent="0.3">
      <c r="A101" s="266">
        <f>A99+1</f>
        <v>47</v>
      </c>
      <c r="B101" s="277">
        <v>4018</v>
      </c>
      <c r="C101" s="319">
        <v>23008603</v>
      </c>
      <c r="D101" s="268" t="str">
        <f>'MERGED HEAVY IND'!E625</f>
        <v>ERIC CARLSON</v>
      </c>
      <c r="E101" s="268" t="str">
        <f>'MERGED HEAVY IND'!C625</f>
        <v>No 5 CARDIFF ROAD</v>
      </c>
      <c r="F101" s="268" t="s">
        <v>1928</v>
      </c>
      <c r="G101" s="268" t="s">
        <v>1252</v>
      </c>
      <c r="H101" s="271">
        <f>'MERGED HEAVY IND'!D631</f>
        <v>3965</v>
      </c>
      <c r="I101" s="332">
        <f>'MERGED HEAVY IND'!H631</f>
        <v>31720</v>
      </c>
      <c r="J101" s="332">
        <f>'MERGED HEAVY IND'!H630</f>
        <v>8129.5</v>
      </c>
      <c r="K101" s="270">
        <f>'MERGED HEAVY IND'!H632</f>
        <v>39849.5</v>
      </c>
      <c r="L101">
        <v>4018</v>
      </c>
    </row>
    <row r="102" spans="1:12" x14ac:dyDescent="0.3">
      <c r="A102" s="266"/>
      <c r="B102" s="277"/>
      <c r="C102" s="319"/>
      <c r="D102" s="268"/>
      <c r="E102" s="268"/>
      <c r="F102" s="268"/>
      <c r="G102" s="268"/>
      <c r="H102" s="271"/>
      <c r="I102" s="332"/>
      <c r="J102" s="332"/>
      <c r="K102" s="270"/>
    </row>
    <row r="103" spans="1:12" ht="28.8" x14ac:dyDescent="0.3">
      <c r="A103" s="266">
        <f>A101+1</f>
        <v>48</v>
      </c>
      <c r="B103" s="277" t="str">
        <f>'MERGED HEAVY IND'!B634</f>
        <v>1460-1462-R/E OF 1464</v>
      </c>
      <c r="C103" s="319">
        <v>23024300</v>
      </c>
      <c r="D103" s="268" t="str">
        <f>'MERGED HEAVY IND'!E634</f>
        <v>BUFFALO SOAP INDUSTRIES</v>
      </c>
      <c r="E103" s="268" t="str">
        <f>'MERGED HEAVY IND'!C634</f>
        <v>No 17-19-21 PARK ROAD</v>
      </c>
      <c r="F103" s="268" t="s">
        <v>1928</v>
      </c>
      <c r="G103" s="268" t="s">
        <v>1270</v>
      </c>
      <c r="H103" s="271">
        <f>'MERGED HEAVY IND'!D648</f>
        <v>10307</v>
      </c>
      <c r="I103" s="332">
        <f>'MERGED HEAVY IND'!H648</f>
        <v>81842</v>
      </c>
      <c r="J103" s="332">
        <f>'MERGED HEAVY IND'!H647</f>
        <v>288221.69999999995</v>
      </c>
      <c r="K103" s="270">
        <f>'MERGED HEAVY IND'!H649</f>
        <v>370063.69999999995</v>
      </c>
      <c r="L103" t="s">
        <v>37</v>
      </c>
    </row>
    <row r="104" spans="1:12" x14ac:dyDescent="0.3">
      <c r="A104" s="266"/>
      <c r="B104" s="277"/>
      <c r="C104" s="319">
        <v>23009200</v>
      </c>
      <c r="D104" s="268"/>
      <c r="E104" s="268"/>
      <c r="F104" s="268"/>
      <c r="G104" s="268"/>
      <c r="H104" s="271"/>
      <c r="I104" s="332"/>
      <c r="J104" s="332"/>
      <c r="K104" s="270"/>
    </row>
    <row r="105" spans="1:12" ht="28.8" x14ac:dyDescent="0.3">
      <c r="A105" s="266">
        <f>A103+1</f>
        <v>49</v>
      </c>
      <c r="B105" s="277" t="str">
        <f>'MERGED HEAVY IND'!B651</f>
        <v>1464-LOT 1 OF 1464-1466A</v>
      </c>
      <c r="C105" s="319">
        <v>23024400</v>
      </c>
      <c r="D105" s="268" t="str">
        <f>'MERGED HEAVY IND'!E651</f>
        <v>BRIAN JAMES</v>
      </c>
      <c r="E105" s="268" t="str">
        <f>'MERGED HEAVY IND'!C651</f>
        <v>No 15 PARK ROAD</v>
      </c>
      <c r="F105" s="268" t="s">
        <v>1928</v>
      </c>
      <c r="G105" s="268" t="s">
        <v>1260</v>
      </c>
      <c r="H105" s="271">
        <f>'MERGED HEAVY IND'!D660</f>
        <v>6815</v>
      </c>
      <c r="I105" s="332">
        <f>'MERGED HEAVY IND'!H660</f>
        <v>54520</v>
      </c>
      <c r="J105" s="332">
        <f>'MERGED HEAVY IND'!H659</f>
        <v>519387</v>
      </c>
      <c r="K105" s="270">
        <f>'MERGED HEAVY IND'!H661</f>
        <v>573907</v>
      </c>
      <c r="L105" t="s">
        <v>47</v>
      </c>
    </row>
    <row r="106" spans="1:12" x14ac:dyDescent="0.3">
      <c r="A106" s="266"/>
      <c r="B106" s="277"/>
      <c r="C106" s="319"/>
      <c r="D106" s="268"/>
      <c r="E106" s="268"/>
      <c r="F106" s="268"/>
      <c r="G106" s="268"/>
      <c r="H106" s="271"/>
      <c r="I106" s="332"/>
      <c r="J106" s="332"/>
      <c r="K106" s="270"/>
    </row>
    <row r="107" spans="1:12" ht="28.8" x14ac:dyDescent="0.3">
      <c r="A107" s="266">
        <f>A105+1</f>
        <v>50</v>
      </c>
      <c r="B107" s="279" t="str">
        <f>'MERGED HEAVY IND'!B662</f>
        <v>1882A</v>
      </c>
      <c r="C107" s="319">
        <v>23026100</v>
      </c>
      <c r="D107" s="267" t="str">
        <f>'MERGED HEAVY IND'!E662</f>
        <v>ZUVA PETROLEUM (HUNDER MARK)</v>
      </c>
      <c r="E107" s="267" t="str">
        <f>'MERGED HEAVY IND'!C662</f>
        <v>1 CHIMANIMANI ROAD</v>
      </c>
      <c r="F107" s="268" t="s">
        <v>1928</v>
      </c>
      <c r="G107" s="267" t="s">
        <v>1253</v>
      </c>
      <c r="H107" s="269">
        <f>'MERGED HEAVY IND'!D675</f>
        <v>3845</v>
      </c>
      <c r="I107" s="332">
        <f>'MERGED HEAVY IND'!H675</f>
        <v>30760</v>
      </c>
      <c r="J107" s="332">
        <f>'MERGED HEAVY IND'!H674</f>
        <v>265291</v>
      </c>
      <c r="K107" s="270">
        <f>'MERGED HEAVY IND'!H676</f>
        <v>296051</v>
      </c>
      <c r="L107" t="s">
        <v>968</v>
      </c>
    </row>
    <row r="108" spans="1:12" x14ac:dyDescent="0.3">
      <c r="A108" s="266"/>
      <c r="B108" s="279"/>
      <c r="C108" s="319"/>
      <c r="D108" s="267"/>
      <c r="E108" s="267"/>
      <c r="F108" s="268"/>
      <c r="G108" s="267"/>
      <c r="H108" s="269"/>
      <c r="I108" s="332"/>
      <c r="J108" s="332"/>
      <c r="K108" s="270"/>
    </row>
    <row r="109" spans="1:12" x14ac:dyDescent="0.3">
      <c r="A109" s="266">
        <f>A107+1</f>
        <v>51</v>
      </c>
      <c r="B109" s="277" t="str">
        <f>'MERGED HEAVY IND'!B678</f>
        <v>1886A</v>
      </c>
      <c r="C109" s="319">
        <v>23026200</v>
      </c>
      <c r="D109" s="268" t="str">
        <f>'MERGED HEAVY IND'!E678</f>
        <v>P. G TIMBERS</v>
      </c>
      <c r="E109" s="268" t="str">
        <f>'MERGED HEAVY IND'!C678</f>
        <v>27 BVUMBA ROAD</v>
      </c>
      <c r="F109" s="268" t="s">
        <v>1928</v>
      </c>
      <c r="G109" s="268" t="s">
        <v>1276</v>
      </c>
      <c r="H109" s="271">
        <f>'MERGED HEAVY IND'!D692</f>
        <v>76782</v>
      </c>
      <c r="I109" s="332">
        <f>'MERGED HEAVY IND'!H692</f>
        <v>273564</v>
      </c>
      <c r="J109" s="332">
        <f>'MERGED HEAVY IND'!H691</f>
        <v>1191175.9599999997</v>
      </c>
      <c r="K109" s="270">
        <f>'MERGED HEAVY IND'!H693</f>
        <v>1464739.9599999997</v>
      </c>
      <c r="L109" t="s">
        <v>987</v>
      </c>
    </row>
    <row r="110" spans="1:12" x14ac:dyDescent="0.3">
      <c r="A110" s="266"/>
      <c r="B110" s="277"/>
      <c r="C110" s="319"/>
      <c r="D110" s="268"/>
      <c r="E110" s="268"/>
      <c r="F110" s="268"/>
      <c r="G110" s="268"/>
      <c r="H110" s="271"/>
      <c r="I110" s="332"/>
      <c r="J110" s="332"/>
      <c r="K110" s="270"/>
    </row>
    <row r="111" spans="1:12" ht="28.8" x14ac:dyDescent="0.3">
      <c r="A111" s="266">
        <f>A109+1</f>
        <v>52</v>
      </c>
      <c r="B111" s="277">
        <f>'MERGED HEAVY IND'!B695</f>
        <v>1916</v>
      </c>
      <c r="C111" s="319">
        <v>23009800</v>
      </c>
      <c r="D111" s="268" t="str">
        <f>'MERGED HEAVY IND'!E695</f>
        <v>ZESA</v>
      </c>
      <c r="E111" s="268" t="str">
        <f>'MERGED HEAVY IND'!C695</f>
        <v>14-18 PARK ROAD</v>
      </c>
      <c r="F111" s="268" t="s">
        <v>1928</v>
      </c>
      <c r="G111" s="268" t="s">
        <v>1271</v>
      </c>
      <c r="H111" s="271">
        <f>'MERGED HEAVY IND'!D704</f>
        <v>18512</v>
      </c>
      <c r="I111" s="332">
        <f>'MERGED HEAVY IND'!H704</f>
        <v>131072</v>
      </c>
      <c r="J111" s="332">
        <f>'MERGED HEAVY IND'!H703</f>
        <v>101250</v>
      </c>
      <c r="K111" s="270">
        <f>'MERGED HEAVY IND'!H705</f>
        <v>232322</v>
      </c>
      <c r="L111">
        <v>1916</v>
      </c>
    </row>
    <row r="112" spans="1:12" x14ac:dyDescent="0.3">
      <c r="A112" s="266"/>
      <c r="B112" s="277"/>
      <c r="C112" s="319"/>
      <c r="D112" s="268"/>
      <c r="E112" s="268"/>
      <c r="F112" s="268"/>
      <c r="G112" s="268"/>
      <c r="H112" s="271"/>
      <c r="I112" s="332"/>
      <c r="J112" s="332"/>
      <c r="K112" s="270"/>
    </row>
    <row r="113" spans="1:12" ht="28.8" x14ac:dyDescent="0.3">
      <c r="A113" s="266">
        <f>A111+1</f>
        <v>53</v>
      </c>
      <c r="B113" s="277">
        <f>'MERGED HEAVY IND'!B707</f>
        <v>1917</v>
      </c>
      <c r="C113" s="319">
        <v>23024500</v>
      </c>
      <c r="D113" s="268" t="str">
        <f>'MERGED HEAVY IND'!E707</f>
        <v>ZETDC MUTARE REGION</v>
      </c>
      <c r="E113" s="268" t="str">
        <f>'MERGED HEAVY IND'!C707</f>
        <v>No 9 PARK R.D</v>
      </c>
      <c r="F113" s="268" t="s">
        <v>1928</v>
      </c>
      <c r="G113" s="268" t="s">
        <v>1252</v>
      </c>
      <c r="H113" s="271">
        <f>'MERGED HEAVY IND'!D725</f>
        <v>19184</v>
      </c>
      <c r="I113" s="332">
        <f>'MERGED HEAVY IND'!H725</f>
        <v>135104</v>
      </c>
      <c r="J113" s="332">
        <f>'MERGED HEAVY IND'!H724</f>
        <v>540192.5</v>
      </c>
      <c r="K113" s="270">
        <f>'MERGED HEAVY IND'!H726</f>
        <v>675296.5</v>
      </c>
      <c r="L113">
        <v>1917</v>
      </c>
    </row>
    <row r="114" spans="1:12" x14ac:dyDescent="0.3">
      <c r="A114" s="266"/>
      <c r="B114" s="277"/>
      <c r="C114" s="319"/>
      <c r="D114" s="268"/>
      <c r="E114" s="268"/>
      <c r="F114" s="268"/>
      <c r="G114" s="268"/>
      <c r="H114" s="271"/>
      <c r="I114" s="332"/>
      <c r="J114" s="332"/>
      <c r="K114" s="270"/>
    </row>
    <row r="115" spans="1:12" ht="28.8" x14ac:dyDescent="0.3">
      <c r="A115" s="266">
        <f>A113+1</f>
        <v>54</v>
      </c>
      <c r="B115" s="277" t="str">
        <f>'MERGED HEAVY IND'!B729</f>
        <v>POWER STATION SITE</v>
      </c>
      <c r="C115" s="319">
        <v>23025700</v>
      </c>
      <c r="D115" s="268" t="str">
        <f>'MERGED HEAVY IND'!E729</f>
        <v>ZIMBABWE POWER COMPANY</v>
      </c>
      <c r="E115" s="268" t="str">
        <f>'MERGED HEAVY IND'!C729</f>
        <v>No 2 GLASSGOW R.D</v>
      </c>
      <c r="F115" s="268" t="s">
        <v>1928</v>
      </c>
      <c r="G115" s="268" t="s">
        <v>1271</v>
      </c>
      <c r="H115" s="271">
        <f>'MERGED HEAVY IND'!D744</f>
        <v>46418</v>
      </c>
      <c r="I115" s="332">
        <f>'MERGED HEAVY IND'!H744</f>
        <v>212836</v>
      </c>
      <c r="J115" s="332">
        <f>'MERGED HEAVY IND'!H743</f>
        <v>707080.60000000009</v>
      </c>
      <c r="K115" s="270">
        <f>'MERGED HEAVY IND'!H745</f>
        <v>919916.60000000009</v>
      </c>
      <c r="L115" t="s">
        <v>62</v>
      </c>
    </row>
    <row r="116" spans="1:12" x14ac:dyDescent="0.3">
      <c r="A116" s="266"/>
      <c r="B116" s="277"/>
      <c r="C116" s="319"/>
      <c r="D116" s="268"/>
      <c r="E116" s="268"/>
      <c r="F116" s="268"/>
      <c r="G116" s="268"/>
      <c r="H116" s="271"/>
      <c r="I116" s="332"/>
      <c r="J116" s="332"/>
      <c r="K116" s="270"/>
    </row>
    <row r="117" spans="1:12" ht="28.8" x14ac:dyDescent="0.3">
      <c r="A117" s="266">
        <f>A115+1</f>
        <v>55</v>
      </c>
      <c r="B117" s="277">
        <f>'MERGED HEAVY IND'!B747</f>
        <v>1922</v>
      </c>
      <c r="C117" s="319">
        <v>23022400</v>
      </c>
      <c r="D117" s="268" t="str">
        <f>'MERGED HEAVY IND'!E747</f>
        <v>GOVERNMENT OF ZIMBABWE [CMED]</v>
      </c>
      <c r="E117" s="268" t="str">
        <f>'MERGED HEAVY IND'!C747</f>
        <v>25 VUMBA ROAD</v>
      </c>
      <c r="F117" s="268" t="s">
        <v>1928</v>
      </c>
      <c r="G117" s="268" t="s">
        <v>1252</v>
      </c>
      <c r="H117" s="271">
        <f>'MERGED HEAVY IND'!D768</f>
        <v>68230</v>
      </c>
      <c r="I117" s="332">
        <f>'MERGED HEAVY IND'!H768</f>
        <v>256460</v>
      </c>
      <c r="J117" s="332">
        <f>'MERGED HEAVY IND'!H767</f>
        <v>509085.13000000006</v>
      </c>
      <c r="K117" s="270">
        <f>'MERGED HEAVY IND'!H769</f>
        <v>765545.13000000012</v>
      </c>
      <c r="L117">
        <v>1922</v>
      </c>
    </row>
    <row r="118" spans="1:12" x14ac:dyDescent="0.3">
      <c r="A118" s="266"/>
      <c r="B118" s="277"/>
      <c r="C118" s="319"/>
      <c r="D118" s="268"/>
      <c r="E118" s="268"/>
      <c r="F118" s="268"/>
      <c r="G118" s="268"/>
      <c r="H118" s="271"/>
      <c r="I118" s="332"/>
      <c r="J118" s="332"/>
      <c r="K118" s="270"/>
    </row>
    <row r="119" spans="1:12" ht="28.8" x14ac:dyDescent="0.3">
      <c r="A119" s="266">
        <f>A117+1</f>
        <v>56</v>
      </c>
      <c r="B119" s="277">
        <f>'MERGED HEAVY IND'!B771</f>
        <v>1926</v>
      </c>
      <c r="C119" s="319">
        <v>23004300</v>
      </c>
      <c r="D119" s="268" t="str">
        <f>'MERGED HEAVY IND'!E771</f>
        <v>SCHWEPPES MUTARE</v>
      </c>
      <c r="E119" s="268" t="str">
        <f>'MERGED HEAVY IND'!C771</f>
        <v>5 VUMBA ROAD</v>
      </c>
      <c r="F119" s="268" t="s">
        <v>1928</v>
      </c>
      <c r="G119" s="268" t="s">
        <v>1251</v>
      </c>
      <c r="H119" s="271">
        <f>'MERGED HEAVY IND'!D778</f>
        <v>8944</v>
      </c>
      <c r="I119" s="332">
        <f>'MERGED HEAVY IND'!H778</f>
        <v>71552</v>
      </c>
      <c r="J119" s="332">
        <f>'MERGED HEAVY IND'!H777</f>
        <v>130106.395</v>
      </c>
      <c r="K119" s="270">
        <f>'MERGED HEAVY IND'!H779</f>
        <v>201658.39500000002</v>
      </c>
      <c r="L119">
        <v>1926</v>
      </c>
    </row>
    <row r="120" spans="1:12" x14ac:dyDescent="0.3">
      <c r="A120" s="266"/>
      <c r="B120" s="277"/>
      <c r="C120" s="319"/>
      <c r="D120" s="268"/>
      <c r="E120" s="268"/>
      <c r="F120" s="268"/>
      <c r="G120" s="268"/>
      <c r="H120" s="271"/>
      <c r="I120" s="332"/>
      <c r="J120" s="332"/>
      <c r="K120" s="270"/>
    </row>
    <row r="121" spans="1:12" ht="28.8" x14ac:dyDescent="0.3">
      <c r="A121" s="266">
        <f>A119+1</f>
        <v>57</v>
      </c>
      <c r="B121" s="277">
        <f>'MERGED HEAVY IND'!B781</f>
        <v>1975</v>
      </c>
      <c r="C121" s="319">
        <v>23006205</v>
      </c>
      <c r="D121" s="268" t="str">
        <f>'MERGED HEAVY IND'!E781</f>
        <v>HC BELL &amp; SONS ENGINEERING</v>
      </c>
      <c r="E121" s="268" t="str">
        <f>'MERGED HEAVY IND'!C781</f>
        <v>24 GLASGOW ROAD</v>
      </c>
      <c r="F121" s="268" t="s">
        <v>1928</v>
      </c>
      <c r="G121" s="268" t="s">
        <v>1252</v>
      </c>
      <c r="H121" s="271">
        <f>'MERGED HEAVY IND'!D787</f>
        <v>7759</v>
      </c>
      <c r="I121" s="332">
        <f>'MERGED HEAVY IND'!H787</f>
        <v>62072</v>
      </c>
      <c r="J121" s="332">
        <f>'MERGED HEAVY IND'!H786</f>
        <v>378601.25</v>
      </c>
      <c r="K121" s="270">
        <f>'MERGED HEAVY IND'!H788</f>
        <v>440673.25</v>
      </c>
      <c r="L121">
        <v>1975</v>
      </c>
    </row>
    <row r="122" spans="1:12" x14ac:dyDescent="0.3">
      <c r="A122" s="266"/>
      <c r="B122" s="277"/>
      <c r="C122" s="319"/>
      <c r="D122" s="268"/>
      <c r="E122" s="268"/>
      <c r="F122" s="268"/>
      <c r="G122" s="268"/>
      <c r="H122" s="271"/>
      <c r="I122" s="332"/>
      <c r="J122" s="332"/>
      <c r="K122" s="270"/>
    </row>
    <row r="123" spans="1:12" x14ac:dyDescent="0.3">
      <c r="A123" s="266">
        <f>A121+1</f>
        <v>58</v>
      </c>
      <c r="B123" s="277">
        <f>'MERGED HEAVY IND'!B789</f>
        <v>1980</v>
      </c>
      <c r="C123" s="319">
        <v>23026400</v>
      </c>
      <c r="D123" s="268" t="str">
        <f>'MERGED HEAVY IND'!E789</f>
        <v>U. GROTIS</v>
      </c>
      <c r="E123" s="268" t="str">
        <f>'MERGED HEAVY IND'!C789</f>
        <v>6 GLASGOW ROAD</v>
      </c>
      <c r="F123" s="268" t="s">
        <v>1928</v>
      </c>
      <c r="G123" s="268" t="s">
        <v>1252</v>
      </c>
      <c r="H123" s="271">
        <f>'MERGED HEAVY IND'!D796</f>
        <v>2498</v>
      </c>
      <c r="I123" s="332">
        <f>'MERGED HEAVY IND'!H796</f>
        <v>19984</v>
      </c>
      <c r="J123" s="332">
        <f>'MERGED HEAVY IND'!H795</f>
        <v>340440</v>
      </c>
      <c r="K123" s="270">
        <f>'MERGED HEAVY IND'!H797</f>
        <v>360424</v>
      </c>
      <c r="L123">
        <v>1980</v>
      </c>
    </row>
    <row r="124" spans="1:12" x14ac:dyDescent="0.3">
      <c r="A124" s="266"/>
      <c r="B124" s="277"/>
      <c r="C124" s="319"/>
      <c r="D124" s="268"/>
      <c r="E124" s="268"/>
      <c r="F124" s="268"/>
      <c r="G124" s="268"/>
      <c r="H124" s="271"/>
      <c r="I124" s="332"/>
      <c r="J124" s="332"/>
      <c r="K124" s="270"/>
    </row>
    <row r="125" spans="1:12" x14ac:dyDescent="0.3">
      <c r="A125" s="266">
        <f>A123+1</f>
        <v>59</v>
      </c>
      <c r="B125" s="277">
        <f>'MERGED HEAVY IND'!B798</f>
        <v>1981</v>
      </c>
      <c r="C125" s="319">
        <v>23026500</v>
      </c>
      <c r="D125" s="268" t="str">
        <f>'MERGED HEAVY IND'!E798</f>
        <v>GOLLY BAKERY</v>
      </c>
      <c r="E125" s="268" t="str">
        <f>'MERGED HEAVY IND'!C798</f>
        <v>4 GLASGOW ROAD</v>
      </c>
      <c r="F125" s="268" t="s">
        <v>1928</v>
      </c>
      <c r="G125" s="268" t="s">
        <v>1268</v>
      </c>
      <c r="H125" s="271">
        <f>'MERGED HEAVY IND'!D803</f>
        <v>4325</v>
      </c>
      <c r="I125" s="332">
        <f>'MERGED HEAVY IND'!H803</f>
        <v>34600</v>
      </c>
      <c r="J125" s="332">
        <f>'MERGED HEAVY IND'!H802</f>
        <v>709143.75</v>
      </c>
      <c r="K125" s="270">
        <f>'MERGED HEAVY IND'!H804</f>
        <v>743743.75</v>
      </c>
      <c r="L125">
        <v>1981</v>
      </c>
    </row>
    <row r="126" spans="1:12" x14ac:dyDescent="0.3">
      <c r="A126" s="266"/>
      <c r="B126" s="277"/>
      <c r="C126" s="319"/>
      <c r="D126" s="268"/>
      <c r="E126" s="268"/>
      <c r="F126" s="268"/>
      <c r="G126" s="268"/>
      <c r="H126" s="271"/>
      <c r="I126" s="332"/>
      <c r="J126" s="332"/>
      <c r="K126" s="270"/>
    </row>
    <row r="127" spans="1:12" ht="28.8" x14ac:dyDescent="0.3">
      <c r="A127" s="266">
        <f>A125+1</f>
        <v>60</v>
      </c>
      <c r="B127" s="277">
        <f>'MERGED HEAVY IND'!B806</f>
        <v>1985</v>
      </c>
      <c r="C127" s="319">
        <v>23026700</v>
      </c>
      <c r="D127" s="268" t="str">
        <f>'MERGED HEAVY IND'!E806</f>
        <v>TOTAL SERVICE STATION</v>
      </c>
      <c r="E127" s="268" t="str">
        <f>'MERGED HEAVY IND'!C806</f>
        <v>OFF VUMBA ROAD</v>
      </c>
      <c r="F127" s="268" t="s">
        <v>1928</v>
      </c>
      <c r="G127" s="268" t="s">
        <v>1253</v>
      </c>
      <c r="H127" s="271">
        <f>'MERGED HEAVY IND'!D814</f>
        <v>4421</v>
      </c>
      <c r="I127" s="332">
        <f>'MERGED HEAVY IND'!H814</f>
        <v>35368</v>
      </c>
      <c r="J127" s="332">
        <f>'MERGED HEAVY IND'!H813</f>
        <v>84156.800000000003</v>
      </c>
      <c r="K127" s="270">
        <f>'MERGED HEAVY IND'!H815</f>
        <v>119524.8</v>
      </c>
      <c r="L127">
        <v>1985</v>
      </c>
    </row>
    <row r="128" spans="1:12" x14ac:dyDescent="0.3">
      <c r="A128" s="266"/>
      <c r="B128" s="277"/>
      <c r="C128" s="319"/>
      <c r="D128" s="268"/>
      <c r="E128" s="268"/>
      <c r="F128" s="268"/>
      <c r="G128" s="268"/>
      <c r="H128" s="271"/>
      <c r="I128" s="332"/>
      <c r="J128" s="332"/>
      <c r="K128" s="270"/>
    </row>
    <row r="129" spans="1:12" ht="28.8" x14ac:dyDescent="0.3">
      <c r="A129" s="266">
        <f>A127+1</f>
        <v>61</v>
      </c>
      <c r="B129" s="277">
        <v>2495</v>
      </c>
      <c r="C129" s="319">
        <v>23005100</v>
      </c>
      <c r="D129" s="268" t="str">
        <f>'MERGED HEAVY IND'!E817</f>
        <v>STEWARD AND LLOYDS (L.MUGABE)</v>
      </c>
      <c r="E129" s="268" t="str">
        <f>'MERGED HEAVY IND'!C817</f>
        <v>No 5 INDUSTRIAL ROAD</v>
      </c>
      <c r="F129" s="268" t="s">
        <v>1928</v>
      </c>
      <c r="G129" s="268" t="s">
        <v>1252</v>
      </c>
      <c r="H129" s="271">
        <f>'MERGED HEAVY IND'!D828</f>
        <v>12500</v>
      </c>
      <c r="I129" s="332">
        <f>'MERGED HEAVY IND'!H828</f>
        <v>95000</v>
      </c>
      <c r="J129" s="332">
        <f>'MERGED HEAVY IND'!H827</f>
        <v>197731.85</v>
      </c>
      <c r="K129" s="270">
        <f>'MERGED HEAVY IND'!H829</f>
        <v>292731.84999999998</v>
      </c>
      <c r="L129">
        <v>2495</v>
      </c>
    </row>
    <row r="130" spans="1:12" x14ac:dyDescent="0.3">
      <c r="A130" s="266"/>
      <c r="B130" s="277"/>
      <c r="C130" s="319"/>
      <c r="D130" s="268"/>
      <c r="E130" s="268"/>
      <c r="F130" s="268"/>
      <c r="G130" s="268"/>
      <c r="H130" s="271"/>
      <c r="I130" s="332"/>
      <c r="J130" s="332"/>
      <c r="K130" s="270"/>
    </row>
    <row r="131" spans="1:12" s="1" customFormat="1" ht="28.8" x14ac:dyDescent="0.3">
      <c r="A131" s="266">
        <f>A129+1</f>
        <v>62</v>
      </c>
      <c r="B131" s="277">
        <f>'MERGED HEAVY IND'!B831</f>
        <v>2172</v>
      </c>
      <c r="C131" s="319">
        <v>23008400</v>
      </c>
      <c r="D131" s="268" t="str">
        <f>'MERGED HEAVY IND'!E831</f>
        <v>AFRICAN DISTILLERS (AFDIS)</v>
      </c>
      <c r="E131" s="268" t="str">
        <f>'MERGED HEAVY IND'!C831</f>
        <v>22 PARK ROAD</v>
      </c>
      <c r="F131" s="268" t="s">
        <v>1928</v>
      </c>
      <c r="G131" s="268" t="s">
        <v>1251</v>
      </c>
      <c r="H131" s="271">
        <f>'MERGED HEAVY IND'!D839</f>
        <v>3921</v>
      </c>
      <c r="I131" s="332">
        <f>'MERGED HEAVY IND'!H839</f>
        <v>31368</v>
      </c>
      <c r="J131" s="332">
        <f>'MERGED HEAVY IND'!H838</f>
        <v>200719</v>
      </c>
      <c r="K131" s="270">
        <f>'MERGED HEAVY IND'!H840</f>
        <v>232087</v>
      </c>
      <c r="L131" s="1">
        <v>2172</v>
      </c>
    </row>
    <row r="132" spans="1:12" s="1" customFormat="1" x14ac:dyDescent="0.3">
      <c r="A132" s="266"/>
      <c r="B132" s="277"/>
      <c r="C132" s="319"/>
      <c r="D132" s="268"/>
      <c r="E132" s="268"/>
      <c r="F132" s="268"/>
      <c r="G132" s="268"/>
      <c r="H132" s="271"/>
      <c r="I132" s="332"/>
      <c r="J132" s="332"/>
      <c r="K132" s="270"/>
    </row>
    <row r="133" spans="1:12" s="1" customFormat="1" ht="28.8" x14ac:dyDescent="0.3">
      <c r="A133" s="266">
        <f>A131+1</f>
        <v>63</v>
      </c>
      <c r="B133" s="279" t="str">
        <f>'MERGED HEAVY IND'!B842</f>
        <v>2174A</v>
      </c>
      <c r="C133" s="319">
        <v>23008800</v>
      </c>
      <c r="D133" s="267" t="str">
        <f>'MERGED HEAVY IND'!E842</f>
        <v>NATIONAL TYRE SERVICES</v>
      </c>
      <c r="E133" s="267" t="str">
        <f>'MERGED HEAVY IND'!C842</f>
        <v>26 PARK ROAD</v>
      </c>
      <c r="F133" s="268" t="s">
        <v>1928</v>
      </c>
      <c r="G133" s="267" t="s">
        <v>1252</v>
      </c>
      <c r="H133" s="269">
        <f>'MERGED HEAVY IND'!D852</f>
        <v>9140</v>
      </c>
      <c r="I133" s="332">
        <f>'MERGED HEAVY IND'!H852</f>
        <v>73120</v>
      </c>
      <c r="J133" s="332">
        <f>'MERGED HEAVY IND'!H851</f>
        <v>533991.9</v>
      </c>
      <c r="K133" s="270">
        <f>'MERGED HEAVY IND'!H853</f>
        <v>607111.9</v>
      </c>
      <c r="L133" s="1" t="s">
        <v>980</v>
      </c>
    </row>
    <row r="134" spans="1:12" x14ac:dyDescent="0.3">
      <c r="A134" s="266"/>
      <c r="B134" s="279"/>
      <c r="C134" s="319"/>
      <c r="D134" s="267"/>
      <c r="E134" s="267"/>
      <c r="F134" s="268"/>
      <c r="G134" s="267"/>
      <c r="H134" s="269"/>
      <c r="I134" s="332"/>
      <c r="J134" s="332"/>
      <c r="K134" s="270"/>
    </row>
    <row r="135" spans="1:12" ht="28.8" x14ac:dyDescent="0.3">
      <c r="A135" s="266">
        <f t="shared" ref="A135:A145" si="0">A133+1</f>
        <v>64</v>
      </c>
      <c r="B135" s="279">
        <f>'MERGED HEAVY IND'!B855</f>
        <v>2176</v>
      </c>
      <c r="C135" s="319">
        <v>23026800</v>
      </c>
      <c r="D135" s="267" t="str">
        <f>'MERGED HEAVY IND'!E855</f>
        <v>E. CALSEN PRIVATE LMITED</v>
      </c>
      <c r="E135" s="267" t="str">
        <f>'MERGED HEAVY IND'!C855</f>
        <v>12 INDUSTRIAL ROAD</v>
      </c>
      <c r="F135" s="268" t="s">
        <v>1928</v>
      </c>
      <c r="G135" s="267" t="s">
        <v>1252</v>
      </c>
      <c r="H135" s="269">
        <f>'MERGED HEAVY IND'!D861</f>
        <v>5474</v>
      </c>
      <c r="I135" s="332">
        <f>'MERGED HEAVY IND'!H861</f>
        <v>43792</v>
      </c>
      <c r="J135" s="332">
        <f>'MERGED HEAVY IND'!H860</f>
        <v>241761</v>
      </c>
      <c r="K135" s="270">
        <f>'MERGED HEAVY IND'!H862</f>
        <v>285553</v>
      </c>
      <c r="L135">
        <v>2176</v>
      </c>
    </row>
    <row r="136" spans="1:12" x14ac:dyDescent="0.3">
      <c r="A136" s="266"/>
      <c r="B136" s="277"/>
      <c r="C136" s="319"/>
      <c r="D136" s="268"/>
      <c r="E136" s="268"/>
      <c r="F136" s="268"/>
      <c r="G136" s="268"/>
      <c r="H136" s="271"/>
      <c r="I136" s="332"/>
      <c r="J136" s="332"/>
      <c r="K136" s="270"/>
    </row>
    <row r="137" spans="1:12" ht="28.8" x14ac:dyDescent="0.3">
      <c r="A137" s="266">
        <f t="shared" si="0"/>
        <v>65</v>
      </c>
      <c r="B137" s="277">
        <f>'MERGED HEAVY IND'!B864</f>
        <v>3905</v>
      </c>
      <c r="C137" s="319">
        <v>23029200</v>
      </c>
      <c r="D137" s="267" t="str">
        <f>'MERGED HEAVY IND'!E864</f>
        <v>DA SILVA MARIA DELL</v>
      </c>
      <c r="E137" s="268" t="str">
        <f>'MERGED HEAVY IND'!C864</f>
        <v>12 PARK ROAD</v>
      </c>
      <c r="F137" s="268" t="s">
        <v>1928</v>
      </c>
      <c r="G137" s="268" t="s">
        <v>1272</v>
      </c>
      <c r="H137" s="271">
        <f>'MERGED HEAVY IND'!D872</f>
        <v>2639</v>
      </c>
      <c r="I137" s="332">
        <f>'MERGED HEAVY IND'!H872</f>
        <v>21112</v>
      </c>
      <c r="J137" s="332">
        <f>'MERGED HEAVY IND'!H871</f>
        <v>209307.5</v>
      </c>
      <c r="K137" s="270">
        <f>'MERGED HEAVY IND'!H873</f>
        <v>230419.5</v>
      </c>
      <c r="L137">
        <v>3905</v>
      </c>
    </row>
    <row r="138" spans="1:12" x14ac:dyDescent="0.3">
      <c r="A138" s="266"/>
      <c r="B138" s="277"/>
      <c r="C138" s="319"/>
      <c r="D138" s="268"/>
      <c r="E138" s="268"/>
      <c r="F138" s="268"/>
      <c r="G138" s="268"/>
      <c r="H138" s="271"/>
      <c r="I138" s="332"/>
      <c r="J138" s="332"/>
      <c r="K138" s="270"/>
    </row>
    <row r="139" spans="1:12" x14ac:dyDescent="0.3">
      <c r="A139" s="266">
        <f t="shared" si="0"/>
        <v>66</v>
      </c>
      <c r="B139" s="277">
        <f>'MERGED HEAVY IND'!B874</f>
        <v>5001</v>
      </c>
      <c r="C139" s="319">
        <v>23020800</v>
      </c>
      <c r="D139" s="268" t="str">
        <f>'MERGED HEAVY IND'!E874</f>
        <v>TELONE</v>
      </c>
      <c r="E139" s="268" t="str">
        <f>'MERGED HEAVY IND'!C874</f>
        <v>OFF NEW-CASTLE R.D</v>
      </c>
      <c r="F139" s="268" t="s">
        <v>1928</v>
      </c>
      <c r="G139" s="268" t="s">
        <v>1252</v>
      </c>
      <c r="H139" s="271">
        <f>'MERGED HEAVY IND'!D893</f>
        <v>11911</v>
      </c>
      <c r="I139" s="332">
        <f>'MERGED HEAVY IND'!H893</f>
        <v>91466</v>
      </c>
      <c r="J139" s="332">
        <f>'MERGED HEAVY IND'!H892</f>
        <v>171002</v>
      </c>
      <c r="K139" s="270">
        <f>'MERGED HEAVY IND'!H894</f>
        <v>262468</v>
      </c>
      <c r="L139">
        <v>5001</v>
      </c>
    </row>
    <row r="140" spans="1:12" x14ac:dyDescent="0.3">
      <c r="A140" s="266"/>
      <c r="B140" s="277"/>
      <c r="C140" s="319"/>
      <c r="D140" s="268"/>
      <c r="E140" s="268"/>
      <c r="F140" s="268"/>
      <c r="G140" s="268"/>
      <c r="H140" s="271"/>
      <c r="I140" s="332"/>
      <c r="J140" s="332"/>
      <c r="K140" s="270"/>
    </row>
    <row r="141" spans="1:12" ht="57.6" x14ac:dyDescent="0.3">
      <c r="A141" s="266">
        <f t="shared" si="0"/>
        <v>67</v>
      </c>
      <c r="B141" s="277">
        <f>'MERGED HEAVY IND'!B895</f>
        <v>5026</v>
      </c>
      <c r="C141" s="319">
        <v>23021200</v>
      </c>
      <c r="D141" s="268" t="str">
        <f>'MERGED HEAVY IND'!E895</f>
        <v>PICKTALK INVESTMENTS(METRO PEECH WHOLESALE)</v>
      </c>
      <c r="E141" s="268" t="str">
        <f>'MERGED HEAVY IND'!C895</f>
        <v>No 1 GLASSGOW ROAD</v>
      </c>
      <c r="F141" s="268" t="s">
        <v>1928</v>
      </c>
      <c r="G141" s="268" t="s">
        <v>1266</v>
      </c>
      <c r="H141" s="271">
        <f>'MERGED HEAVY IND'!D902</f>
        <v>3413</v>
      </c>
      <c r="I141" s="332">
        <f>'MERGED HEAVY IND'!H902</f>
        <v>27304</v>
      </c>
      <c r="J141" s="332">
        <f>'MERGED HEAVY IND'!H901</f>
        <v>352744.49999999994</v>
      </c>
      <c r="K141" s="270">
        <f>'MERGED HEAVY IND'!H903</f>
        <v>380048.49999999994</v>
      </c>
      <c r="L141">
        <v>5026</v>
      </c>
    </row>
    <row r="142" spans="1:12" x14ac:dyDescent="0.3">
      <c r="A142" s="266"/>
      <c r="B142" s="277"/>
      <c r="C142" s="319"/>
      <c r="D142" s="268"/>
      <c r="E142" s="268"/>
      <c r="F142" s="268"/>
      <c r="G142" s="268"/>
      <c r="H142" s="271"/>
      <c r="I142" s="332"/>
      <c r="J142" s="332"/>
      <c r="K142" s="270"/>
    </row>
    <row r="143" spans="1:12" ht="28.8" x14ac:dyDescent="0.3">
      <c r="A143" s="266">
        <f t="shared" si="0"/>
        <v>68</v>
      </c>
      <c r="B143" s="277">
        <f>'MERGED HEAVY IND'!B904</f>
        <v>5037</v>
      </c>
      <c r="C143" s="319">
        <v>11015000</v>
      </c>
      <c r="D143" s="268" t="str">
        <f>'MERGED HEAVY IND'!E904</f>
        <v>NATHOO INVESTMENTS</v>
      </c>
      <c r="E143" s="268" t="str">
        <f>'MERGED HEAVY IND'!C904</f>
        <v>12A PARK ROAD</v>
      </c>
      <c r="F143" s="268" t="s">
        <v>1928</v>
      </c>
      <c r="G143" s="268" t="s">
        <v>1252</v>
      </c>
      <c r="H143" s="271">
        <f>'MERGED HEAVY IND'!D909</f>
        <v>3077</v>
      </c>
      <c r="I143" s="332">
        <f>'MERGED HEAVY IND'!H909</f>
        <v>24616</v>
      </c>
      <c r="J143" s="332">
        <f>'MERGED HEAVY IND'!H908</f>
        <v>285525</v>
      </c>
      <c r="K143" s="270">
        <f>'MERGED HEAVY IND'!H910</f>
        <v>310141</v>
      </c>
      <c r="L143">
        <v>5037</v>
      </c>
    </row>
    <row r="144" spans="1:12" s="1" customFormat="1" x14ac:dyDescent="0.3">
      <c r="A144" s="266"/>
      <c r="B144" s="277"/>
      <c r="C144" s="319"/>
      <c r="D144" s="268"/>
      <c r="E144" s="268"/>
      <c r="F144" s="268"/>
      <c r="G144" s="268"/>
      <c r="H144" s="271"/>
      <c r="I144" s="332"/>
      <c r="J144" s="332"/>
      <c r="K144" s="270"/>
    </row>
    <row r="145" spans="1:12" s="1" customFormat="1" x14ac:dyDescent="0.3">
      <c r="A145" s="266">
        <f t="shared" si="0"/>
        <v>69</v>
      </c>
      <c r="B145" s="277">
        <v>4003</v>
      </c>
      <c r="C145" s="319">
        <v>23009005</v>
      </c>
      <c r="D145" s="268" t="str">
        <f>'MERGED HEAVY IND'!E912</f>
        <v>D. MANJORO</v>
      </c>
      <c r="E145" s="268" t="str">
        <f>'MERGED HEAVY IND'!C912</f>
        <v>12A PARK ROAD</v>
      </c>
      <c r="F145" s="268" t="s">
        <v>1928</v>
      </c>
      <c r="G145" s="268" t="s">
        <v>1252</v>
      </c>
      <c r="H145" s="271">
        <f>'MERGED HEAVY IND'!D919</f>
        <v>3077</v>
      </c>
      <c r="I145" s="332">
        <f>'MERGED HEAVY IND'!H919</f>
        <v>24616</v>
      </c>
      <c r="J145" s="332">
        <f>'MERGED HEAVY IND'!H918</f>
        <v>12495</v>
      </c>
      <c r="K145" s="270">
        <f>'MERGED HEAVY IND'!H920</f>
        <v>37111</v>
      </c>
      <c r="L145" s="1">
        <v>4003</v>
      </c>
    </row>
    <row r="146" spans="1:12" s="1" customFormat="1" x14ac:dyDescent="0.3">
      <c r="A146" s="280"/>
      <c r="B146" s="277"/>
      <c r="C146" s="319"/>
      <c r="D146" s="268"/>
      <c r="E146" s="268"/>
      <c r="F146" s="268"/>
      <c r="G146" s="268"/>
      <c r="H146" s="271"/>
      <c r="I146" s="332"/>
      <c r="J146" s="332"/>
      <c r="K146" s="270"/>
    </row>
    <row r="147" spans="1:12" s="1" customFormat="1" x14ac:dyDescent="0.3">
      <c r="A147" s="280"/>
      <c r="B147" s="277"/>
      <c r="C147" s="319"/>
      <c r="D147" s="268"/>
      <c r="E147" s="268"/>
      <c r="F147" s="268"/>
      <c r="G147" s="268"/>
      <c r="H147" s="271"/>
      <c r="I147" s="332"/>
      <c r="J147" s="332"/>
      <c r="K147" s="270"/>
    </row>
    <row r="148" spans="1:12" x14ac:dyDescent="0.3">
      <c r="A148" s="266"/>
      <c r="B148" s="279"/>
      <c r="C148" s="319"/>
      <c r="D148" s="267"/>
      <c r="E148" s="267"/>
      <c r="F148" s="268"/>
      <c r="G148" s="267"/>
      <c r="H148" s="269"/>
      <c r="I148" s="332"/>
      <c r="J148" s="332"/>
      <c r="K148" s="270"/>
    </row>
    <row r="149" spans="1:12" ht="18" x14ac:dyDescent="0.35">
      <c r="A149" s="281" t="s">
        <v>1274</v>
      </c>
      <c r="B149" s="282"/>
      <c r="C149" s="325"/>
      <c r="D149" s="283"/>
      <c r="E149" s="283"/>
      <c r="F149" s="268"/>
      <c r="G149" s="283"/>
      <c r="H149" s="284"/>
      <c r="I149" s="334"/>
      <c r="J149" s="334"/>
      <c r="K149" s="285"/>
    </row>
    <row r="150" spans="1:12" x14ac:dyDescent="0.3">
      <c r="A150" s="266"/>
      <c r="B150" s="277"/>
      <c r="C150" s="319"/>
      <c r="D150" s="268"/>
      <c r="E150" s="268"/>
      <c r="F150" s="268"/>
      <c r="G150" s="268"/>
      <c r="H150" s="271"/>
      <c r="I150" s="332"/>
      <c r="J150" s="332"/>
      <c r="K150" s="270"/>
    </row>
    <row r="151" spans="1:12" ht="43.2" x14ac:dyDescent="0.3">
      <c r="A151" s="266">
        <v>70</v>
      </c>
      <c r="B151" s="277">
        <f>'MERGED HEAVY IND'!B925</f>
        <v>5063</v>
      </c>
      <c r="C151" s="319">
        <v>23014102</v>
      </c>
      <c r="D151" s="268" t="str">
        <f>'MERGED HEAVY IND'!F925</f>
        <v>CSC</v>
      </c>
      <c r="E151" s="268" t="str">
        <f>'MERGED HEAVY IND'!C925</f>
        <v>588 GLIMBY CLOSE,CHIMANIMANI ROAD</v>
      </c>
      <c r="F151" s="268" t="s">
        <v>1928</v>
      </c>
      <c r="G151" s="268" t="s">
        <v>1275</v>
      </c>
      <c r="H151" s="269">
        <f>'MERGED HEAVY IND'!D935</f>
        <v>88053</v>
      </c>
      <c r="I151" s="332">
        <f>'MERGED HEAVY IND'!H935</f>
        <v>185066.25</v>
      </c>
      <c r="J151" s="332">
        <f>'MERGED HEAVY IND'!H934</f>
        <v>491407.5</v>
      </c>
      <c r="K151" s="270">
        <f>'MERGED HEAVY IND'!H936</f>
        <v>676473.75</v>
      </c>
      <c r="L151">
        <v>5063</v>
      </c>
    </row>
    <row r="152" spans="1:12" x14ac:dyDescent="0.3">
      <c r="A152" s="266"/>
      <c r="B152" s="277"/>
      <c r="C152" s="319"/>
      <c r="D152" s="268"/>
      <c r="E152" s="268"/>
      <c r="F152" s="268"/>
      <c r="G152" s="268"/>
      <c r="H152" s="271"/>
      <c r="I152" s="332"/>
      <c r="J152" s="332"/>
      <c r="K152" s="270"/>
    </row>
    <row r="153" spans="1:12" x14ac:dyDescent="0.3">
      <c r="A153" s="266">
        <f>A151+1</f>
        <v>71</v>
      </c>
      <c r="B153" s="277" t="str">
        <f>'MERGED HEAVY IND'!B939</f>
        <v>728 A</v>
      </c>
      <c r="C153" s="319">
        <v>23039400</v>
      </c>
      <c r="D153" s="268" t="str">
        <f>'MERGED HEAVY IND'!E939</f>
        <v>MAUREEN FLOOD</v>
      </c>
      <c r="E153" s="268" t="str">
        <f>'MERGED HEAVY IND'!C939</f>
        <v xml:space="preserve">12 BVUMBA ROAD </v>
      </c>
      <c r="F153" s="268" t="s">
        <v>1928</v>
      </c>
      <c r="G153" s="268" t="s">
        <v>1260</v>
      </c>
      <c r="H153" s="271">
        <f>'MERGED HEAVY IND'!D949</f>
        <v>2700</v>
      </c>
      <c r="I153" s="332">
        <f>'MERGED HEAVY IND'!H949</f>
        <v>13500</v>
      </c>
      <c r="J153" s="332">
        <f>'MERGED HEAVY IND'!H948</f>
        <v>752963</v>
      </c>
      <c r="K153" s="270">
        <f>'MERGED HEAVY IND'!H950</f>
        <v>766463</v>
      </c>
      <c r="L153" t="s">
        <v>495</v>
      </c>
    </row>
    <row r="154" spans="1:12" x14ac:dyDescent="0.3">
      <c r="A154" s="266"/>
      <c r="B154" s="277"/>
      <c r="C154" s="319"/>
      <c r="D154" s="268"/>
      <c r="E154" s="268"/>
      <c r="F154" s="268"/>
      <c r="G154" s="268"/>
      <c r="H154" s="271"/>
      <c r="I154" s="332"/>
      <c r="J154" s="332"/>
      <c r="K154" s="270"/>
    </row>
    <row r="155" spans="1:12" x14ac:dyDescent="0.3">
      <c r="A155" s="266">
        <f>A153+1</f>
        <v>72</v>
      </c>
      <c r="B155" s="277" t="str">
        <f>'MERGED HEAVY IND'!B952</f>
        <v>REM OF 984</v>
      </c>
      <c r="C155" s="319"/>
      <c r="D155" s="268" t="str">
        <f>'MERGED HEAVY IND'!E952</f>
        <v>J. TENGA</v>
      </c>
      <c r="E155" s="268" t="str">
        <f>'MERGED HEAVY IND'!C952</f>
        <v>23 HELENS DRIVE</v>
      </c>
      <c r="F155" s="268" t="s">
        <v>1928</v>
      </c>
      <c r="G155" s="268" t="s">
        <v>1252</v>
      </c>
      <c r="H155" s="271">
        <f>'MERGED HEAVY IND'!D957</f>
        <v>2700</v>
      </c>
      <c r="I155" s="332">
        <f>'MERGED HEAVY IND'!H957</f>
        <v>13500</v>
      </c>
      <c r="J155" s="332">
        <f>'MERGED HEAVY IND'!H956</f>
        <v>2439</v>
      </c>
      <c r="K155" s="270">
        <f>'MERGED HEAVY IND'!H958</f>
        <v>15939</v>
      </c>
      <c r="L155" t="s">
        <v>504</v>
      </c>
    </row>
    <row r="156" spans="1:12" x14ac:dyDescent="0.3">
      <c r="A156" s="266"/>
      <c r="B156" s="277"/>
      <c r="C156" s="319"/>
      <c r="D156" s="268"/>
      <c r="E156" s="268"/>
      <c r="F156" s="268"/>
      <c r="G156" s="268"/>
      <c r="H156" s="271"/>
      <c r="I156" s="332"/>
      <c r="J156" s="332"/>
      <c r="K156" s="270"/>
    </row>
    <row r="157" spans="1:12" ht="43.2" x14ac:dyDescent="0.3">
      <c r="A157" s="266">
        <f>A155+1</f>
        <v>73</v>
      </c>
      <c r="B157" s="277" t="str">
        <f>'MERGED HEAVY IND'!B960</f>
        <v>996A-1982A-2463A-2512-2526-2846A</v>
      </c>
      <c r="C157" s="319">
        <v>23002302</v>
      </c>
      <c r="D157" s="268" t="str">
        <f>'MERGED HEAVY IND'!E960</f>
        <v>MUTARE BOARD AND PAPER MILL</v>
      </c>
      <c r="E157" s="268" t="str">
        <f>'MERGED HEAVY IND'!C960</f>
        <v>No 1 HELENS DRIVE</v>
      </c>
      <c r="F157" s="268" t="s">
        <v>1928</v>
      </c>
      <c r="G157" s="268" t="s">
        <v>1260</v>
      </c>
      <c r="H157" s="271">
        <f>'MERGED HEAVY IND'!D1008</f>
        <v>161695</v>
      </c>
      <c r="I157" s="332">
        <f>'MERGED HEAVY IND'!H1008</f>
        <v>277118.75</v>
      </c>
      <c r="J157" s="332">
        <f>'MERGED HEAVY IND'!H1007</f>
        <v>8269528.8499999996</v>
      </c>
      <c r="K157" s="270">
        <f>'MERGED HEAVY IND'!H1009</f>
        <v>8546647.5999999996</v>
      </c>
      <c r="L157" t="s">
        <v>95</v>
      </c>
    </row>
    <row r="158" spans="1:12" x14ac:dyDescent="0.3">
      <c r="A158" s="266"/>
      <c r="B158" s="277"/>
      <c r="C158" s="319"/>
      <c r="D158" s="268"/>
      <c r="E158" s="268"/>
      <c r="F158" s="268"/>
      <c r="G158" s="268"/>
      <c r="H158" s="271"/>
      <c r="I158" s="332"/>
      <c r="J158" s="332"/>
      <c r="K158" s="270"/>
    </row>
    <row r="159" spans="1:12" x14ac:dyDescent="0.3">
      <c r="A159" s="266">
        <f>A157+1</f>
        <v>74</v>
      </c>
      <c r="B159" s="277">
        <f>'MERGED HEAVY IND'!B1011</f>
        <v>2193</v>
      </c>
      <c r="C159" s="319"/>
      <c r="D159" s="267" t="str">
        <f>'MERGED HEAVY IND'!E1011</f>
        <v>CITY OF MUTARE</v>
      </c>
      <c r="E159" s="268" t="str">
        <f>'MERGED HEAVY IND'!C1011</f>
        <v>23 VUMBA ROAD</v>
      </c>
      <c r="F159" s="268" t="s">
        <v>1928</v>
      </c>
      <c r="G159" s="268" t="s">
        <v>1277</v>
      </c>
      <c r="H159" s="271">
        <f>'MERGED HEAVY IND'!D1015</f>
        <v>8422</v>
      </c>
      <c r="I159" s="332">
        <f>'MERGED HEAVY IND'!H1015</f>
        <v>42110</v>
      </c>
      <c r="J159" s="332">
        <f>'MERGED HEAVY IND'!H1014</f>
        <v>0</v>
      </c>
      <c r="K159" s="270">
        <f>'MERGED HEAVY IND'!H1016</f>
        <v>42110</v>
      </c>
      <c r="L159">
        <v>2193</v>
      </c>
    </row>
    <row r="160" spans="1:12" x14ac:dyDescent="0.3">
      <c r="A160" s="266"/>
      <c r="B160" s="277"/>
      <c r="C160" s="319"/>
      <c r="D160" s="268"/>
      <c r="E160" s="268"/>
      <c r="F160" s="268"/>
      <c r="G160" s="268"/>
      <c r="H160" s="271"/>
      <c r="I160" s="332"/>
      <c r="J160" s="332"/>
      <c r="K160" s="270"/>
    </row>
    <row r="161" spans="1:12" ht="28.8" x14ac:dyDescent="0.3">
      <c r="A161" s="266">
        <f>A159+1</f>
        <v>75</v>
      </c>
      <c r="B161" s="279" t="str">
        <f>'MERGED HEAVY IND'!B1018</f>
        <v>2475A</v>
      </c>
      <c r="C161" s="319">
        <v>23002604</v>
      </c>
      <c r="D161" s="267" t="str">
        <f>'MERGED HEAVY IND'!E1018</f>
        <v>EASTERN DISTRICT ENGINEERS</v>
      </c>
      <c r="E161" s="267" t="str">
        <f>'MERGED HEAVY IND'!C1018</f>
        <v xml:space="preserve">6 BVUMBA ROAD </v>
      </c>
      <c r="F161" s="268" t="s">
        <v>1928</v>
      </c>
      <c r="G161" s="267" t="s">
        <v>1252</v>
      </c>
      <c r="H161" s="269">
        <f>'MERGED HEAVY IND'!D1030</f>
        <v>18373</v>
      </c>
      <c r="I161" s="332">
        <f>'MERGED HEAVY IND'!H1030</f>
        <v>81398.75</v>
      </c>
      <c r="J161" s="332">
        <f>'MERGED HEAVY IND'!H1029</f>
        <v>639998.5</v>
      </c>
      <c r="K161" s="270">
        <f>'MERGED HEAVY IND'!H1031</f>
        <v>721397.25</v>
      </c>
      <c r="L161" t="s">
        <v>985</v>
      </c>
    </row>
    <row r="162" spans="1:12" x14ac:dyDescent="0.3">
      <c r="A162" s="266"/>
      <c r="B162" s="277"/>
      <c r="C162" s="319"/>
      <c r="D162" s="268"/>
      <c r="E162" s="268"/>
      <c r="F162" s="268"/>
      <c r="G162" s="268"/>
      <c r="H162" s="271"/>
      <c r="I162" s="332"/>
      <c r="J162" s="332"/>
      <c r="K162" s="270"/>
    </row>
    <row r="163" spans="1:12" s="1" customFormat="1" ht="28.8" x14ac:dyDescent="0.3">
      <c r="A163" s="266">
        <f>A161+1</f>
        <v>76</v>
      </c>
      <c r="B163" s="277" t="str">
        <f>'MERGED HEAVY IND'!B1033</f>
        <v>LOT 2 OF 2492A</v>
      </c>
      <c r="C163" s="319">
        <v>23027100</v>
      </c>
      <c r="D163" s="268" t="str">
        <f>'MERGED HEAVY IND'!E1033</f>
        <v>GMB</v>
      </c>
      <c r="E163" s="268" t="str">
        <f>'MERGED HEAVY IND'!C1033</f>
        <v>No 4 LONGBRIDGE PAULINGTON</v>
      </c>
      <c r="F163" s="268" t="s">
        <v>1928</v>
      </c>
      <c r="G163" s="268" t="s">
        <v>1278</v>
      </c>
      <c r="H163" s="271">
        <f>'MERGED HEAVY IND'!D1050</f>
        <v>41918</v>
      </c>
      <c r="I163" s="332">
        <f>'MERGED HEAVY IND'!H1050</f>
        <v>127397.5</v>
      </c>
      <c r="J163" s="332">
        <f>'MERGED HEAVY IND'!H1049</f>
        <v>3544077.2</v>
      </c>
      <c r="K163" s="270">
        <f>'MERGED HEAVY IND'!H1051</f>
        <v>3671474.7</v>
      </c>
      <c r="L163" s="1" t="s">
        <v>139</v>
      </c>
    </row>
    <row r="164" spans="1:12" x14ac:dyDescent="0.3">
      <c r="A164" s="266"/>
      <c r="B164" s="277"/>
      <c r="C164" s="319"/>
      <c r="D164" s="268"/>
      <c r="E164" s="268"/>
      <c r="F164" s="268"/>
      <c r="G164" s="268"/>
      <c r="H164" s="271"/>
      <c r="I164" s="332"/>
      <c r="J164" s="332"/>
      <c r="K164" s="270"/>
    </row>
    <row r="165" spans="1:12" ht="28.8" x14ac:dyDescent="0.3">
      <c r="A165" s="266">
        <f>A163+1</f>
        <v>77</v>
      </c>
      <c r="B165" s="277" t="str">
        <f>'MERGED HEAVY IND'!B1053</f>
        <v>LOT 1 OF 2492</v>
      </c>
      <c r="C165" s="319"/>
      <c r="D165" s="267" t="str">
        <f>'MERGED HEAVY IND'!F1053</f>
        <v>GMB</v>
      </c>
      <c r="E165" s="268" t="str">
        <f>'MERGED HEAVY IND'!C1053</f>
        <v>No 2 LONGBRIDGE PAULINGTON</v>
      </c>
      <c r="F165" s="268" t="s">
        <v>1928</v>
      </c>
      <c r="G165" s="268" t="s">
        <v>1252</v>
      </c>
      <c r="H165" s="271">
        <f>'MERGED HEAVY IND'!D1057</f>
        <v>10345</v>
      </c>
      <c r="I165" s="332">
        <f>'MERGED HEAVY IND'!H1057</f>
        <v>51293.75</v>
      </c>
      <c r="J165" s="332">
        <f>'MERGED HEAVY IND'!H1056</f>
        <v>95175</v>
      </c>
      <c r="K165" s="270">
        <f>'MERGED HEAVY IND'!H1058</f>
        <v>146468.75</v>
      </c>
      <c r="L165" t="s">
        <v>152</v>
      </c>
    </row>
    <row r="166" spans="1:12" x14ac:dyDescent="0.3">
      <c r="A166" s="266"/>
      <c r="B166" s="277"/>
      <c r="C166" s="319"/>
      <c r="D166" s="268"/>
      <c r="E166" s="268"/>
      <c r="F166" s="268"/>
      <c r="G166" s="268"/>
      <c r="H166" s="271"/>
      <c r="I166" s="332"/>
      <c r="J166" s="332"/>
      <c r="K166" s="270"/>
    </row>
    <row r="167" spans="1:12" ht="28.8" x14ac:dyDescent="0.3">
      <c r="A167" s="266">
        <f>A165+1</f>
        <v>78</v>
      </c>
      <c r="B167" s="277">
        <f>'MERGED HEAVY IND'!B1060</f>
        <v>2509</v>
      </c>
      <c r="C167" s="319">
        <v>23002600</v>
      </c>
      <c r="D167" s="268" t="str">
        <f>'MERGED HEAVY IND'!E1060</f>
        <v>GOVERNMENT OF ZIMBABWE</v>
      </c>
      <c r="E167" s="268" t="str">
        <f>'MERGED HEAVY IND'!C1060</f>
        <v>MELSETTER ROAD</v>
      </c>
      <c r="F167" s="268" t="s">
        <v>1928</v>
      </c>
      <c r="G167" s="268" t="s">
        <v>1277</v>
      </c>
      <c r="H167" s="271">
        <f>'MERGED HEAVY IND'!D1064</f>
        <v>728</v>
      </c>
      <c r="I167" s="332">
        <f>'MERGED HEAVY IND'!H1064</f>
        <v>3640</v>
      </c>
      <c r="J167" s="332">
        <f>'MERGED HEAVY IND'!H1063</f>
        <v>0</v>
      </c>
      <c r="K167" s="270">
        <f>'MERGED HEAVY IND'!H1065</f>
        <v>3640</v>
      </c>
      <c r="L167">
        <v>2509</v>
      </c>
    </row>
    <row r="168" spans="1:12" x14ac:dyDescent="0.3">
      <c r="A168" s="266"/>
      <c r="B168" s="277"/>
      <c r="C168" s="319"/>
      <c r="D168" s="268"/>
      <c r="E168" s="268"/>
      <c r="F168" s="268"/>
      <c r="G168" s="268"/>
      <c r="H168" s="271"/>
      <c r="I168" s="332"/>
      <c r="J168" s="332"/>
      <c r="K168" s="270"/>
    </row>
    <row r="169" spans="1:12" ht="28.8" x14ac:dyDescent="0.3">
      <c r="A169" s="266">
        <f>A167+1</f>
        <v>79</v>
      </c>
      <c r="B169" s="277">
        <f>'MERGED HEAVY IND'!B1066</f>
        <v>2510</v>
      </c>
      <c r="C169" s="319">
        <v>23000102</v>
      </c>
      <c r="D169" s="268" t="str">
        <f>'MERGED HEAVY IND'!D1066</f>
        <v>NSSA (PILKINGTON GLASS)</v>
      </c>
      <c r="E169" s="268" t="str">
        <f>'MERGED HEAVY IND'!C1066</f>
        <v>8 ST HELENS DRIVE</v>
      </c>
      <c r="F169" s="268" t="s">
        <v>1928</v>
      </c>
      <c r="G169" s="268" t="s">
        <v>1276</v>
      </c>
      <c r="H169" s="271">
        <f>'MERGED HEAVY IND'!D1082</f>
        <v>48562</v>
      </c>
      <c r="I169" s="332">
        <f>'MERGED HEAVY IND'!H1082</f>
        <v>135702.5</v>
      </c>
      <c r="J169" s="332">
        <f>'MERGED HEAVY IND'!H1081</f>
        <v>2277210</v>
      </c>
      <c r="K169" s="270">
        <f>'MERGED HEAVY IND'!H1083</f>
        <v>2412912.5</v>
      </c>
      <c r="L169">
        <v>2510</v>
      </c>
    </row>
    <row r="170" spans="1:12" x14ac:dyDescent="0.3">
      <c r="A170" s="266"/>
      <c r="B170" s="277"/>
      <c r="C170" s="319"/>
      <c r="D170" s="268"/>
      <c r="E170" s="268"/>
      <c r="F170" s="268"/>
      <c r="G170" s="268"/>
      <c r="H170" s="271"/>
      <c r="I170" s="332"/>
      <c r="J170" s="332"/>
      <c r="K170" s="270"/>
    </row>
    <row r="171" spans="1:12" ht="28.8" x14ac:dyDescent="0.3">
      <c r="A171" s="266">
        <f>A169+1</f>
        <v>80</v>
      </c>
      <c r="B171" s="277" t="str">
        <f>'MERGED HEAVY IND'!B1085</f>
        <v>2511C</v>
      </c>
      <c r="C171" s="319">
        <v>23027200</v>
      </c>
      <c r="D171" s="268" t="str">
        <f>'MERGED HEAVY IND'!E1085</f>
        <v>WILLOWTON GROUP</v>
      </c>
      <c r="E171" s="268" t="str">
        <f>'MERGED HEAVY IND'!C1085</f>
        <v>6 DURBAN ROAD</v>
      </c>
      <c r="F171" s="268" t="s">
        <v>1928</v>
      </c>
      <c r="G171" s="268" t="s">
        <v>1270</v>
      </c>
      <c r="H171" s="269">
        <f>'MERGED HEAVY IND'!D1099</f>
        <v>115294</v>
      </c>
      <c r="I171" s="332">
        <f>'MERGED HEAVY IND'!H1099</f>
        <v>219117.5</v>
      </c>
      <c r="J171" s="332">
        <f>'MERGED HEAVY IND'!H1098</f>
        <v>4227671.5</v>
      </c>
      <c r="K171" s="270">
        <f>'MERGED HEAVY IND'!H1100</f>
        <v>4446789</v>
      </c>
      <c r="L171" t="s">
        <v>526</v>
      </c>
    </row>
    <row r="172" spans="1:12" x14ac:dyDescent="0.3">
      <c r="A172" s="266"/>
      <c r="B172" s="277"/>
      <c r="C172" s="319"/>
      <c r="D172" s="268"/>
      <c r="E172" s="268"/>
      <c r="F172" s="268"/>
      <c r="G172" s="268"/>
      <c r="H172" s="269"/>
      <c r="I172" s="332"/>
      <c r="J172" s="332"/>
      <c r="K172" s="270"/>
    </row>
    <row r="173" spans="1:12" ht="43.2" x14ac:dyDescent="0.3">
      <c r="A173" s="266">
        <f>A195+1</f>
        <v>96</v>
      </c>
      <c r="B173" s="277" t="str">
        <f>'MERGED HEAVY IND'!B1101</f>
        <v>2513A</v>
      </c>
      <c r="C173" s="319">
        <v>23027400</v>
      </c>
      <c r="D173" s="268" t="str">
        <f>'MERGED HEAVY IND'!E1297</f>
        <v>MUTARE WHOLESALE CENTRE</v>
      </c>
      <c r="E173" s="268" t="str">
        <f>'MERGED HEAVY IND'!C1297</f>
        <v xml:space="preserve">4 HULL CLOSE </v>
      </c>
      <c r="F173" s="268" t="s">
        <v>1928</v>
      </c>
      <c r="G173" s="268" t="s">
        <v>1266</v>
      </c>
      <c r="H173" s="271">
        <f>'MERGED HEAVY IND'!D1119</f>
        <v>107242</v>
      </c>
      <c r="I173" s="332">
        <f>'MERGED HEAVY IND'!H1306</f>
        <v>37185</v>
      </c>
      <c r="J173" s="332">
        <f>'MERGED HEAVY IND'!H1305</f>
        <v>61494</v>
      </c>
      <c r="K173" s="270">
        <f>'MERGED HEAVY IND'!H1307</f>
        <v>98679</v>
      </c>
      <c r="L173" t="s">
        <v>1939</v>
      </c>
    </row>
    <row r="174" spans="1:12" x14ac:dyDescent="0.3">
      <c r="A174" s="266"/>
      <c r="B174" s="277"/>
      <c r="C174" s="319"/>
      <c r="D174" s="268"/>
      <c r="E174" s="268"/>
      <c r="F174" s="268"/>
      <c r="G174" s="268"/>
      <c r="H174" s="271"/>
      <c r="I174" s="332"/>
      <c r="J174" s="332"/>
      <c r="K174" s="270"/>
    </row>
    <row r="175" spans="1:12" x14ac:dyDescent="0.3">
      <c r="A175" s="266">
        <f>A171+1</f>
        <v>81</v>
      </c>
      <c r="B175" s="277">
        <f>'MERGED HEAVY IND'!B1122</f>
        <v>2514</v>
      </c>
      <c r="C175" s="319">
        <v>23027500</v>
      </c>
      <c r="D175" s="268" t="str">
        <f>'MERGED HEAVY IND'!E1122</f>
        <v>MUBARE.M</v>
      </c>
      <c r="E175" s="268" t="str">
        <f>'MERGED HEAVY IND'!C1122</f>
        <v>1 SWANSEA CLOSE</v>
      </c>
      <c r="F175" s="268" t="s">
        <v>1928</v>
      </c>
      <c r="G175" s="268" t="s">
        <v>1252</v>
      </c>
      <c r="H175" s="271">
        <f>'MERGED HEAVY IND'!D1127</f>
        <v>5013</v>
      </c>
      <c r="I175" s="332">
        <f>'MERGED HEAVY IND'!H1127</f>
        <v>147522.75</v>
      </c>
      <c r="J175" s="332">
        <f>'MERGED HEAVY IND'!H1126</f>
        <v>39463.199999999997</v>
      </c>
      <c r="K175" s="270">
        <f>'MERGED HEAVY IND'!H1128</f>
        <v>186985.95</v>
      </c>
      <c r="L175">
        <v>2514</v>
      </c>
    </row>
    <row r="176" spans="1:12" x14ac:dyDescent="0.3">
      <c r="A176" s="266"/>
      <c r="B176" s="277"/>
      <c r="C176" s="319"/>
      <c r="D176" s="268"/>
      <c r="E176" s="268"/>
      <c r="F176" s="268"/>
      <c r="G176" s="268"/>
      <c r="H176" s="271"/>
      <c r="I176" s="332"/>
      <c r="J176" s="332"/>
      <c r="K176" s="270"/>
    </row>
    <row r="177" spans="1:12" x14ac:dyDescent="0.3">
      <c r="A177" s="266">
        <f>A175+1</f>
        <v>82</v>
      </c>
      <c r="B177" s="277">
        <f>'MERGED HEAVY IND'!B1129</f>
        <v>2515</v>
      </c>
      <c r="C177" s="319">
        <v>23011500</v>
      </c>
      <c r="D177" s="268" t="str">
        <f>'MERGED HEAVY IND'!E1129</f>
        <v>TENDA TRANSPORT</v>
      </c>
      <c r="E177" s="268" t="str">
        <f>'MERGED HEAVY IND'!C1129</f>
        <v>3 SWANSEA CLOSE</v>
      </c>
      <c r="F177" s="268" t="s">
        <v>1928</v>
      </c>
      <c r="G177" s="268" t="s">
        <v>1252</v>
      </c>
      <c r="H177" s="271">
        <f>'MERGED HEAVY IND'!D1140</f>
        <v>4601</v>
      </c>
      <c r="I177" s="332">
        <f>'MERGED HEAVY IND'!H1140</f>
        <v>23005</v>
      </c>
      <c r="J177" s="332">
        <f>'MERGED HEAVY IND'!H1139</f>
        <v>337530.6</v>
      </c>
      <c r="K177" s="270">
        <f>'MERGED HEAVY IND'!H1141</f>
        <v>360535.6</v>
      </c>
      <c r="L177">
        <v>2515</v>
      </c>
    </row>
    <row r="178" spans="1:12" x14ac:dyDescent="0.3">
      <c r="A178" s="266"/>
      <c r="B178" s="277"/>
      <c r="C178" s="319"/>
      <c r="D178" s="268"/>
      <c r="E178" s="268"/>
      <c r="F178" s="268"/>
      <c r="G178" s="268"/>
      <c r="H178" s="271"/>
      <c r="I178" s="332"/>
      <c r="J178" s="332"/>
      <c r="K178" s="270"/>
    </row>
    <row r="179" spans="1:12" x14ac:dyDescent="0.3">
      <c r="A179" s="266">
        <f>A177+1</f>
        <v>83</v>
      </c>
      <c r="B179" s="277">
        <v>5027</v>
      </c>
      <c r="C179" s="319">
        <v>23021300</v>
      </c>
      <c r="D179" s="268" t="str">
        <f>'MERGED HEAVY IND'!E1142</f>
        <v>TENDA TRANSPORT</v>
      </c>
      <c r="E179" s="268" t="str">
        <f>'MERGED HEAVY IND'!C1142</f>
        <v>5 SWANSEA CLOSE</v>
      </c>
      <c r="F179" s="268" t="s">
        <v>1928</v>
      </c>
      <c r="G179" s="268" t="s">
        <v>1252</v>
      </c>
      <c r="H179" s="269">
        <f>'MERGED HEAVY IND'!D1148</f>
        <v>3688</v>
      </c>
      <c r="I179" s="332">
        <f>'MERGED HEAVY IND'!H1148</f>
        <v>18440</v>
      </c>
      <c r="J179" s="332">
        <f>'MERGED HEAVY IND'!H1147</f>
        <v>182103.84</v>
      </c>
      <c r="K179" s="270">
        <f>'MERGED HEAVY IND'!H1149</f>
        <v>200543.84</v>
      </c>
      <c r="L179">
        <v>5027</v>
      </c>
    </row>
    <row r="180" spans="1:12" x14ac:dyDescent="0.3">
      <c r="A180" s="266"/>
      <c r="B180" s="277"/>
      <c r="C180" s="319"/>
      <c r="D180" s="268"/>
      <c r="E180" s="268"/>
      <c r="F180" s="268"/>
      <c r="G180" s="268"/>
      <c r="H180" s="271"/>
      <c r="I180" s="332"/>
      <c r="J180" s="332"/>
      <c r="K180" s="270"/>
    </row>
    <row r="181" spans="1:12" ht="28.8" x14ac:dyDescent="0.3">
      <c r="A181" s="266">
        <f>A179+1</f>
        <v>84</v>
      </c>
      <c r="B181" s="277">
        <f>'MERGED HEAVY IND'!B1150</f>
        <v>2518</v>
      </c>
      <c r="C181" s="319">
        <v>23027600</v>
      </c>
      <c r="D181" s="267" t="str">
        <f>'MERGED HEAVY IND'!E1150</f>
        <v>ANTRIM ENGINEERING P/L</v>
      </c>
      <c r="E181" s="268" t="str">
        <f>'MERGED HEAVY IND'!C1150</f>
        <v xml:space="preserve"> SWANSEA CLOSE</v>
      </c>
      <c r="F181" s="268" t="s">
        <v>1928</v>
      </c>
      <c r="G181" s="286" t="s">
        <v>1279</v>
      </c>
      <c r="H181" s="269">
        <f>'MERGED HEAVY IND'!D1154</f>
        <v>4454</v>
      </c>
      <c r="I181" s="332">
        <f>'MERGED HEAVY IND'!H1154</f>
        <v>22270</v>
      </c>
      <c r="J181" s="332">
        <f>'MERGED HEAVY IND'!H1153</f>
        <v>0</v>
      </c>
      <c r="K181" s="270">
        <f>'MERGED HEAVY IND'!H1155</f>
        <v>22270</v>
      </c>
      <c r="L181">
        <v>2518</v>
      </c>
    </row>
    <row r="182" spans="1:12" x14ac:dyDescent="0.3">
      <c r="A182" s="266"/>
      <c r="B182" s="277"/>
      <c r="C182" s="319"/>
      <c r="D182" s="268"/>
      <c r="E182" s="268"/>
      <c r="F182" s="268"/>
      <c r="G182" s="268"/>
      <c r="H182" s="271"/>
      <c r="I182" s="332"/>
      <c r="J182" s="332"/>
      <c r="K182" s="270"/>
    </row>
    <row r="183" spans="1:12" ht="28.8" x14ac:dyDescent="0.3">
      <c r="A183" s="266">
        <f>A181+1</f>
        <v>85</v>
      </c>
      <c r="B183" s="277">
        <f>'MERGED HEAVY IND'!B1156</f>
        <v>2519</v>
      </c>
      <c r="C183" s="319">
        <v>23027700</v>
      </c>
      <c r="D183" s="268" t="str">
        <f>'MERGED HEAVY IND'!E1156</f>
        <v>MOROL INVESTMENTS</v>
      </c>
      <c r="E183" s="268" t="str">
        <f>'MERGED HEAVY IND'!C1156</f>
        <v>6 SWANSEA CLOSE</v>
      </c>
      <c r="F183" s="268" t="s">
        <v>1928</v>
      </c>
      <c r="G183" s="268" t="s">
        <v>1252</v>
      </c>
      <c r="H183" s="271">
        <f>'MERGED HEAVY IND'!D1161</f>
        <v>3015</v>
      </c>
      <c r="I183" s="332">
        <f>'MERGED HEAVY IND'!H1161</f>
        <v>15075</v>
      </c>
      <c r="J183" s="332">
        <f>'MERGED HEAVY IND'!H1160</f>
        <v>43330.14</v>
      </c>
      <c r="K183" s="270">
        <f>'MERGED HEAVY IND'!H1162</f>
        <v>58405.14</v>
      </c>
      <c r="L183">
        <v>2519</v>
      </c>
    </row>
    <row r="184" spans="1:12" x14ac:dyDescent="0.3">
      <c r="A184" s="266"/>
      <c r="B184" s="277"/>
      <c r="C184" s="319"/>
      <c r="D184" s="268"/>
      <c r="E184" s="268"/>
      <c r="F184" s="268"/>
      <c r="G184" s="268"/>
      <c r="H184" s="271"/>
      <c r="I184" s="332"/>
      <c r="J184" s="332"/>
      <c r="K184" s="270"/>
    </row>
    <row r="185" spans="1:12" ht="28.8" x14ac:dyDescent="0.3">
      <c r="A185" s="266">
        <f>A183+1</f>
        <v>86</v>
      </c>
      <c r="B185" s="277">
        <f>'MERGED HEAVY IND'!B1163</f>
        <v>2520</v>
      </c>
      <c r="C185" s="319">
        <v>23027800</v>
      </c>
      <c r="D185" s="268" t="str">
        <f>'MERGED HEAVY IND'!E1163</f>
        <v>S.G.I PROPERTIES P/L</v>
      </c>
      <c r="E185" s="268" t="str">
        <f>'MERGED HEAVY IND'!C1163</f>
        <v>4 SWANSEA CLOSE</v>
      </c>
      <c r="F185" s="268" t="s">
        <v>1928</v>
      </c>
      <c r="G185" s="268" t="s">
        <v>1261</v>
      </c>
      <c r="H185" s="271">
        <f>'MERGED HEAVY IND'!D1169</f>
        <v>3293</v>
      </c>
      <c r="I185" s="332">
        <f>'MERGED HEAVY IND'!H1169</f>
        <v>16465</v>
      </c>
      <c r="J185" s="332">
        <f>'MERGED HEAVY IND'!H1168</f>
        <v>72066.100000000006</v>
      </c>
      <c r="K185" s="270">
        <f>'MERGED HEAVY IND'!H1170</f>
        <v>88531.1</v>
      </c>
      <c r="L185">
        <v>2520</v>
      </c>
    </row>
    <row r="186" spans="1:12" x14ac:dyDescent="0.3">
      <c r="A186" s="266"/>
      <c r="B186" s="277"/>
      <c r="C186" s="319"/>
      <c r="D186" s="268"/>
      <c r="E186" s="268"/>
      <c r="F186" s="268"/>
      <c r="G186" s="268"/>
      <c r="H186" s="271"/>
      <c r="I186" s="332"/>
      <c r="J186" s="332"/>
      <c r="K186" s="270"/>
    </row>
    <row r="187" spans="1:12" x14ac:dyDescent="0.3">
      <c r="A187" s="266">
        <f>A185+1</f>
        <v>87</v>
      </c>
      <c r="B187" s="277">
        <f>'MERGED HEAVY IND'!B1171</f>
        <v>2521</v>
      </c>
      <c r="C187" s="319">
        <v>23011502</v>
      </c>
      <c r="D187" s="268" t="str">
        <f>'MERGED HEAVY IND'!E1171</f>
        <v>TENDA TRANSPORT</v>
      </c>
      <c r="E187" s="268" t="str">
        <f>'MERGED HEAVY IND'!C1171</f>
        <v>2 SWANSEA CLOSE</v>
      </c>
      <c r="F187" s="268" t="s">
        <v>1928</v>
      </c>
      <c r="G187" s="268" t="s">
        <v>1252</v>
      </c>
      <c r="H187" s="271">
        <f>'MERGED HEAVY IND'!D1177</f>
        <v>3804</v>
      </c>
      <c r="I187" s="332">
        <f>'MERGED HEAVY IND'!H1177</f>
        <v>19020</v>
      </c>
      <c r="J187" s="332">
        <f>'MERGED HEAVY IND'!H1176</f>
        <v>113778</v>
      </c>
      <c r="K187" s="270">
        <f>'MERGED HEAVY IND'!H1178</f>
        <v>132798</v>
      </c>
      <c r="L187">
        <v>2521</v>
      </c>
    </row>
    <row r="188" spans="1:12" x14ac:dyDescent="0.3">
      <c r="A188" s="266"/>
      <c r="B188" s="277"/>
      <c r="C188" s="319"/>
      <c r="D188" s="268"/>
      <c r="E188" s="268"/>
      <c r="F188" s="268"/>
      <c r="G188" s="268"/>
      <c r="H188" s="271"/>
      <c r="I188" s="332"/>
      <c r="J188" s="332"/>
      <c r="K188" s="270"/>
    </row>
    <row r="189" spans="1:12" ht="28.8" x14ac:dyDescent="0.3">
      <c r="A189" s="266">
        <f>A187+1</f>
        <v>88</v>
      </c>
      <c r="B189" s="277">
        <f>'MERGED HEAVY IND'!B1179</f>
        <v>2523</v>
      </c>
      <c r="C189" s="319">
        <v>23011400</v>
      </c>
      <c r="D189" s="268" t="str">
        <f>'MERGED HEAVY IND'!E1179</f>
        <v>FORESTRY COMMISSION</v>
      </c>
      <c r="E189" s="268" t="str">
        <f>'MERGED HEAVY IND'!C1179</f>
        <v>6 ST HELENS DRIVE</v>
      </c>
      <c r="F189" s="268" t="s">
        <v>1928</v>
      </c>
      <c r="G189" s="268" t="s">
        <v>1252</v>
      </c>
      <c r="H189" s="271">
        <f>'MERGED HEAVY IND'!D1204</f>
        <v>105657</v>
      </c>
      <c r="I189" s="332">
        <f>'MERGED HEAVY IND'!H1204</f>
        <v>207071.25</v>
      </c>
      <c r="J189" s="332">
        <f>'MERGED HEAVY IND'!H1203</f>
        <v>1470256.2500000002</v>
      </c>
      <c r="K189" s="270">
        <f>'MERGED HEAVY IND'!H1205</f>
        <v>1677327.5000000002</v>
      </c>
      <c r="L189">
        <v>2523</v>
      </c>
    </row>
    <row r="190" spans="1:12" x14ac:dyDescent="0.3">
      <c r="A190" s="266"/>
      <c r="B190" s="277"/>
      <c r="C190" s="319"/>
      <c r="D190" s="268"/>
      <c r="E190" s="268"/>
      <c r="F190" s="268"/>
      <c r="G190" s="268"/>
      <c r="H190" s="271"/>
      <c r="I190" s="332"/>
      <c r="J190" s="332"/>
      <c r="K190" s="270"/>
    </row>
    <row r="191" spans="1:12" ht="28.8" x14ac:dyDescent="0.3">
      <c r="A191" s="266">
        <f>A189+1</f>
        <v>89</v>
      </c>
      <c r="B191" s="279">
        <f>'MERGED HEAVY IND'!B1207</f>
        <v>2528</v>
      </c>
      <c r="C191" s="319">
        <v>23012800</v>
      </c>
      <c r="D191" s="267" t="str">
        <f>'MERGED HEAVY IND'!E1207</f>
        <v>BOARDER TIMBERS</v>
      </c>
      <c r="E191" s="267" t="str">
        <f>'MERGED HEAVY IND'!C1207</f>
        <v>1 ABERDEEN ROAD</v>
      </c>
      <c r="F191" s="268" t="s">
        <v>1928</v>
      </c>
      <c r="G191" s="267" t="s">
        <v>1257</v>
      </c>
      <c r="H191" s="269">
        <f>'MERGED HEAVY IND'!D1242</f>
        <v>282640</v>
      </c>
      <c r="I191" s="332">
        <f>'MERGED HEAVY IND'!H1242</f>
        <v>428300</v>
      </c>
      <c r="J191" s="332">
        <f>'MERGED HEAVY IND'!H1241</f>
        <v>5869352.3500000006</v>
      </c>
      <c r="K191" s="270">
        <f>'MERGED HEAVY IND'!H1243</f>
        <v>6297652.3500000006</v>
      </c>
      <c r="L191">
        <v>2528</v>
      </c>
    </row>
    <row r="192" spans="1:12" x14ac:dyDescent="0.3">
      <c r="A192" s="266"/>
      <c r="B192" s="277"/>
      <c r="C192" s="319"/>
      <c r="D192" s="268"/>
      <c r="E192" s="268"/>
      <c r="F192" s="268"/>
      <c r="G192" s="268"/>
      <c r="H192" s="271"/>
      <c r="I192" s="332"/>
      <c r="J192" s="332"/>
      <c r="K192" s="270"/>
    </row>
    <row r="193" spans="1:14" ht="28.8" x14ac:dyDescent="0.3">
      <c r="A193" s="266">
        <f>A191+1</f>
        <v>90</v>
      </c>
      <c r="B193" s="277">
        <f>'MERGED HEAVY IND'!B1244</f>
        <v>2529</v>
      </c>
      <c r="C193" s="319">
        <v>23012400</v>
      </c>
      <c r="D193" s="268" t="str">
        <f>'MERGED HEAVY IND'!E1244</f>
        <v>D,M CARTWRIGHT</v>
      </c>
      <c r="E193" s="268" t="str">
        <f>'MERGED HEAVY IND'!C1244</f>
        <v>22 DUBLIN ROAD NYAKAMETE</v>
      </c>
      <c r="F193" s="268" t="s">
        <v>1928</v>
      </c>
      <c r="G193" s="268" t="s">
        <v>1252</v>
      </c>
      <c r="H193" s="271">
        <f>'MERGED HEAVY IND'!D1252</f>
        <v>6926</v>
      </c>
      <c r="I193" s="332">
        <f>'MERGED HEAVY IND'!H1252</f>
        <v>34630</v>
      </c>
      <c r="J193" s="332">
        <f>'MERGED HEAVY IND'!H1251</f>
        <v>90276.88</v>
      </c>
      <c r="K193" s="270">
        <f>'MERGED HEAVY IND'!H1253</f>
        <v>124906.88</v>
      </c>
      <c r="L193">
        <v>2529</v>
      </c>
    </row>
    <row r="194" spans="1:14" x14ac:dyDescent="0.3">
      <c r="A194" s="266"/>
      <c r="B194" s="277"/>
      <c r="C194" s="319"/>
      <c r="D194" s="268"/>
      <c r="E194" s="268"/>
      <c r="F194" s="268"/>
      <c r="G194" s="268"/>
      <c r="H194" s="271"/>
      <c r="I194" s="332"/>
      <c r="J194" s="332"/>
      <c r="K194" s="270"/>
    </row>
    <row r="195" spans="1:14" ht="28.8" x14ac:dyDescent="0.3">
      <c r="A195" s="266">
        <f>A203+1</f>
        <v>95</v>
      </c>
      <c r="B195" s="277">
        <v>2513</v>
      </c>
      <c r="C195" s="319">
        <v>23027400</v>
      </c>
      <c r="D195" s="268" t="str">
        <f>'MERGED HEAVY IND'!E1101</f>
        <v>CLAYMIST INVESTMENTS</v>
      </c>
      <c r="E195" s="268" t="str">
        <f>'MERGED HEAVY IND'!C1101</f>
        <v>2 ARBERDENE ROAD</v>
      </c>
      <c r="F195" s="268" t="s">
        <v>1928</v>
      </c>
      <c r="G195" s="268" t="s">
        <v>1261</v>
      </c>
      <c r="H195" s="271">
        <f>'MERGED HEAVY IND'!D1119</f>
        <v>107242</v>
      </c>
      <c r="I195" s="332">
        <f>'MERGED HEAVY IND'!H1119</f>
        <v>209052.5</v>
      </c>
      <c r="J195" s="332">
        <f>'MERGED HEAVY IND'!H1118</f>
        <v>3775304.6040000003</v>
      </c>
      <c r="K195" s="270">
        <f>'MERGED HEAVY IND'!H1120</f>
        <v>3984357.1040000003</v>
      </c>
      <c r="L195">
        <v>2513</v>
      </c>
    </row>
    <row r="196" spans="1:14" x14ac:dyDescent="0.3">
      <c r="A196" s="266"/>
      <c r="B196" s="277"/>
      <c r="C196" s="319"/>
      <c r="D196" s="268"/>
      <c r="E196" s="268"/>
      <c r="F196" s="268"/>
      <c r="G196" s="268"/>
      <c r="H196" s="271"/>
      <c r="I196" s="332"/>
      <c r="J196" s="332"/>
      <c r="K196" s="270"/>
    </row>
    <row r="197" spans="1:14" ht="28.8" x14ac:dyDescent="0.3">
      <c r="A197" s="266">
        <f>A193+1</f>
        <v>91</v>
      </c>
      <c r="B197" s="277">
        <f>'MERGED HEAVY IND'!B1265</f>
        <v>2532</v>
      </c>
      <c r="C197" s="319">
        <v>23012201</v>
      </c>
      <c r="D197" s="268" t="str">
        <f>'MERGED HEAVY IND'!E1265</f>
        <v>COLBRO TRANSPORT</v>
      </c>
      <c r="E197" s="268" t="str">
        <f>'MERGED HEAVY IND'!C1265</f>
        <v>16 DURBAN ROAD</v>
      </c>
      <c r="F197" s="268" t="s">
        <v>1928</v>
      </c>
      <c r="G197" s="268" t="s">
        <v>1252</v>
      </c>
      <c r="H197" s="271">
        <f>'MERGED HEAVY IND'!D1273</f>
        <v>5593</v>
      </c>
      <c r="I197" s="332">
        <f>'MERGED HEAVY IND'!H1273</f>
        <v>27965</v>
      </c>
      <c r="J197" s="332">
        <f>'MERGED HEAVY IND'!H1272</f>
        <v>70914.323999999993</v>
      </c>
      <c r="K197" s="270">
        <f>'MERGED HEAVY IND'!H1274</f>
        <v>98879.323999999993</v>
      </c>
      <c r="L197">
        <v>2532</v>
      </c>
    </row>
    <row r="198" spans="1:14" x14ac:dyDescent="0.3">
      <c r="A198" s="266"/>
      <c r="B198" s="277"/>
      <c r="C198" s="319"/>
      <c r="D198" s="268"/>
      <c r="E198" s="268"/>
      <c r="F198" s="268"/>
      <c r="G198" s="268"/>
      <c r="H198" s="271"/>
      <c r="I198" s="332"/>
      <c r="J198" s="332"/>
      <c r="K198" s="270"/>
    </row>
    <row r="199" spans="1:14" ht="28.8" x14ac:dyDescent="0.3">
      <c r="A199" s="266">
        <f>A197+1</f>
        <v>92</v>
      </c>
      <c r="B199" s="277">
        <f>'MERGED HEAVY IND'!B1265</f>
        <v>2532</v>
      </c>
      <c r="C199" s="319">
        <v>23028000</v>
      </c>
      <c r="D199" s="268" t="str">
        <f>'MERGED HEAVY IND'!E1254</f>
        <v>CHIKODZORE</v>
      </c>
      <c r="E199" s="268" t="str">
        <f>'MERGED HEAVY IND'!C1254</f>
        <v>20 DUBLIN ROAD NYAKAMETE</v>
      </c>
      <c r="F199" s="268" t="s">
        <v>1928</v>
      </c>
      <c r="G199" s="268" t="s">
        <v>1252</v>
      </c>
      <c r="H199" s="271">
        <f>'MERGED HEAVY IND'!D1261</f>
        <v>5593</v>
      </c>
      <c r="I199" s="332">
        <f>'MERGED HEAVY IND'!H1261</f>
        <v>27965</v>
      </c>
      <c r="J199" s="332">
        <f>'MERGED HEAVY IND'!H1260</f>
        <v>87636.216000000015</v>
      </c>
      <c r="K199" s="270">
        <f>'MERGED HEAVY IND'!H1262</f>
        <v>115601.21600000001</v>
      </c>
      <c r="L199">
        <v>2532</v>
      </c>
    </row>
    <row r="200" spans="1:14" x14ac:dyDescent="0.3">
      <c r="A200" s="266"/>
      <c r="B200" s="277"/>
      <c r="C200" s="319"/>
      <c r="D200" s="268"/>
      <c r="E200" s="268"/>
      <c r="F200" s="268"/>
      <c r="G200" s="268"/>
      <c r="H200" s="271"/>
      <c r="I200" s="332"/>
      <c r="J200" s="332"/>
      <c r="K200" s="270"/>
    </row>
    <row r="201" spans="1:14" ht="28.8" x14ac:dyDescent="0.3">
      <c r="A201" s="266">
        <f>A199+1</f>
        <v>93</v>
      </c>
      <c r="B201" s="277">
        <f>'MERGED HEAVY IND'!B1275</f>
        <v>2531</v>
      </c>
      <c r="C201" s="319">
        <v>23012300</v>
      </c>
      <c r="D201" s="268" t="str">
        <f>'MERGED HEAVY IND'!E1275</f>
        <v>T.MAPARA</v>
      </c>
      <c r="E201" s="268" t="str">
        <f>'MERGED HEAVY IND'!C1275</f>
        <v>18 DUBLIN ROAD NYAKAMETE</v>
      </c>
      <c r="F201" s="268" t="s">
        <v>1928</v>
      </c>
      <c r="G201" s="268" t="s">
        <v>1252</v>
      </c>
      <c r="H201" s="271">
        <f>'MERGED HEAVY IND'!D1283</f>
        <v>7755</v>
      </c>
      <c r="I201" s="332">
        <f>'MERGED HEAVY IND'!H1283</f>
        <v>38775</v>
      </c>
      <c r="J201" s="332">
        <f>'MERGED HEAVY IND'!H1282</f>
        <v>49322.2</v>
      </c>
      <c r="K201" s="270">
        <f>'MERGED HEAVY IND'!H1284</f>
        <v>88097.2</v>
      </c>
      <c r="L201">
        <v>2531</v>
      </c>
    </row>
    <row r="202" spans="1:14" x14ac:dyDescent="0.3">
      <c r="A202" s="266"/>
      <c r="B202" s="277"/>
      <c r="C202" s="319"/>
      <c r="D202" s="268"/>
      <c r="E202" s="268"/>
      <c r="F202" s="268"/>
      <c r="G202" s="268"/>
      <c r="H202" s="271"/>
      <c r="I202" s="332"/>
      <c r="J202" s="332"/>
      <c r="K202" s="270"/>
    </row>
    <row r="203" spans="1:14" x14ac:dyDescent="0.3">
      <c r="A203" s="266">
        <f>A201+1</f>
        <v>94</v>
      </c>
      <c r="B203" s="277">
        <f>'MERGED HEAVY IND'!B1286</f>
        <v>2533</v>
      </c>
      <c r="C203" s="319">
        <v>23028100</v>
      </c>
      <c r="D203" s="268" t="str">
        <f>'MERGED HEAVY IND'!E1286</f>
        <v>K.D HAULAGE</v>
      </c>
      <c r="E203" s="268" t="str">
        <f>'MERGED HEAVY IND'!C1286</f>
        <v>14 DURBAN ROAD</v>
      </c>
      <c r="F203" s="268" t="s">
        <v>1928</v>
      </c>
      <c r="G203" s="268" t="s">
        <v>1252</v>
      </c>
      <c r="H203" s="271">
        <f>'MERGED HEAVY IND'!D1294</f>
        <v>10674</v>
      </c>
      <c r="I203" s="332">
        <f>'MERGED HEAVY IND'!H1294</f>
        <v>52527.5</v>
      </c>
      <c r="J203" s="332">
        <f>'MERGED HEAVY IND'!H1293</f>
        <v>124755.23999999999</v>
      </c>
      <c r="K203" s="270">
        <f>'MERGED HEAVY IND'!H1295</f>
        <v>177282.74</v>
      </c>
      <c r="L203">
        <v>2533</v>
      </c>
    </row>
    <row r="204" spans="1:14" x14ac:dyDescent="0.3">
      <c r="A204" s="266"/>
      <c r="B204" s="277"/>
      <c r="C204" s="319"/>
      <c r="D204" s="268"/>
      <c r="E204" s="268"/>
      <c r="F204" s="268"/>
      <c r="G204" s="268"/>
      <c r="H204" s="271"/>
      <c r="I204" s="332"/>
      <c r="J204" s="332"/>
      <c r="K204" s="270"/>
    </row>
    <row r="205" spans="1:14" ht="43.2" x14ac:dyDescent="0.3">
      <c r="A205" s="266">
        <v>95</v>
      </c>
      <c r="B205" s="277">
        <f>'MERGED HEAVY IND'!B1297</f>
        <v>2534</v>
      </c>
      <c r="C205" s="319">
        <v>23013303</v>
      </c>
      <c r="D205" s="268" t="str">
        <f>'MERGED HEAVY IND'!E1297</f>
        <v>MUTARE WHOLESALE CENTRE</v>
      </c>
      <c r="E205" s="268" t="str">
        <f>'MERGED HEAVY IND'!C1297</f>
        <v xml:space="preserve">4 HULL CLOSE </v>
      </c>
      <c r="F205" s="268" t="s">
        <v>1928</v>
      </c>
      <c r="G205" s="268" t="s">
        <v>1266</v>
      </c>
      <c r="H205" s="271">
        <f>'MERGED HEAVY IND'!D1306</f>
        <v>7437</v>
      </c>
      <c r="I205" s="332">
        <f>'MERGED HEAVY IND'!H1306</f>
        <v>37185</v>
      </c>
      <c r="J205" s="332">
        <f>'MERGED HEAVY IND'!H1305</f>
        <v>61494</v>
      </c>
      <c r="K205" s="270">
        <f>'MERGED HEAVY IND'!H1307</f>
        <v>98679</v>
      </c>
      <c r="L205">
        <v>2534</v>
      </c>
    </row>
    <row r="206" spans="1:14" x14ac:dyDescent="0.3">
      <c r="A206" s="266"/>
      <c r="B206" s="277"/>
      <c r="C206" s="319"/>
      <c r="D206" s="268"/>
      <c r="E206" s="268"/>
      <c r="F206" s="268"/>
      <c r="G206" s="268"/>
      <c r="H206" s="271"/>
      <c r="I206" s="332"/>
      <c r="J206" s="332"/>
      <c r="K206" s="270"/>
    </row>
    <row r="207" spans="1:14" ht="28.8" x14ac:dyDescent="0.3">
      <c r="A207" s="266">
        <v>96</v>
      </c>
      <c r="B207" s="277">
        <f>'MERGED HEAVY IND'!B1309</f>
        <v>2535</v>
      </c>
      <c r="C207" s="319">
        <v>23028200</v>
      </c>
      <c r="D207" s="268" t="str">
        <f>'MERGED HEAVY IND'!E1309</f>
        <v>J.DAVIES</v>
      </c>
      <c r="E207" s="268" t="str">
        <f>'MERGED HEAVY IND'!C1309</f>
        <v>5 HULL CLOSE NYAKAMETE</v>
      </c>
      <c r="F207" s="268" t="s">
        <v>1928</v>
      </c>
      <c r="G207" s="268"/>
      <c r="H207" s="271">
        <f>'MERGED HEAVY IND'!D1314</f>
        <v>8067</v>
      </c>
      <c r="I207" s="332">
        <f>'MERGED HEAVY IND'!F1314</f>
        <v>40335</v>
      </c>
      <c r="J207" s="332">
        <f>'MERGED HEAVY IND'!H1313</f>
        <v>210380</v>
      </c>
      <c r="K207" s="270">
        <f>'MERGED HEAVY IND'!H1315</f>
        <v>250715</v>
      </c>
      <c r="L207">
        <v>2535</v>
      </c>
      <c r="N207">
        <f>+I207/H207</f>
        <v>5</v>
      </c>
    </row>
    <row r="208" spans="1:14" x14ac:dyDescent="0.3">
      <c r="A208" s="266"/>
      <c r="B208" s="277"/>
      <c r="C208" s="319"/>
      <c r="D208" s="268"/>
      <c r="E208" s="268"/>
      <c r="F208" s="268"/>
      <c r="G208" s="268"/>
      <c r="H208" s="271"/>
      <c r="I208" s="332"/>
      <c r="J208" s="332"/>
      <c r="K208" s="270"/>
    </row>
    <row r="209" spans="1:12" x14ac:dyDescent="0.3">
      <c r="A209" s="266">
        <f>A207+1</f>
        <v>97</v>
      </c>
      <c r="B209" s="277">
        <f>'MERGED HEAVY IND'!B1317</f>
        <v>2536</v>
      </c>
      <c r="C209" s="319">
        <v>23028300</v>
      </c>
      <c r="D209" s="268" t="str">
        <f>'MERGED HEAVY IND'!E1317</f>
        <v>MAKUNIKE</v>
      </c>
      <c r="E209" s="268" t="str">
        <f>'MERGED HEAVY IND'!C1317</f>
        <v>3 HULL CLOSE</v>
      </c>
      <c r="F209" s="268" t="s">
        <v>1928</v>
      </c>
      <c r="G209" s="268" t="s">
        <v>1277</v>
      </c>
      <c r="H209" s="271">
        <f>'MERGED HEAVY IND'!D1320</f>
        <v>3891</v>
      </c>
      <c r="I209" s="332">
        <f>'MERGED HEAVY IND'!H1320</f>
        <v>19455</v>
      </c>
      <c r="J209" s="332">
        <f>'MERGED HEAVY IND'!H1319</f>
        <v>0</v>
      </c>
      <c r="K209" s="270">
        <f>'MERGED HEAVY IND'!H1321</f>
        <v>19455</v>
      </c>
      <c r="L209">
        <v>2536</v>
      </c>
    </row>
    <row r="210" spans="1:12" x14ac:dyDescent="0.3">
      <c r="A210" s="266"/>
      <c r="B210" s="277"/>
      <c r="C210" s="319"/>
      <c r="D210" s="268"/>
      <c r="E210" s="268"/>
      <c r="F210" s="268"/>
      <c r="G210" s="268"/>
      <c r="H210" s="271"/>
      <c r="I210" s="332"/>
      <c r="J210" s="332"/>
      <c r="K210" s="270"/>
    </row>
    <row r="211" spans="1:12" x14ac:dyDescent="0.3">
      <c r="A211" s="266">
        <f>A209+1</f>
        <v>98</v>
      </c>
      <c r="B211" s="277" t="str">
        <f>'MERGED HEAVY IND'!B1323</f>
        <v>2537A</v>
      </c>
      <c r="C211" s="319">
        <v>23013000</v>
      </c>
      <c r="D211" s="268" t="str">
        <f>'MERGED HEAVY IND'!E1323</f>
        <v>MAKUNIKE</v>
      </c>
      <c r="E211" s="268" t="str">
        <f>'MERGED HEAVY IND'!C1323</f>
        <v>12 DURBAN ROAD</v>
      </c>
      <c r="F211" s="268" t="s">
        <v>1928</v>
      </c>
      <c r="G211" s="268" t="s">
        <v>1252</v>
      </c>
      <c r="H211" s="271">
        <f>'MERGED HEAVY IND'!D1328</f>
        <v>5153</v>
      </c>
      <c r="I211" s="332">
        <f>'MERGED HEAVY IND'!H1328</f>
        <v>25765</v>
      </c>
      <c r="J211" s="332">
        <f>'MERGED HEAVY IND'!H1327</f>
        <v>48568.2</v>
      </c>
      <c r="K211" s="270">
        <f>'MERGED HEAVY IND'!H1329</f>
        <v>74333.2</v>
      </c>
      <c r="L211" t="s">
        <v>201</v>
      </c>
    </row>
    <row r="212" spans="1:12" x14ac:dyDescent="0.3">
      <c r="A212" s="266"/>
      <c r="B212" s="277"/>
      <c r="C212" s="319"/>
      <c r="D212" s="268"/>
      <c r="E212" s="268"/>
      <c r="F212" s="268"/>
      <c r="G212" s="268"/>
      <c r="H212" s="271"/>
      <c r="I212" s="332"/>
      <c r="J212" s="332"/>
      <c r="K212" s="270"/>
    </row>
    <row r="213" spans="1:12" ht="57.6" x14ac:dyDescent="0.3">
      <c r="A213" s="266">
        <f>A211+1</f>
        <v>99</v>
      </c>
      <c r="B213" s="277">
        <f>'MERGED HEAVY IND'!B1331</f>
        <v>2546</v>
      </c>
      <c r="C213" s="319">
        <v>23017300</v>
      </c>
      <c r="D213" s="268" t="str">
        <f>'MERGED HEAVY IND'!E1331</f>
        <v xml:space="preserve">COUNTRY BUILDING CONTRACTORS   CBC  </v>
      </c>
      <c r="E213" s="268" t="str">
        <f>'MERGED HEAVY IND'!C1331</f>
        <v>4 KARIBA ROAD</v>
      </c>
      <c r="F213" s="268" t="s">
        <v>1928</v>
      </c>
      <c r="G213" s="268" t="s">
        <v>1252</v>
      </c>
      <c r="H213" s="271">
        <f>'MERGED HEAVY IND'!D1345</f>
        <v>21219</v>
      </c>
      <c r="I213" s="332">
        <f>'MERGED HEAVY IND'!H1345</f>
        <v>90547.5</v>
      </c>
      <c r="J213" s="332">
        <f>'MERGED HEAVY IND'!H1344</f>
        <v>429936.73499999999</v>
      </c>
      <c r="K213" s="270">
        <f>'MERGED HEAVY IND'!H1346</f>
        <v>520484.23499999999</v>
      </c>
      <c r="L213">
        <v>2546</v>
      </c>
    </row>
    <row r="214" spans="1:12" x14ac:dyDescent="0.3">
      <c r="A214" s="266"/>
      <c r="B214" s="277"/>
      <c r="C214" s="319"/>
      <c r="D214" s="268"/>
      <c r="E214" s="268"/>
      <c r="F214" s="268"/>
      <c r="G214" s="268"/>
      <c r="H214" s="271"/>
      <c r="I214" s="332"/>
      <c r="J214" s="332"/>
      <c r="K214" s="270"/>
    </row>
    <row r="215" spans="1:12" ht="28.8" x14ac:dyDescent="0.3">
      <c r="A215" s="266">
        <f>A213+1</f>
        <v>100</v>
      </c>
      <c r="B215" s="277">
        <f>'MERGED HEAVY IND'!B1348</f>
        <v>2547</v>
      </c>
      <c r="C215" s="319">
        <v>23013600</v>
      </c>
      <c r="D215" s="268" t="str">
        <f>'MERGED HEAVY IND'!E1348</f>
        <v>MUSABAIKA</v>
      </c>
      <c r="E215" s="268" t="str">
        <f>'MERGED HEAVY IND'!C1348</f>
        <v>No 2 LIVERPOOL ROAD</v>
      </c>
      <c r="F215" s="268" t="s">
        <v>1928</v>
      </c>
      <c r="G215" s="268" t="s">
        <v>1280</v>
      </c>
      <c r="H215" s="271">
        <f>'MERGED HEAVY IND'!D1360</f>
        <v>6167</v>
      </c>
      <c r="I215" s="332">
        <f>'MERGED HEAVY IND'!H1360</f>
        <v>30835</v>
      </c>
      <c r="J215" s="332">
        <f>'MERGED HEAVY IND'!H1359</f>
        <v>124079.70000000001</v>
      </c>
      <c r="K215" s="270">
        <f>'MERGED HEAVY IND'!H1361</f>
        <v>154914.70000000001</v>
      </c>
      <c r="L215">
        <v>2547</v>
      </c>
    </row>
    <row r="216" spans="1:12" x14ac:dyDescent="0.3">
      <c r="A216" s="266"/>
      <c r="B216" s="277"/>
      <c r="C216" s="319"/>
      <c r="D216" s="268"/>
      <c r="E216" s="268" t="s">
        <v>50</v>
      </c>
      <c r="F216" s="268"/>
      <c r="G216" s="268"/>
      <c r="H216" s="271"/>
      <c r="I216" s="332"/>
      <c r="J216" s="332"/>
      <c r="K216" s="270"/>
    </row>
    <row r="217" spans="1:12" ht="28.8" x14ac:dyDescent="0.3">
      <c r="A217" s="266">
        <f>A215+1</f>
        <v>101</v>
      </c>
      <c r="B217" s="277">
        <f>'MERGED HEAVY IND'!B1363</f>
        <v>2548</v>
      </c>
      <c r="C217" s="319">
        <v>23013900</v>
      </c>
      <c r="D217" s="268" t="str">
        <f>'MERGED HEAVY IND'!E1363</f>
        <v>BULLJAR INVESTMENTS</v>
      </c>
      <c r="E217" s="268" t="str">
        <f>'MERGED HEAVY IND'!C1363</f>
        <v>No 4 LIVERPOOL ROAD</v>
      </c>
      <c r="F217" s="268" t="s">
        <v>1928</v>
      </c>
      <c r="G217" s="268" t="s">
        <v>1252</v>
      </c>
      <c r="H217" s="271">
        <f>'MERGED HEAVY IND'!D1370</f>
        <v>6001</v>
      </c>
      <c r="I217" s="332">
        <f>'MERGED HEAVY IND'!H1370</f>
        <v>30005</v>
      </c>
      <c r="J217" s="332">
        <f>'MERGED HEAVY IND'!H1369</f>
        <v>4396.2</v>
      </c>
      <c r="K217" s="270">
        <f>'MERGED HEAVY IND'!H1371</f>
        <v>34401.199999999997</v>
      </c>
      <c r="L217">
        <v>2548</v>
      </c>
    </row>
    <row r="218" spans="1:12" x14ac:dyDescent="0.3">
      <c r="A218" s="266"/>
      <c r="B218" s="277"/>
      <c r="C218" s="319"/>
      <c r="D218" s="268"/>
      <c r="E218" s="268"/>
      <c r="F218" s="268"/>
      <c r="G218" s="268"/>
      <c r="H218" s="271"/>
      <c r="I218" s="332"/>
      <c r="J218" s="332"/>
      <c r="K218" s="270"/>
    </row>
    <row r="219" spans="1:12" ht="28.8" x14ac:dyDescent="0.3">
      <c r="A219" s="266">
        <f>A217+1</f>
        <v>102</v>
      </c>
      <c r="B219" s="277">
        <f>'MERGED HEAVY IND'!B1373</f>
        <v>2549</v>
      </c>
      <c r="C219" s="319">
        <v>23013901</v>
      </c>
      <c r="D219" s="268" t="str">
        <f>'MERGED HEAVY IND'!E1373</f>
        <v>MWAYERA TRANSPORT</v>
      </c>
      <c r="E219" s="268" t="str">
        <f>'MERGED HEAVY IND'!C1373</f>
        <v>No 6 LIVERPOOL ROAD</v>
      </c>
      <c r="F219" s="268" t="s">
        <v>1928</v>
      </c>
      <c r="G219" s="268" t="s">
        <v>1252</v>
      </c>
      <c r="H219" s="271">
        <f>'MERGED HEAVY IND'!D1379</f>
        <v>6941</v>
      </c>
      <c r="I219" s="332">
        <f>'MERGED HEAVY IND'!H1379</f>
        <v>34705</v>
      </c>
      <c r="J219" s="332">
        <f>'MERGED HEAVY IND'!H1378</f>
        <v>75015</v>
      </c>
      <c r="K219" s="270">
        <f>'MERGED HEAVY IND'!H1380</f>
        <v>109720</v>
      </c>
      <c r="L219">
        <v>2549</v>
      </c>
    </row>
    <row r="220" spans="1:12" x14ac:dyDescent="0.3">
      <c r="A220" s="266"/>
      <c r="B220" s="277"/>
      <c r="C220" s="319"/>
      <c r="D220" s="268"/>
      <c r="E220" s="268"/>
      <c r="F220" s="268"/>
      <c r="G220" s="268"/>
      <c r="H220" s="271"/>
      <c r="I220" s="332"/>
      <c r="J220" s="332"/>
      <c r="K220" s="270"/>
    </row>
    <row r="221" spans="1:12" x14ac:dyDescent="0.3">
      <c r="A221" s="266">
        <f>A219+1</f>
        <v>103</v>
      </c>
      <c r="B221" s="277">
        <f>'MERGED HEAVY IND'!B1382</f>
        <v>2550</v>
      </c>
      <c r="C221" s="319">
        <v>23013800</v>
      </c>
      <c r="D221" s="268" t="str">
        <f>'MERGED HEAVY IND'!E1382</f>
        <v>NMB BANK</v>
      </c>
      <c r="E221" s="268" t="str">
        <f>'MERGED HEAVY IND'!C1382</f>
        <v>No 8 LIVERPOOL ROAD</v>
      </c>
      <c r="F221" s="268" t="s">
        <v>1928</v>
      </c>
      <c r="G221" s="268" t="s">
        <v>1252</v>
      </c>
      <c r="H221" s="271">
        <f>'MERGED HEAVY IND'!D1391</f>
        <v>6000</v>
      </c>
      <c r="I221" s="332">
        <f>'MERGED HEAVY IND'!H1391</f>
        <v>30000</v>
      </c>
      <c r="J221" s="332">
        <f>'MERGED HEAVY IND'!H1390</f>
        <v>50511</v>
      </c>
      <c r="K221" s="270">
        <f>'MERGED HEAVY IND'!H1392</f>
        <v>80511</v>
      </c>
      <c r="L221">
        <v>2550</v>
      </c>
    </row>
    <row r="222" spans="1:12" x14ac:dyDescent="0.3">
      <c r="A222" s="266"/>
      <c r="B222" s="277"/>
      <c r="C222" s="319"/>
      <c r="D222" s="268"/>
      <c r="E222" s="268"/>
      <c r="F222" s="268"/>
      <c r="G222" s="268"/>
      <c r="H222" s="271"/>
      <c r="I222" s="332"/>
      <c r="J222" s="332"/>
      <c r="K222" s="270"/>
    </row>
    <row r="223" spans="1:12" ht="28.8" x14ac:dyDescent="0.3">
      <c r="A223" s="266">
        <f>A221+1</f>
        <v>104</v>
      </c>
      <c r="B223" s="277">
        <f>'MERGED HEAVY IND'!B1394</f>
        <v>2551</v>
      </c>
      <c r="C223" s="319">
        <v>23028400</v>
      </c>
      <c r="D223" s="268" t="str">
        <f>'MERGED HEAVY IND'!E1394</f>
        <v>E.MKANDLA &amp; M.MCLOUD</v>
      </c>
      <c r="E223" s="268" t="str">
        <f>'MERGED HEAVY IND'!C1394</f>
        <v>No 10 LIVERPOOL ROAD</v>
      </c>
      <c r="F223" s="268" t="s">
        <v>1928</v>
      </c>
      <c r="G223" s="268" t="s">
        <v>1252</v>
      </c>
      <c r="H223" s="271">
        <f>'MERGED HEAVY IND'!D1403</f>
        <v>6000</v>
      </c>
      <c r="I223" s="332">
        <f>'MERGED HEAVY IND'!H1403</f>
        <v>30000</v>
      </c>
      <c r="J223" s="332">
        <f>'MERGED HEAVY IND'!H1402</f>
        <v>36270.15</v>
      </c>
      <c r="K223" s="270">
        <f>'MERGED HEAVY IND'!H1404</f>
        <v>66270.149999999994</v>
      </c>
      <c r="L223">
        <v>2551</v>
      </c>
    </row>
    <row r="224" spans="1:12" x14ac:dyDescent="0.3">
      <c r="A224" s="266"/>
      <c r="B224" s="277"/>
      <c r="C224" s="319"/>
      <c r="D224" s="268"/>
      <c r="E224" s="268"/>
      <c r="F224" s="268"/>
      <c r="G224" s="268"/>
      <c r="H224" s="271"/>
      <c r="I224" s="332"/>
      <c r="J224" s="332"/>
      <c r="K224" s="270"/>
    </row>
    <row r="225" spans="1:12" ht="28.8" x14ac:dyDescent="0.3">
      <c r="A225" s="266">
        <f>A223+1</f>
        <v>105</v>
      </c>
      <c r="B225" s="277">
        <f>'MERGED HEAVY IND'!B1406</f>
        <v>2552</v>
      </c>
      <c r="C225" s="319">
        <v>23028500</v>
      </c>
      <c r="D225" s="268" t="str">
        <f>'MERGED HEAVY IND'!E1406</f>
        <v>E.NYAZIKA</v>
      </c>
      <c r="E225" s="268" t="str">
        <f>'MERGED HEAVY IND'!C1406</f>
        <v>No 12 LIVERPOOL ROAD</v>
      </c>
      <c r="F225" s="268" t="s">
        <v>1928</v>
      </c>
      <c r="G225" s="268" t="s">
        <v>1252</v>
      </c>
      <c r="H225" s="271">
        <f>'MERGED HEAVY IND'!D1412</f>
        <v>5465</v>
      </c>
      <c r="I225" s="332">
        <f>'MERGED HEAVY IND'!H1412</f>
        <v>27325</v>
      </c>
      <c r="J225" s="332">
        <f>'MERGED HEAVY IND'!H1411</f>
        <v>27555.199999999997</v>
      </c>
      <c r="K225" s="270">
        <f>'MERGED HEAVY IND'!H1413</f>
        <v>54880.2</v>
      </c>
      <c r="L225">
        <v>2552</v>
      </c>
    </row>
    <row r="226" spans="1:12" x14ac:dyDescent="0.3">
      <c r="A226" s="266"/>
      <c r="B226" s="277"/>
      <c r="C226" s="319"/>
      <c r="D226" s="268"/>
      <c r="E226" s="268"/>
      <c r="F226" s="268"/>
      <c r="G226" s="268"/>
      <c r="H226" s="271"/>
      <c r="I226" s="332"/>
      <c r="J226" s="332"/>
      <c r="K226" s="270"/>
    </row>
    <row r="227" spans="1:12" ht="28.8" x14ac:dyDescent="0.3">
      <c r="A227" s="287">
        <f>A225+1</f>
        <v>106</v>
      </c>
      <c r="B227" s="288">
        <f>'MERGED HEAVY IND'!B1415</f>
        <v>2553</v>
      </c>
      <c r="C227" s="326">
        <v>23028600</v>
      </c>
      <c r="D227" s="274" t="str">
        <f>'MERGED HEAVY IND'!E1415</f>
        <v>STAR KIRST ENTERPRISES</v>
      </c>
      <c r="E227" s="274" t="str">
        <f>'MERGED HEAVY IND'!C1415</f>
        <v>1 LIVERPOOL ROAD</v>
      </c>
      <c r="F227" s="268" t="s">
        <v>1928</v>
      </c>
      <c r="G227" s="274" t="s">
        <v>1253</v>
      </c>
      <c r="H227" s="275">
        <f>'MERGED HEAVY IND'!D1424</f>
        <v>2974</v>
      </c>
      <c r="I227" s="333">
        <f>'MERGED HEAVY IND'!H1424</f>
        <v>14870</v>
      </c>
      <c r="J227" s="333">
        <f>'MERGED HEAVY IND'!H1423</f>
        <v>108700</v>
      </c>
      <c r="K227" s="276">
        <f>'MERGED HEAVY IND'!H1425</f>
        <v>123570</v>
      </c>
      <c r="L227">
        <v>2553</v>
      </c>
    </row>
    <row r="228" spans="1:12" x14ac:dyDescent="0.3">
      <c r="A228" s="287"/>
      <c r="B228" s="288"/>
      <c r="C228" s="326"/>
      <c r="D228" s="274"/>
      <c r="E228" s="274"/>
      <c r="F228" s="268"/>
      <c r="G228" s="274"/>
      <c r="H228" s="275"/>
      <c r="I228" s="333"/>
      <c r="J228" s="333"/>
      <c r="K228" s="276"/>
    </row>
    <row r="229" spans="1:12" ht="43.2" x14ac:dyDescent="0.3">
      <c r="A229" s="287">
        <f>A227+1</f>
        <v>107</v>
      </c>
      <c r="B229" s="288">
        <f>'MERGED HEAVY IND'!B1426</f>
        <v>2554</v>
      </c>
      <c r="C229" s="326">
        <v>23028700</v>
      </c>
      <c r="D229" s="274" t="str">
        <f>'MERGED HEAVY IND'!E1426</f>
        <v>SHUMBA INVESTMENT COMPANY</v>
      </c>
      <c r="E229" s="274" t="str">
        <f>'MERGED HEAVY IND'!C1426</f>
        <v>3 LIVERPOOL ROAD</v>
      </c>
      <c r="F229" s="268" t="s">
        <v>1928</v>
      </c>
      <c r="G229" s="274" t="s">
        <v>1252</v>
      </c>
      <c r="H229" s="275">
        <f>'MERGED HEAVY IND'!D1434</f>
        <v>6274</v>
      </c>
      <c r="I229" s="333">
        <f>'MERGED HEAVY IND'!H1434</f>
        <v>31370</v>
      </c>
      <c r="J229" s="333">
        <f>'MERGED HEAVY IND'!H1433</f>
        <v>174701</v>
      </c>
      <c r="K229" s="276">
        <f>'MERGED HEAVY IND'!H1435</f>
        <v>206071</v>
      </c>
      <c r="L229">
        <v>2554</v>
      </c>
    </row>
    <row r="230" spans="1:12" x14ac:dyDescent="0.3">
      <c r="A230" s="266"/>
      <c r="B230" s="277"/>
      <c r="C230" s="319"/>
      <c r="D230" s="268"/>
      <c r="E230" s="268"/>
      <c r="F230" s="268"/>
      <c r="G230" s="268"/>
      <c r="H230" s="271"/>
      <c r="I230" s="332"/>
      <c r="J230" s="332"/>
      <c r="K230" s="270"/>
    </row>
    <row r="231" spans="1:12" ht="28.8" x14ac:dyDescent="0.3">
      <c r="A231" s="266">
        <f>A229+1</f>
        <v>108</v>
      </c>
      <c r="B231" s="277">
        <f>'MERGED HEAVY IND'!B1436</f>
        <v>2555</v>
      </c>
      <c r="C231" s="319">
        <v>23016200</v>
      </c>
      <c r="D231" s="268" t="str">
        <f>'MERGED HEAVY IND'!E1436</f>
        <v>FLEET MAINTANANCE</v>
      </c>
      <c r="E231" s="268" t="str">
        <f>'MERGED HEAVY IND'!C1436</f>
        <v>5 LIVERPOOL ROAD</v>
      </c>
      <c r="F231" s="268" t="s">
        <v>1928</v>
      </c>
      <c r="G231" s="268" t="s">
        <v>1252</v>
      </c>
      <c r="H231" s="271">
        <f>'MERGED HEAVY IND'!D1444</f>
        <v>6623</v>
      </c>
      <c r="I231" s="332">
        <f>'MERGED HEAVY IND'!H1444</f>
        <v>33115</v>
      </c>
      <c r="J231" s="332">
        <f>'MERGED HEAVY IND'!H1443</f>
        <v>93622.1</v>
      </c>
      <c r="K231" s="270">
        <f>'MERGED HEAVY IND'!H1445</f>
        <v>126737.1</v>
      </c>
      <c r="L231">
        <v>2555</v>
      </c>
    </row>
    <row r="232" spans="1:12" x14ac:dyDescent="0.3">
      <c r="A232" s="266"/>
      <c r="B232" s="277"/>
      <c r="C232" s="319"/>
      <c r="D232" s="268"/>
      <c r="E232" s="268"/>
      <c r="F232" s="268"/>
      <c r="G232" s="268"/>
      <c r="H232" s="271"/>
      <c r="I232" s="332"/>
      <c r="J232" s="332"/>
      <c r="K232" s="270"/>
    </row>
    <row r="233" spans="1:12" x14ac:dyDescent="0.3">
      <c r="A233" s="266">
        <f>A231+1</f>
        <v>109</v>
      </c>
      <c r="B233" s="277">
        <f>'MERGED HEAVY IND'!B1446</f>
        <v>2556</v>
      </c>
      <c r="C233" s="319">
        <v>23016300</v>
      </c>
      <c r="D233" s="268" t="str">
        <f>'MERGED HEAVY IND'!E1446</f>
        <v>NORMAN TINORWA</v>
      </c>
      <c r="E233" s="268" t="str">
        <f>'MERGED HEAVY IND'!C1446</f>
        <v>7 LIVERPOOL ROAD</v>
      </c>
      <c r="F233" s="268" t="s">
        <v>1928</v>
      </c>
      <c r="G233" s="268" t="s">
        <v>1252</v>
      </c>
      <c r="H233" s="271">
        <f>'MERGED HEAVY IND'!D1452</f>
        <v>6695</v>
      </c>
      <c r="I233" s="332">
        <f>'MERGED HEAVY IND'!H1452</f>
        <v>33475</v>
      </c>
      <c r="J233" s="332">
        <f>'MERGED HEAVY IND'!H1451</f>
        <v>255159.2</v>
      </c>
      <c r="K233" s="270">
        <f>'MERGED HEAVY IND'!H1453</f>
        <v>288634.2</v>
      </c>
      <c r="L233">
        <v>2556</v>
      </c>
    </row>
    <row r="234" spans="1:12" x14ac:dyDescent="0.3">
      <c r="A234" s="266"/>
      <c r="B234" s="277"/>
      <c r="C234" s="319"/>
      <c r="D234" s="268"/>
      <c r="E234" s="268"/>
      <c r="F234" s="268"/>
      <c r="G234" s="268"/>
      <c r="H234" s="271"/>
      <c r="I234" s="332"/>
      <c r="J234" s="332"/>
      <c r="K234" s="270"/>
    </row>
    <row r="235" spans="1:12" ht="28.8" x14ac:dyDescent="0.3">
      <c r="A235" s="266">
        <f>A233+1</f>
        <v>110</v>
      </c>
      <c r="B235" s="277">
        <f>'MERGED HEAVY IND'!B1455</f>
        <v>2557</v>
      </c>
      <c r="C235" s="319">
        <v>23028800</v>
      </c>
      <c r="D235" s="268" t="str">
        <f>'MERGED HEAVY IND'!E1455</f>
        <v xml:space="preserve"> STOURBRIDGE FARM [PVT] LTD</v>
      </c>
      <c r="E235" s="268" t="str">
        <f>'MERGED HEAVY IND'!C1455</f>
        <v>9 LIVERPOOL ROAD</v>
      </c>
      <c r="F235" s="268" t="s">
        <v>1928</v>
      </c>
      <c r="G235" s="268" t="s">
        <v>1252</v>
      </c>
      <c r="H235" s="271">
        <f>'MERGED HEAVY IND'!D1460</f>
        <v>7186</v>
      </c>
      <c r="I235" s="332">
        <f>'MERGED HEAVY IND'!H1460</f>
        <v>35930</v>
      </c>
      <c r="J235" s="332">
        <f>'MERGED HEAVY IND'!H1459</f>
        <v>85021.340000000011</v>
      </c>
      <c r="K235" s="270">
        <f>'MERGED HEAVY IND'!H1461</f>
        <v>120951.34000000001</v>
      </c>
      <c r="L235">
        <v>2557</v>
      </c>
    </row>
    <row r="236" spans="1:12" x14ac:dyDescent="0.3">
      <c r="A236" s="266"/>
      <c r="B236" s="277"/>
      <c r="C236" s="319"/>
      <c r="D236" s="268"/>
      <c r="E236" s="268"/>
      <c r="F236" s="268"/>
      <c r="G236" s="268"/>
      <c r="H236" s="271"/>
      <c r="I236" s="332"/>
      <c r="J236" s="332"/>
      <c r="K236" s="270"/>
    </row>
    <row r="237" spans="1:12" ht="28.8" x14ac:dyDescent="0.3">
      <c r="A237" s="266">
        <f>A235+1</f>
        <v>111</v>
      </c>
      <c r="B237" s="277">
        <f>'MERGED HEAVY IND'!B1462</f>
        <v>2558</v>
      </c>
      <c r="C237" s="319">
        <v>23014800</v>
      </c>
      <c r="D237" s="268" t="str">
        <f>'MERGED HEAVY IND'!E1462</f>
        <v>FARAYI PATRICK MWAYERA</v>
      </c>
      <c r="E237" s="268" t="str">
        <f>'MERGED HEAVY IND'!C1462</f>
        <v>11 LIVERPOOL ROAD</v>
      </c>
      <c r="F237" s="268" t="s">
        <v>1928</v>
      </c>
      <c r="G237" s="268" t="s">
        <v>1252</v>
      </c>
      <c r="H237" s="271">
        <f>'MERGED HEAVY IND'!D1467</f>
        <v>9755</v>
      </c>
      <c r="I237" s="332">
        <f>'MERGED HEAVY IND'!H1467</f>
        <v>48775</v>
      </c>
      <c r="J237" s="332">
        <f>'MERGED HEAVY IND'!H1466</f>
        <v>10699.8</v>
      </c>
      <c r="K237" s="270">
        <f>'MERGED HEAVY IND'!H1468</f>
        <v>59474.8</v>
      </c>
      <c r="L237">
        <v>2558</v>
      </c>
    </row>
    <row r="238" spans="1:12" x14ac:dyDescent="0.3">
      <c r="A238" s="266"/>
      <c r="B238" s="277"/>
      <c r="C238" s="319"/>
      <c r="D238" s="268"/>
      <c r="E238" s="268"/>
      <c r="F238" s="268"/>
      <c r="G238" s="268"/>
      <c r="H238" s="271"/>
      <c r="I238" s="332"/>
      <c r="J238" s="332"/>
      <c r="K238" s="270"/>
    </row>
    <row r="239" spans="1:12" x14ac:dyDescent="0.3">
      <c r="A239" s="266">
        <f>A237+1</f>
        <v>112</v>
      </c>
      <c r="B239" s="277">
        <v>11936</v>
      </c>
      <c r="C239" s="319">
        <v>23028902</v>
      </c>
      <c r="D239" s="268" t="str">
        <f>'MERGED HEAVY IND'!E1469</f>
        <v>LOVEMORE TSURO</v>
      </c>
      <c r="E239" s="268" t="str">
        <f>'MERGED HEAVY IND'!C1469</f>
        <v>13 LIVERPOOL ROAD</v>
      </c>
      <c r="F239" s="268" t="s">
        <v>1928</v>
      </c>
      <c r="G239" s="289" t="s">
        <v>1277</v>
      </c>
      <c r="H239" s="290">
        <f>'MERGED HEAVY IND'!D1473</f>
        <v>1750</v>
      </c>
      <c r="I239" s="332">
        <f>'MERGED HEAVY IND'!H1473</f>
        <v>8750</v>
      </c>
      <c r="J239" s="332">
        <f>'MERGED HEAVY IND'!H1472</f>
        <v>0</v>
      </c>
      <c r="K239" s="270">
        <f>'MERGED HEAVY IND'!H1474</f>
        <v>8750</v>
      </c>
      <c r="L239">
        <v>11936</v>
      </c>
    </row>
    <row r="240" spans="1:12" x14ac:dyDescent="0.3">
      <c r="A240" s="266"/>
      <c r="B240" s="277"/>
      <c r="C240" s="319"/>
      <c r="D240" s="268"/>
      <c r="E240" s="268"/>
      <c r="F240" s="268"/>
      <c r="G240" s="268"/>
      <c r="H240" s="271"/>
      <c r="I240" s="332"/>
      <c r="J240" s="332"/>
      <c r="K240" s="270"/>
    </row>
    <row r="241" spans="1:12" x14ac:dyDescent="0.3">
      <c r="A241" s="266">
        <f>A239+1</f>
        <v>113</v>
      </c>
      <c r="B241" s="277" t="str">
        <f>'MERGED HEAVY IND'!B1475</f>
        <v>REM OF 2559</v>
      </c>
      <c r="C241" s="319">
        <v>23028901</v>
      </c>
      <c r="D241" s="268" t="str">
        <f>'MERGED HEAVY IND'!E1475</f>
        <v>MUTSONGODZI</v>
      </c>
      <c r="E241" s="268" t="str">
        <f>'MERGED HEAVY IND'!C1475</f>
        <v>13 LIVERPOOL ROAD</v>
      </c>
      <c r="F241" s="268" t="s">
        <v>1928</v>
      </c>
      <c r="G241" s="268" t="s">
        <v>1252</v>
      </c>
      <c r="H241" s="271">
        <f>'MERGED HEAVY IND'!D1479</f>
        <v>7434</v>
      </c>
      <c r="I241" s="332">
        <f>'MERGED HEAVY IND'!H1479</f>
        <v>37170</v>
      </c>
      <c r="J241" s="332">
        <f>'MERGED HEAVY IND'!H1478</f>
        <v>5785.6500000000005</v>
      </c>
      <c r="K241" s="270">
        <f>'MERGED HEAVY IND'!H1480</f>
        <v>42955.65</v>
      </c>
      <c r="L241" t="s">
        <v>845</v>
      </c>
    </row>
    <row r="242" spans="1:12" x14ac:dyDescent="0.3">
      <c r="A242" s="266"/>
      <c r="B242" s="277"/>
      <c r="C242" s="319"/>
      <c r="D242" s="268"/>
      <c r="E242" s="268"/>
      <c r="F242" s="268"/>
      <c r="G242" s="268"/>
      <c r="H242" s="271"/>
      <c r="I242" s="332"/>
      <c r="J242" s="332"/>
      <c r="K242" s="270"/>
    </row>
    <row r="243" spans="1:12" ht="28.8" x14ac:dyDescent="0.3">
      <c r="A243" s="266">
        <f>A241+1</f>
        <v>114</v>
      </c>
      <c r="B243" s="277">
        <f>'MERGED HEAVY IND'!B1481</f>
        <v>2560</v>
      </c>
      <c r="C243" s="319">
        <v>23015600</v>
      </c>
      <c r="D243" s="268" t="str">
        <f>'MERGED HEAVY IND'!E1481</f>
        <v>THOMAS MUNJOMA</v>
      </c>
      <c r="E243" s="268" t="str">
        <f>'MERGED HEAVY IND'!C1481</f>
        <v>15 LIVERPOOL ROAD</v>
      </c>
      <c r="F243" s="268" t="s">
        <v>1928</v>
      </c>
      <c r="G243" s="268" t="s">
        <v>1252</v>
      </c>
      <c r="H243" s="271">
        <f>'MERGED HEAVY IND'!D1487</f>
        <v>8326</v>
      </c>
      <c r="I243" s="332">
        <f>'MERGED HEAVY IND'!H1487</f>
        <v>41630</v>
      </c>
      <c r="J243" s="332">
        <f>'MERGED HEAVY IND'!H1486</f>
        <v>147689.19</v>
      </c>
      <c r="K243" s="270">
        <f>'MERGED HEAVY IND'!H1488</f>
        <v>189319.19</v>
      </c>
      <c r="L243">
        <v>2560</v>
      </c>
    </row>
    <row r="244" spans="1:12" x14ac:dyDescent="0.3">
      <c r="A244" s="266"/>
      <c r="B244" s="277"/>
      <c r="C244" s="319"/>
      <c r="D244" s="268"/>
      <c r="E244" s="268"/>
      <c r="F244" s="268"/>
      <c r="G244" s="268"/>
      <c r="H244" s="271"/>
      <c r="I244" s="332"/>
      <c r="J244" s="332"/>
      <c r="K244" s="270"/>
    </row>
    <row r="245" spans="1:12" ht="28.8" x14ac:dyDescent="0.3">
      <c r="A245" s="266">
        <f>A243+1</f>
        <v>115</v>
      </c>
      <c r="B245" s="277">
        <f>'MERGED HEAVY IND'!B1489</f>
        <v>2561</v>
      </c>
      <c r="C245" s="319">
        <v>23029000</v>
      </c>
      <c r="D245" s="268" t="str">
        <f>'MERGED HEAVY IND'!E1489</f>
        <v>ZIMBABWE COFFEE MILL PVT LTD</v>
      </c>
      <c r="E245" s="268" t="str">
        <f>'MERGED HEAVY IND'!C1489</f>
        <v>14 LIVER POOL ROAD</v>
      </c>
      <c r="F245" s="268" t="s">
        <v>1928</v>
      </c>
      <c r="G245" s="268" t="s">
        <v>1281</v>
      </c>
      <c r="H245" s="271">
        <f>'MERGED HEAVY IND'!D1499</f>
        <v>22826</v>
      </c>
      <c r="I245" s="332">
        <f>'MERGED HEAVY IND'!H1499</f>
        <v>89565</v>
      </c>
      <c r="J245" s="332">
        <f>'MERGED HEAVY IND'!H1498</f>
        <v>1083715.5</v>
      </c>
      <c r="K245" s="270">
        <f>'MERGED HEAVY IND'!H1500</f>
        <v>1173280.5</v>
      </c>
      <c r="L245">
        <v>2561</v>
      </c>
    </row>
    <row r="246" spans="1:12" x14ac:dyDescent="0.3">
      <c r="A246" s="266"/>
      <c r="B246" s="277"/>
      <c r="C246" s="319"/>
      <c r="D246" s="268"/>
      <c r="E246" s="268"/>
      <c r="F246" s="268"/>
      <c r="G246" s="268"/>
      <c r="H246" s="271"/>
      <c r="I246" s="332"/>
      <c r="J246" s="332"/>
      <c r="K246" s="270"/>
    </row>
    <row r="247" spans="1:12" x14ac:dyDescent="0.3">
      <c r="A247" s="266">
        <f>A245+1</f>
        <v>116</v>
      </c>
      <c r="B247" s="291">
        <f>'MERGED HEAVY IND'!B1502</f>
        <v>2562</v>
      </c>
      <c r="C247" s="319">
        <v>23001100</v>
      </c>
      <c r="D247" s="268" t="str">
        <f>'MERGED HEAVY IND'!E1502</f>
        <v>DELTA BEVERAGES</v>
      </c>
      <c r="E247" s="268" t="str">
        <f>'MERGED HEAVY IND'!C1502</f>
        <v>16 LIVER POOL ROAD</v>
      </c>
      <c r="F247" s="268" t="s">
        <v>1928</v>
      </c>
      <c r="G247" s="268" t="s">
        <v>1251</v>
      </c>
      <c r="H247" s="271">
        <f>'MERGED HEAVY IND'!D1511</f>
        <v>27944</v>
      </c>
      <c r="I247" s="332">
        <f>'MERGED HEAVY IND'!H1511</f>
        <v>132360</v>
      </c>
      <c r="J247" s="332">
        <f>'MERGED HEAVY IND'!H1510</f>
        <v>567701</v>
      </c>
      <c r="K247" s="270">
        <f>'MERGED HEAVY IND'!H1512</f>
        <v>700061</v>
      </c>
      <c r="L247" s="341">
        <v>2562</v>
      </c>
    </row>
    <row r="248" spans="1:12" x14ac:dyDescent="0.3">
      <c r="A248" s="266"/>
      <c r="B248" s="291"/>
      <c r="C248" s="319"/>
      <c r="D248" s="268"/>
      <c r="E248" s="268"/>
      <c r="F248" s="268"/>
      <c r="G248" s="268"/>
      <c r="H248" s="271"/>
      <c r="I248" s="332"/>
      <c r="J248" s="332"/>
      <c r="K248" s="270"/>
      <c r="L248" s="341"/>
    </row>
    <row r="249" spans="1:12" ht="43.2" x14ac:dyDescent="0.3">
      <c r="A249" s="266">
        <f>A247+1</f>
        <v>117</v>
      </c>
      <c r="B249" s="291">
        <f>'MERGED HEAVY IND'!B1513</f>
        <v>2563</v>
      </c>
      <c r="C249" s="319">
        <v>23029100</v>
      </c>
      <c r="D249" s="268" t="str">
        <f>'MERGED HEAVY IND'!E1513</f>
        <v>MASARA TRANSPORT PVT LTD</v>
      </c>
      <c r="E249" s="268" t="str">
        <f>'MERGED HEAVY IND'!C1513</f>
        <v>18 LIVERPOOL ROAD</v>
      </c>
      <c r="F249" s="268" t="s">
        <v>1928</v>
      </c>
      <c r="G249" s="268" t="s">
        <v>1252</v>
      </c>
      <c r="H249" s="271">
        <f>'MERGED HEAVY IND'!D1521</f>
        <v>25197</v>
      </c>
      <c r="I249" s="332">
        <f>'MERGED HEAVY IND'!H1521</f>
        <v>100492.5</v>
      </c>
      <c r="J249" s="332">
        <f>'MERGED HEAVY IND'!H1520</f>
        <v>194459.22</v>
      </c>
      <c r="K249" s="270">
        <f>'MERGED HEAVY IND'!H1522</f>
        <v>294951.71999999997</v>
      </c>
      <c r="L249" s="341">
        <v>2563</v>
      </c>
    </row>
    <row r="250" spans="1:12" x14ac:dyDescent="0.3">
      <c r="A250" s="266"/>
      <c r="B250" s="277"/>
      <c r="C250" s="319"/>
      <c r="D250" s="268"/>
      <c r="E250" s="268"/>
      <c r="F250" s="268"/>
      <c r="G250" s="268"/>
      <c r="H250" s="271"/>
      <c r="I250" s="332"/>
      <c r="J250" s="332"/>
      <c r="K250" s="270"/>
    </row>
    <row r="251" spans="1:12" ht="28.8" x14ac:dyDescent="0.3">
      <c r="A251" s="266">
        <f>A249+1</f>
        <v>118</v>
      </c>
      <c r="B251" s="277">
        <f>'MERGED HEAVY IND'!B1524</f>
        <v>2905</v>
      </c>
      <c r="C251" s="319">
        <v>23000904</v>
      </c>
      <c r="D251" s="268" t="str">
        <f>'MERGED HEAVY IND'!E1524</f>
        <v>GOVT OF ZIMBABWE</v>
      </c>
      <c r="E251" s="268" t="str">
        <f>'MERGED HEAVY IND'!C1524</f>
        <v>DDF</v>
      </c>
      <c r="F251" s="268" t="s">
        <v>1928</v>
      </c>
      <c r="G251" s="268" t="s">
        <v>1252</v>
      </c>
      <c r="H251" s="271">
        <f>'MERGED HEAVY IND'!D1569</f>
        <v>92000</v>
      </c>
      <c r="I251" s="332">
        <f>'MERGED HEAVY IND'!H1569</f>
        <v>190000</v>
      </c>
      <c r="J251" s="332">
        <f>'MERGED HEAVY IND'!H1568</f>
        <v>807422.90000000014</v>
      </c>
      <c r="K251" s="270">
        <f>'MERGED HEAVY IND'!H1570</f>
        <v>997422.90000000014</v>
      </c>
      <c r="L251">
        <v>2905</v>
      </c>
    </row>
    <row r="252" spans="1:12" x14ac:dyDescent="0.3">
      <c r="A252" s="266"/>
      <c r="B252" s="277"/>
      <c r="C252" s="319"/>
      <c r="D252" s="268"/>
      <c r="E252" s="268"/>
      <c r="F252" s="268"/>
      <c r="G252" s="268"/>
      <c r="H252" s="271"/>
      <c r="I252" s="332"/>
      <c r="J252" s="332"/>
      <c r="K252" s="270"/>
    </row>
    <row r="253" spans="1:12" ht="28.8" x14ac:dyDescent="0.3">
      <c r="A253" s="266">
        <f>A251+1</f>
        <v>119</v>
      </c>
      <c r="B253" s="277">
        <f>'MERGED HEAVY IND'!B1571</f>
        <v>5017</v>
      </c>
      <c r="C253" s="319">
        <v>23020900</v>
      </c>
      <c r="D253" s="268" t="str">
        <f>'MERGED HEAVY IND'!E1571</f>
        <v>WATTLE CO. PVT LTD</v>
      </c>
      <c r="E253" s="268" t="str">
        <f>'MERGED HEAVY IND'!C1571</f>
        <v xml:space="preserve">3 DURBAN ROAD </v>
      </c>
      <c r="F253" s="268" t="s">
        <v>1928</v>
      </c>
      <c r="G253" s="268" t="s">
        <v>1257</v>
      </c>
      <c r="H253" s="271">
        <f>'MERGED HEAVY IND'!D1604</f>
        <v>169187</v>
      </c>
      <c r="I253" s="332">
        <f>'MERGED HEAVY IND'!H1604</f>
        <v>286483.75</v>
      </c>
      <c r="J253" s="332">
        <f>'MERGED HEAVY IND'!H1603</f>
        <v>1381307.63</v>
      </c>
      <c r="K253" s="270">
        <f>'MERGED HEAVY IND'!H1605</f>
        <v>1667791.38</v>
      </c>
      <c r="L253">
        <v>5017</v>
      </c>
    </row>
    <row r="254" spans="1:12" x14ac:dyDescent="0.3">
      <c r="A254" s="266"/>
      <c r="B254" s="277"/>
      <c r="C254" s="319"/>
      <c r="D254" s="268"/>
      <c r="E254" s="268"/>
      <c r="F254" s="268"/>
      <c r="G254" s="268"/>
      <c r="H254" s="271"/>
      <c r="I254" s="332"/>
      <c r="J254" s="332"/>
      <c r="K254" s="270"/>
    </row>
    <row r="255" spans="1:12" ht="43.2" x14ac:dyDescent="0.3">
      <c r="A255" s="266">
        <f>A253+1</f>
        <v>120</v>
      </c>
      <c r="B255" s="277">
        <f>'MERGED HEAVY IND'!B1606</f>
        <v>5025</v>
      </c>
      <c r="C255" s="319">
        <v>23021100</v>
      </c>
      <c r="D255" s="268" t="str">
        <f>'MERGED HEAVY IND'!E1606</f>
        <v>QUEST MOTOR CO-OPERATION ASSEMBLY PLANT</v>
      </c>
      <c r="E255" s="268" t="str">
        <f>'MERGED HEAVY IND'!C1606</f>
        <v xml:space="preserve">17 CHIMANIMANI ROAD </v>
      </c>
      <c r="F255" s="268" t="s">
        <v>1928</v>
      </c>
      <c r="G255" s="268" t="s">
        <v>1282</v>
      </c>
      <c r="H255" s="271">
        <f>'MERGED HEAVY IND'!D1627</f>
        <v>268839</v>
      </c>
      <c r="I255" s="332">
        <f>'MERGED HEAVY IND'!H1627</f>
        <v>411048.75</v>
      </c>
      <c r="J255" s="332">
        <f>'MERGED HEAVY IND'!H1626</f>
        <v>8902234.0799999982</v>
      </c>
      <c r="K255" s="270">
        <f>'MERGED HEAVY IND'!H1628</f>
        <v>9313282.8299999982</v>
      </c>
      <c r="L255">
        <v>5025</v>
      </c>
    </row>
    <row r="256" spans="1:12" x14ac:dyDescent="0.3">
      <c r="A256" s="266"/>
      <c r="B256" s="277"/>
      <c r="C256" s="319"/>
      <c r="D256" s="268"/>
      <c r="E256" s="268"/>
      <c r="F256" s="268"/>
      <c r="G256" s="268"/>
      <c r="H256" s="271"/>
      <c r="I256" s="332"/>
      <c r="J256" s="332"/>
      <c r="K256" s="270"/>
    </row>
    <row r="257" spans="1:12" ht="28.8" x14ac:dyDescent="0.3">
      <c r="A257" s="266">
        <f>A255+1</f>
        <v>121</v>
      </c>
      <c r="B257" s="279">
        <f>'MERGED HEAVY IND'!B1629</f>
        <v>5033</v>
      </c>
      <c r="C257" s="319">
        <v>23021400</v>
      </c>
      <c r="D257" s="267" t="str">
        <f>'MERGED HEAVY IND'!E1629</f>
        <v>CAIRNS FOODS</v>
      </c>
      <c r="E257" s="267" t="str">
        <f>'MERGED HEAVY IND'!C1629</f>
        <v>10 BVUMBA ROAD</v>
      </c>
      <c r="F257" s="268" t="s">
        <v>1928</v>
      </c>
      <c r="G257" s="267" t="s">
        <v>1273</v>
      </c>
      <c r="H257" s="269">
        <f>'MERGED HEAVY IND'!D1656</f>
        <v>12994</v>
      </c>
      <c r="I257" s="332">
        <f>'MERGED HEAVY IND'!H1656</f>
        <v>61227.5</v>
      </c>
      <c r="J257" s="332">
        <f>'MERGED HEAVY IND'!H1655</f>
        <v>3776363.9099999997</v>
      </c>
      <c r="K257" s="270">
        <f>'MERGED HEAVY IND'!H1657</f>
        <v>3837591.4099999997</v>
      </c>
      <c r="L257">
        <v>5033</v>
      </c>
    </row>
    <row r="258" spans="1:12" x14ac:dyDescent="0.3">
      <c r="A258" s="266"/>
      <c r="B258" s="279"/>
      <c r="C258" s="319"/>
      <c r="D258" s="267"/>
      <c r="E258" s="267"/>
      <c r="F258" s="268"/>
      <c r="G258" s="267"/>
      <c r="H258" s="269"/>
      <c r="I258" s="332"/>
      <c r="J258" s="332"/>
      <c r="K258" s="270"/>
    </row>
    <row r="259" spans="1:12" ht="28.8" x14ac:dyDescent="0.3">
      <c r="A259" s="266">
        <f>A257+1</f>
        <v>122</v>
      </c>
      <c r="B259" s="277">
        <f>'MERGED HEAVY IND'!B1659</f>
        <v>5045</v>
      </c>
      <c r="C259" s="319">
        <v>23022600</v>
      </c>
      <c r="D259" s="268" t="str">
        <f>'MERGED HEAVY IND'!E1659</f>
        <v>MINISTRY OF TRANSPORT</v>
      </c>
      <c r="E259" s="268" t="str">
        <f>'MERGED HEAVY IND'!C1659</f>
        <v>No 5 KARIBA  R.D</v>
      </c>
      <c r="F259" s="268" t="s">
        <v>1928</v>
      </c>
      <c r="G259" s="268" t="s">
        <v>1252</v>
      </c>
      <c r="H259" s="271">
        <f>'MERGED HEAVY IND'!D1671</f>
        <v>46976</v>
      </c>
      <c r="I259" s="332">
        <f>'MERGED HEAVY IND'!H1671</f>
        <v>133720</v>
      </c>
      <c r="J259" s="332">
        <f>'MERGED HEAVY IND'!H1670</f>
        <v>311350.59999999998</v>
      </c>
      <c r="K259" s="270">
        <f>'MERGED HEAVY IND'!H1672</f>
        <v>445070.6</v>
      </c>
      <c r="L259">
        <v>5045</v>
      </c>
    </row>
    <row r="260" spans="1:12" x14ac:dyDescent="0.3">
      <c r="A260" s="266"/>
      <c r="B260" s="277"/>
      <c r="C260" s="319"/>
      <c r="D260" s="268"/>
      <c r="E260" s="268"/>
      <c r="F260" s="268"/>
      <c r="G260" s="268"/>
      <c r="H260" s="271"/>
      <c r="I260" s="332"/>
      <c r="J260" s="332"/>
      <c r="K260" s="270"/>
    </row>
    <row r="261" spans="1:12" ht="28.8" x14ac:dyDescent="0.3">
      <c r="A261" s="266">
        <f>A259+1</f>
        <v>123</v>
      </c>
      <c r="B261" s="279">
        <f>'MERGED HEAVY IND'!B1674</f>
        <v>5059</v>
      </c>
      <c r="C261" s="319">
        <v>23001300</v>
      </c>
      <c r="D261" s="267" t="str">
        <f>'MERGED HEAVY IND'!E1674</f>
        <v>TANGANDA TEA COMPANY PVT LTD</v>
      </c>
      <c r="E261" s="267" t="str">
        <f>'MERGED HEAVY IND'!C1674</f>
        <v>15 VUMBA ROAD</v>
      </c>
      <c r="F261" s="268" t="s">
        <v>1928</v>
      </c>
      <c r="G261" s="267" t="s">
        <v>1252</v>
      </c>
      <c r="H261" s="269">
        <f>'MERGED HEAVY IND'!D1689</f>
        <v>27704</v>
      </c>
      <c r="I261" s="332">
        <f>'MERGED HEAVY IND'!H1689</f>
        <v>73010</v>
      </c>
      <c r="J261" s="332">
        <f>'MERGED HEAVY IND'!H1688</f>
        <v>1303894.25</v>
      </c>
      <c r="K261" s="270">
        <f>'MERGED HEAVY IND'!H1690</f>
        <v>1376904.25</v>
      </c>
      <c r="L261">
        <v>5059</v>
      </c>
    </row>
    <row r="262" spans="1:12" x14ac:dyDescent="0.3">
      <c r="A262" s="266"/>
      <c r="B262" s="279"/>
      <c r="C262" s="319"/>
      <c r="D262" s="267"/>
      <c r="E262" s="267"/>
      <c r="F262" s="268"/>
      <c r="G262" s="267"/>
      <c r="H262" s="269"/>
      <c r="I262" s="332"/>
      <c r="J262" s="332"/>
      <c r="K262" s="270"/>
    </row>
    <row r="263" spans="1:12" x14ac:dyDescent="0.3">
      <c r="A263" s="266">
        <f>A261+1</f>
        <v>124</v>
      </c>
      <c r="B263" s="277">
        <f>'MERGED HEAVY IND'!B1691</f>
        <v>5065</v>
      </c>
      <c r="C263" s="319">
        <v>23021600</v>
      </c>
      <c r="D263" s="268" t="str">
        <f>'MERGED HEAVY IND'!E1691</f>
        <v>G.M.B</v>
      </c>
      <c r="E263" s="268" t="str">
        <f>'MERGED HEAVY IND'!C1691</f>
        <v>GRIMSBY CLOSE</v>
      </c>
      <c r="F263" s="268" t="s">
        <v>1928</v>
      </c>
      <c r="G263" s="268" t="s">
        <v>1278</v>
      </c>
      <c r="H263" s="271">
        <f>'MERGED HEAVY IND'!D1703</f>
        <v>90820</v>
      </c>
      <c r="I263" s="332">
        <f>'MERGED HEAVY IND'!H1703</f>
        <v>188525</v>
      </c>
      <c r="J263" s="332">
        <f>'MERGED HEAVY IND'!H1702</f>
        <v>316079.864</v>
      </c>
      <c r="K263" s="270">
        <f>'MERGED HEAVY IND'!H1704</f>
        <v>504604.864</v>
      </c>
      <c r="L263">
        <v>5065</v>
      </c>
    </row>
    <row r="264" spans="1:12" x14ac:dyDescent="0.3">
      <c r="A264" s="266"/>
      <c r="B264" s="277"/>
      <c r="C264" s="319"/>
      <c r="D264" s="268"/>
      <c r="E264" s="268"/>
      <c r="F264" s="268"/>
      <c r="G264" s="268"/>
      <c r="H264" s="271"/>
      <c r="I264" s="332"/>
      <c r="J264" s="332"/>
      <c r="K264" s="270"/>
    </row>
    <row r="265" spans="1:12" x14ac:dyDescent="0.3">
      <c r="A265" s="266">
        <f>A263+1</f>
        <v>125</v>
      </c>
      <c r="B265" s="288">
        <f>'MERGED HEAVY IND'!B1705</f>
        <v>5080</v>
      </c>
      <c r="C265" s="326">
        <v>23015400</v>
      </c>
      <c r="D265" s="274" t="str">
        <f>'MERGED HEAVY IND'!E1705</f>
        <v>A. T MUPOTA</v>
      </c>
      <c r="E265" s="274" t="str">
        <f>'MERGED HEAVY IND'!C1705</f>
        <v>TAMESIDE CLOSE</v>
      </c>
      <c r="F265" s="268" t="s">
        <v>1928</v>
      </c>
      <c r="G265" s="274" t="s">
        <v>1252</v>
      </c>
      <c r="H265" s="275">
        <f>'MERGED HEAVY IND'!D1716</f>
        <v>2150</v>
      </c>
      <c r="I265" s="333">
        <f>'MERGED HEAVY IND'!H1716</f>
        <v>10750</v>
      </c>
      <c r="J265" s="333">
        <f>'MERGED HEAVY IND'!H1715</f>
        <v>59277.2</v>
      </c>
      <c r="K265" s="276">
        <f>'MERGED HEAVY IND'!H1717</f>
        <v>70027.199999999997</v>
      </c>
      <c r="L265">
        <v>5080</v>
      </c>
    </row>
    <row r="266" spans="1:12" x14ac:dyDescent="0.3">
      <c r="A266" s="266"/>
      <c r="B266" s="277"/>
      <c r="C266" s="319"/>
      <c r="D266" s="268"/>
      <c r="E266" s="268"/>
      <c r="F266" s="268"/>
      <c r="G266" s="268"/>
      <c r="H266" s="271"/>
      <c r="I266" s="332"/>
      <c r="J266" s="332"/>
      <c r="K266" s="270"/>
    </row>
    <row r="267" spans="1:12" ht="43.2" x14ac:dyDescent="0.3">
      <c r="A267" s="266">
        <f>A265+1</f>
        <v>126</v>
      </c>
      <c r="B267" s="277">
        <f>'MERGED HEAVY IND'!B1719</f>
        <v>5170</v>
      </c>
      <c r="C267" s="319">
        <v>23031000</v>
      </c>
      <c r="D267" s="268" t="str">
        <f>'MERGED HEAVY IND'!E1719</f>
        <v>GOWACK MILLERS</v>
      </c>
      <c r="E267" s="268" t="str">
        <f>'MERGED HEAVY IND'!C1719</f>
        <v>GRIMBSY CLOSE</v>
      </c>
      <c r="F267" s="268" t="s">
        <v>1928</v>
      </c>
      <c r="G267" s="268" t="s">
        <v>1989</v>
      </c>
      <c r="H267" s="271">
        <f>'MERGED HEAVY IND'!D1731</f>
        <v>8637</v>
      </c>
      <c r="I267" s="332">
        <f>'MERGED HEAVY IND'!H1731</f>
        <v>43185</v>
      </c>
      <c r="J267" s="332">
        <f>'MERGED HEAVY IND'!H1730</f>
        <v>90572.4</v>
      </c>
      <c r="K267" s="270">
        <f>'MERGED HEAVY IND'!H1732</f>
        <v>133757.4</v>
      </c>
      <c r="L267">
        <v>5170</v>
      </c>
    </row>
    <row r="268" spans="1:12" x14ac:dyDescent="0.3">
      <c r="A268" s="266"/>
      <c r="B268" s="277"/>
      <c r="C268" s="319"/>
      <c r="D268" s="268"/>
      <c r="E268" s="268"/>
      <c r="F268" s="268"/>
      <c r="G268" s="268"/>
      <c r="H268" s="271"/>
      <c r="I268" s="332"/>
      <c r="J268" s="332"/>
      <c r="K268" s="270"/>
    </row>
    <row r="269" spans="1:12" ht="28.8" x14ac:dyDescent="0.3">
      <c r="A269" s="266">
        <f>A267+1</f>
        <v>127</v>
      </c>
      <c r="B269" s="277">
        <f>'MERGED HEAVY IND'!B1733</f>
        <v>5173</v>
      </c>
      <c r="C269" s="319">
        <v>23031200</v>
      </c>
      <c r="D269" s="268" t="str">
        <f>'MERGED HEAVY IND'!E1733</f>
        <v>M AND M BROTHERS</v>
      </c>
      <c r="E269" s="268" t="str">
        <f>'MERGED HEAVY IND'!C1733</f>
        <v>DERERA ROAD</v>
      </c>
      <c r="F269" s="268" t="s">
        <v>1928</v>
      </c>
      <c r="G269" s="268" t="s">
        <v>1252</v>
      </c>
      <c r="H269" s="271">
        <f>'MERGED HEAVY IND'!D1738</f>
        <v>8060</v>
      </c>
      <c r="I269" s="332">
        <f>'MERGED HEAVY IND'!H1738</f>
        <v>40300</v>
      </c>
      <c r="J269" s="332">
        <f>'MERGED HEAVY IND'!H1737</f>
        <v>40700</v>
      </c>
      <c r="K269" s="270">
        <f>'MERGED HEAVY IND'!H1739</f>
        <v>81000</v>
      </c>
      <c r="L269">
        <v>5173</v>
      </c>
    </row>
    <row r="270" spans="1:12" x14ac:dyDescent="0.3">
      <c r="A270" s="266"/>
      <c r="B270" s="277"/>
      <c r="C270" s="319"/>
      <c r="D270" s="268"/>
      <c r="E270" s="268"/>
      <c r="F270" s="268"/>
      <c r="G270" s="268"/>
      <c r="H270" s="271"/>
      <c r="I270" s="332"/>
      <c r="J270" s="332"/>
      <c r="K270" s="270"/>
    </row>
    <row r="271" spans="1:12" ht="28.8" x14ac:dyDescent="0.3">
      <c r="A271" s="266">
        <f>A269+1</f>
        <v>128</v>
      </c>
      <c r="B271" s="277">
        <f>'MERGED HEAVY IND'!B1741</f>
        <v>5174</v>
      </c>
      <c r="C271" s="319">
        <v>23031300</v>
      </c>
      <c r="D271" s="268" t="str">
        <f>'MERGED HEAVY IND'!E1741</f>
        <v>SECURETE WALLING PVT LTD</v>
      </c>
      <c r="E271" s="268" t="str">
        <f>'MERGED HEAVY IND'!C1741</f>
        <v>DERERA ROAD</v>
      </c>
      <c r="F271" s="268" t="s">
        <v>1928</v>
      </c>
      <c r="G271" s="268" t="s">
        <v>1252</v>
      </c>
      <c r="H271" s="271">
        <f>'MERGED HEAVY IND'!D1747</f>
        <v>17585</v>
      </c>
      <c r="I271" s="332">
        <f>'MERGED HEAVY IND'!H1747</f>
        <v>78443.75</v>
      </c>
      <c r="J271" s="332">
        <f>'MERGED HEAVY IND'!H1746</f>
        <v>105391.62</v>
      </c>
      <c r="K271" s="270">
        <f>'MERGED HEAVY IND'!H1748</f>
        <v>183835.37</v>
      </c>
      <c r="L271">
        <v>5174</v>
      </c>
    </row>
    <row r="272" spans="1:12" x14ac:dyDescent="0.3">
      <c r="A272" s="266"/>
      <c r="B272" s="277"/>
      <c r="C272" s="319"/>
      <c r="D272" s="268"/>
      <c r="E272" s="268"/>
      <c r="F272" s="268"/>
      <c r="G272" s="268"/>
      <c r="H272" s="271"/>
      <c r="I272" s="332"/>
      <c r="J272" s="332"/>
      <c r="K272" s="270"/>
    </row>
    <row r="273" spans="1:14" ht="28.8" x14ac:dyDescent="0.3">
      <c r="A273" s="266">
        <f>A271+1</f>
        <v>129</v>
      </c>
      <c r="B273" s="279">
        <f>'MERGED HEAVY IND'!B1749</f>
        <v>5175</v>
      </c>
      <c r="C273" s="319">
        <v>23031400</v>
      </c>
      <c r="D273" s="267" t="str">
        <f>'MERGED HEAVY IND'!E1749</f>
        <v>M.P.C LOGISTICS P/L</v>
      </c>
      <c r="E273" s="267" t="str">
        <f>'MERGED HEAVY IND'!C1749</f>
        <v>8 DERERA ROAD NYAKAMETE</v>
      </c>
      <c r="F273" s="268" t="s">
        <v>1928</v>
      </c>
      <c r="G273" s="267" t="s">
        <v>1252</v>
      </c>
      <c r="H273" s="269">
        <f>'MERGED HEAVY IND'!D1758</f>
        <v>17535</v>
      </c>
      <c r="I273" s="332">
        <f>'MERGED HEAVY IND'!H1758</f>
        <v>78256.25</v>
      </c>
      <c r="J273" s="332">
        <f>'MERGED HEAVY IND'!H1757</f>
        <v>155539.19999999998</v>
      </c>
      <c r="K273" s="270">
        <f>'MERGED HEAVY IND'!H1759</f>
        <v>233795.44999999998</v>
      </c>
      <c r="L273">
        <v>5175</v>
      </c>
    </row>
    <row r="274" spans="1:14" x14ac:dyDescent="0.3">
      <c r="A274" s="266"/>
      <c r="B274" s="279"/>
      <c r="C274" s="319"/>
      <c r="D274" s="267"/>
      <c r="E274" s="267"/>
      <c r="F274" s="268"/>
      <c r="G274" s="267"/>
      <c r="H274" s="269"/>
      <c r="I274" s="332"/>
      <c r="J274" s="332"/>
      <c r="K274" s="270"/>
    </row>
    <row r="275" spans="1:14" ht="43.2" x14ac:dyDescent="0.3">
      <c r="A275" s="266">
        <f>A273+1</f>
        <v>130</v>
      </c>
      <c r="B275" s="279">
        <f>'MERGED HEAVY IND'!B1760</f>
        <v>5176</v>
      </c>
      <c r="C275" s="319">
        <v>23031600</v>
      </c>
      <c r="D275" s="267" t="str">
        <f>'MERGED HEAVY IND'!E1760</f>
        <v>DEPARTMENT OF VETERINARY SERVICES</v>
      </c>
      <c r="E275" s="267" t="str">
        <f>'MERGED HEAVY IND'!C1760</f>
        <v>DERERA ROAD NYAKAMETE</v>
      </c>
      <c r="F275" s="268" t="s">
        <v>1928</v>
      </c>
      <c r="G275" s="267" t="s">
        <v>1262</v>
      </c>
      <c r="H275" s="269">
        <f>'MERGED HEAVY IND'!D1768</f>
        <v>3312</v>
      </c>
      <c r="I275" s="332">
        <f>'MERGED HEAVY IND'!H1768</f>
        <v>16560</v>
      </c>
      <c r="J275" s="332">
        <f>'MERGED HEAVY IND'!H1767</f>
        <v>140973.75</v>
      </c>
      <c r="K275" s="270">
        <f>'MERGED HEAVY IND'!H1769</f>
        <v>157533.75</v>
      </c>
      <c r="L275">
        <v>5176</v>
      </c>
      <c r="N275">
        <f>+I275/H275</f>
        <v>5</v>
      </c>
    </row>
    <row r="276" spans="1:14" x14ac:dyDescent="0.3">
      <c r="A276" s="266"/>
      <c r="B276" s="277"/>
      <c r="C276" s="319"/>
      <c r="D276" s="268"/>
      <c r="E276" s="268"/>
      <c r="F276" s="268"/>
      <c r="G276" s="268"/>
      <c r="H276" s="271"/>
      <c r="I276" s="332"/>
      <c r="J276" s="332"/>
      <c r="K276" s="270"/>
    </row>
    <row r="277" spans="1:14" ht="43.2" x14ac:dyDescent="0.3">
      <c r="A277" s="266">
        <f>A275+1</f>
        <v>131</v>
      </c>
      <c r="B277" s="278" t="str">
        <f>'MERGED HEAVY IND'!B1771</f>
        <v>5177: 5178: 5185: 5186:</v>
      </c>
      <c r="C277" s="319">
        <v>23014603</v>
      </c>
      <c r="D277" s="268" t="str">
        <f>'MERGED HEAVY IND'!E1771</f>
        <v>COMMERCIAL TRANSPORT PVT LTD</v>
      </c>
      <c r="E277" s="268" t="str">
        <f>'MERGED HEAVY IND'!C1771</f>
        <v>1 TAMESIDE CLOSE</v>
      </c>
      <c r="F277" s="268" t="s">
        <v>1928</v>
      </c>
      <c r="G277" s="268" t="s">
        <v>1252</v>
      </c>
      <c r="H277" s="271">
        <f>'MERGED HEAVY IND'!D1786</f>
        <v>23908</v>
      </c>
      <c r="I277" s="332">
        <f>'MERGED HEAVY IND'!H1786</f>
        <v>97270</v>
      </c>
      <c r="J277" s="332">
        <f>'MERGED HEAVY IND'!H1785</f>
        <v>636133.55000000005</v>
      </c>
      <c r="K277" s="270">
        <f>'MERGED HEAVY IND'!H1787</f>
        <v>733403.55</v>
      </c>
      <c r="L277" s="340" t="s">
        <v>1148</v>
      </c>
    </row>
    <row r="278" spans="1:14" x14ac:dyDescent="0.3">
      <c r="A278" s="266"/>
      <c r="B278" s="277"/>
      <c r="C278" s="319">
        <v>23014602</v>
      </c>
      <c r="D278" s="268"/>
      <c r="E278" s="268"/>
      <c r="F278" s="268"/>
      <c r="G278" s="268"/>
      <c r="H278" s="271"/>
      <c r="I278" s="332"/>
      <c r="J278" s="332"/>
      <c r="K278" s="270"/>
    </row>
    <row r="279" spans="1:14" x14ac:dyDescent="0.3">
      <c r="A279" s="266"/>
      <c r="B279" s="277"/>
      <c r="C279" s="319">
        <v>23014600</v>
      </c>
      <c r="D279" s="268"/>
      <c r="E279" s="268"/>
      <c r="F279" s="268"/>
      <c r="G279" s="268"/>
      <c r="H279" s="271"/>
      <c r="I279" s="332"/>
      <c r="J279" s="332"/>
      <c r="K279" s="270"/>
    </row>
    <row r="280" spans="1:14" x14ac:dyDescent="0.3">
      <c r="A280" s="266"/>
      <c r="B280" s="277"/>
      <c r="C280" s="319">
        <v>23022300</v>
      </c>
      <c r="D280" s="268"/>
      <c r="E280" s="268"/>
      <c r="F280" s="268"/>
      <c r="G280" s="268"/>
      <c r="H280" s="271"/>
      <c r="I280" s="332"/>
      <c r="J280" s="332"/>
      <c r="K280" s="270"/>
    </row>
    <row r="281" spans="1:14" ht="28.8" x14ac:dyDescent="0.3">
      <c r="A281" s="266">
        <f>A277+1</f>
        <v>132</v>
      </c>
      <c r="B281" s="277">
        <f>'MERGED HEAVY IND'!B1789</f>
        <v>5179</v>
      </c>
      <c r="C281" s="319">
        <v>23015700</v>
      </c>
      <c r="D281" s="268" t="str">
        <f>'MERGED HEAVY IND'!E1789</f>
        <v>ROWNBERRY ESTATES</v>
      </c>
      <c r="E281" s="268" t="str">
        <f>'MERGED HEAVY IND'!C1789</f>
        <v>5179 TAMESIDE CLOSE</v>
      </c>
      <c r="F281" s="268" t="s">
        <v>1928</v>
      </c>
      <c r="G281" s="268" t="s">
        <v>1252</v>
      </c>
      <c r="H281" s="271">
        <f>'MERGED HEAVY IND'!D1798</f>
        <v>7004</v>
      </c>
      <c r="I281" s="332">
        <f>'MERGED HEAVY IND'!H1798</f>
        <v>35020</v>
      </c>
      <c r="J281" s="332">
        <f>'MERGED HEAVY IND'!H1797</f>
        <v>511191.23</v>
      </c>
      <c r="K281" s="270">
        <f>'MERGED HEAVY IND'!H1799</f>
        <v>546211.23</v>
      </c>
      <c r="L281">
        <v>5179</v>
      </c>
    </row>
    <row r="282" spans="1:14" x14ac:dyDescent="0.3">
      <c r="A282" s="266"/>
      <c r="B282" s="277"/>
      <c r="C282" s="319"/>
      <c r="D282" s="268"/>
      <c r="E282" s="268"/>
      <c r="F282" s="268"/>
      <c r="G282" s="268"/>
      <c r="H282" s="271"/>
      <c r="I282" s="332"/>
      <c r="J282" s="332"/>
      <c r="K282" s="270"/>
    </row>
    <row r="283" spans="1:14" x14ac:dyDescent="0.3">
      <c r="A283" s="266">
        <f>A281+1</f>
        <v>133</v>
      </c>
      <c r="B283" s="277">
        <f>'MERGED HEAVY IND'!B1801</f>
        <v>5180</v>
      </c>
      <c r="C283" s="319">
        <v>23031801</v>
      </c>
      <c r="D283" s="267" t="str">
        <f>'MERGED HEAVY IND'!E1801</f>
        <v>CITY OF MUTARE</v>
      </c>
      <c r="E283" s="268" t="str">
        <f>'MERGED HEAVY IND'!C1801</f>
        <v xml:space="preserve">NYAKAMETE </v>
      </c>
      <c r="F283" s="268" t="s">
        <v>1928</v>
      </c>
      <c r="G283" s="268" t="s">
        <v>1252</v>
      </c>
      <c r="H283" s="271">
        <f>'MERGED HEAVY IND'!D1808</f>
        <v>5129.5</v>
      </c>
      <c r="I283" s="332">
        <f>'MERGED HEAVY IND'!H1808</f>
        <v>25647.5</v>
      </c>
      <c r="J283" s="332">
        <f>'MERGED HEAVY IND'!H1807</f>
        <v>29640.400000000001</v>
      </c>
      <c r="K283" s="270">
        <f>'MERGED HEAVY IND'!H1809</f>
        <v>55287.9</v>
      </c>
      <c r="L283">
        <v>5180</v>
      </c>
    </row>
    <row r="284" spans="1:14" x14ac:dyDescent="0.3">
      <c r="A284" s="266"/>
      <c r="B284" s="277"/>
      <c r="C284" s="319"/>
      <c r="D284" s="268"/>
      <c r="E284" s="268"/>
      <c r="F284" s="268"/>
      <c r="G284" s="268"/>
      <c r="H284" s="271"/>
      <c r="I284" s="332"/>
      <c r="J284" s="332"/>
      <c r="K284" s="270"/>
    </row>
    <row r="285" spans="1:14" ht="43.2" x14ac:dyDescent="0.3">
      <c r="A285" s="266">
        <f>A283+1</f>
        <v>134</v>
      </c>
      <c r="B285" s="277">
        <f>'MERGED HEAVY IND'!B1810</f>
        <v>5181</v>
      </c>
      <c r="C285" s="319">
        <v>23017002</v>
      </c>
      <c r="D285" s="268" t="str">
        <f>'MERGED HEAVY IND'!E1810</f>
        <v>DOVES FUNERAL ASSURANCE COMPANY</v>
      </c>
      <c r="E285" s="268" t="str">
        <f>'MERGED HEAVY IND'!C1810</f>
        <v>NYAKAMETE ROAD</v>
      </c>
      <c r="F285" s="268" t="s">
        <v>1928</v>
      </c>
      <c r="G285" s="268" t="s">
        <v>1262</v>
      </c>
      <c r="H285" s="271">
        <f>'MERGED HEAVY IND'!D1826</f>
        <v>7675</v>
      </c>
      <c r="I285" s="332">
        <f>'MERGED HEAVY IND'!H1826</f>
        <v>38375</v>
      </c>
      <c r="J285" s="332">
        <f>'MERGED HEAVY IND'!H1825</f>
        <v>417374.4</v>
      </c>
      <c r="K285" s="270">
        <f>'MERGED HEAVY IND'!H1827</f>
        <v>455749.4</v>
      </c>
      <c r="L285">
        <v>5181</v>
      </c>
      <c r="N285">
        <f>+I285/H285</f>
        <v>5</v>
      </c>
    </row>
    <row r="286" spans="1:14" x14ac:dyDescent="0.3">
      <c r="A286" s="266"/>
      <c r="B286" s="277"/>
      <c r="C286" s="319"/>
      <c r="D286" s="268"/>
      <c r="E286" s="268"/>
      <c r="F286" s="268"/>
      <c r="G286" s="268"/>
      <c r="H286" s="271"/>
      <c r="I286" s="332"/>
      <c r="J286" s="332"/>
      <c r="K286" s="270"/>
    </row>
    <row r="287" spans="1:14" ht="28.8" x14ac:dyDescent="0.3">
      <c r="A287" s="266">
        <f>A285+1</f>
        <v>135</v>
      </c>
      <c r="B287" s="278" t="str">
        <f>'MERGED HEAVY IND'!B1829</f>
        <v>5182, 5183, 5184</v>
      </c>
      <c r="C287" s="319">
        <v>23022000</v>
      </c>
      <c r="D287" s="268" t="str">
        <f>'MERGED HEAVY IND'!E1829</f>
        <v>KUWAX INVESTMENTS</v>
      </c>
      <c r="E287" s="268" t="str">
        <f>'MERGED HEAVY IND'!C1829</f>
        <v>TAMESIDE CLOSE</v>
      </c>
      <c r="F287" s="268" t="s">
        <v>1928</v>
      </c>
      <c r="G287" s="268" t="s">
        <v>1252</v>
      </c>
      <c r="H287" s="271">
        <f>'MERGED HEAVY IND'!D1839</f>
        <v>23120</v>
      </c>
      <c r="I287" s="332">
        <f>'MERGED HEAVY IND'!H1839</f>
        <v>95300</v>
      </c>
      <c r="J287" s="332">
        <f>'MERGED HEAVY IND'!H1838</f>
        <v>327438</v>
      </c>
      <c r="K287" s="270">
        <f>'MERGED HEAVY IND'!H1840</f>
        <v>422738</v>
      </c>
      <c r="L287" s="340" t="s">
        <v>1535</v>
      </c>
    </row>
    <row r="288" spans="1:14" x14ac:dyDescent="0.3">
      <c r="A288" s="266"/>
      <c r="B288" s="277"/>
      <c r="C288" s="319">
        <v>23022100</v>
      </c>
      <c r="D288" s="268"/>
      <c r="E288" s="268"/>
      <c r="F288" s="268"/>
      <c r="G288" s="268"/>
      <c r="H288" s="271"/>
      <c r="I288" s="332"/>
      <c r="J288" s="332"/>
      <c r="K288" s="270"/>
    </row>
    <row r="289" spans="1:14" x14ac:dyDescent="0.3">
      <c r="A289" s="266"/>
      <c r="B289" s="277"/>
      <c r="C289" s="319">
        <v>23022200</v>
      </c>
      <c r="D289" s="268"/>
      <c r="E289" s="268"/>
      <c r="F289" s="268"/>
      <c r="G289" s="268"/>
      <c r="H289" s="271"/>
      <c r="I289" s="332"/>
      <c r="J289" s="332"/>
      <c r="K289" s="270"/>
    </row>
    <row r="290" spans="1:14" ht="28.8" x14ac:dyDescent="0.3">
      <c r="A290" s="266">
        <f>A287+1</f>
        <v>136</v>
      </c>
      <c r="B290" s="277">
        <f>'MERGED HEAVY IND'!B1842</f>
        <v>5188</v>
      </c>
      <c r="C290" s="319">
        <v>23016000</v>
      </c>
      <c r="D290" s="268" t="str">
        <f>'MERGED HEAVY IND'!E1842</f>
        <v>OMAR BROTHERS INVESTMENTS</v>
      </c>
      <c r="E290" s="268" t="str">
        <f>'MERGED HEAVY IND'!C1842</f>
        <v>ST HELENS DRIVE NYAKAMETE</v>
      </c>
      <c r="F290" s="268" t="s">
        <v>1928</v>
      </c>
      <c r="G290" s="268" t="s">
        <v>1252</v>
      </c>
      <c r="H290" s="271">
        <f>'MERGED HEAVY IND'!D1848</f>
        <v>13600</v>
      </c>
      <c r="I290" s="332">
        <f>'MERGED HEAVY IND'!H1848</f>
        <v>63500</v>
      </c>
      <c r="J290" s="332">
        <f>'MERGED HEAVY IND'!H1847</f>
        <v>354471.25</v>
      </c>
      <c r="K290" s="270">
        <f>'MERGED HEAVY IND'!H1849</f>
        <v>417971.25</v>
      </c>
      <c r="L290">
        <v>5188</v>
      </c>
      <c r="N290">
        <f>+I290/H290</f>
        <v>4.6691176470588234</v>
      </c>
    </row>
    <row r="291" spans="1:14" x14ac:dyDescent="0.3">
      <c r="A291" s="266"/>
      <c r="B291" s="277"/>
      <c r="C291" s="319"/>
      <c r="D291" s="268"/>
      <c r="E291" s="268"/>
      <c r="F291" s="268"/>
      <c r="G291" s="268"/>
      <c r="H291" s="271"/>
      <c r="I291" s="332"/>
      <c r="J291" s="332"/>
      <c r="K291" s="270"/>
    </row>
    <row r="292" spans="1:14" ht="28.8" x14ac:dyDescent="0.3">
      <c r="A292" s="266">
        <f>A290+1</f>
        <v>137</v>
      </c>
      <c r="B292" s="277">
        <f>'MERGED HEAVY IND'!B1850</f>
        <v>5189</v>
      </c>
      <c r="C292" s="319">
        <v>23015000</v>
      </c>
      <c r="D292" s="268" t="str">
        <f>'MERGED HEAVY IND'!E1850</f>
        <v>UNIFREIGHT (BULWARK)</v>
      </c>
      <c r="E292" s="268" t="str">
        <f>'MERGED HEAVY IND'!C1850</f>
        <v>HELENS DRIVE</v>
      </c>
      <c r="F292" s="268" t="s">
        <v>1928</v>
      </c>
      <c r="G292" s="268" t="s">
        <v>1252</v>
      </c>
      <c r="H292" s="271">
        <f>'MERGED HEAVY IND'!D1865</f>
        <v>58684</v>
      </c>
      <c r="I292" s="332">
        <f>'MERGED HEAVY IND'!H1865</f>
        <v>148355</v>
      </c>
      <c r="J292" s="332">
        <f>'MERGED HEAVY IND'!H1864</f>
        <v>332211.25</v>
      </c>
      <c r="K292" s="270">
        <f>'MERGED HEAVY IND'!H1866</f>
        <v>480566.25</v>
      </c>
      <c r="L292">
        <v>5189</v>
      </c>
    </row>
    <row r="293" spans="1:14" x14ac:dyDescent="0.3">
      <c r="A293" s="266"/>
      <c r="B293" s="277"/>
      <c r="C293" s="319"/>
      <c r="D293" s="268"/>
      <c r="E293" s="268"/>
      <c r="F293" s="268"/>
      <c r="G293" s="268"/>
      <c r="H293" s="271"/>
      <c r="I293" s="332"/>
      <c r="J293" s="332"/>
      <c r="K293" s="270"/>
    </row>
    <row r="294" spans="1:14" ht="43.2" x14ac:dyDescent="0.3">
      <c r="A294" s="266">
        <f>A292+1</f>
        <v>138</v>
      </c>
      <c r="B294" s="277" t="str">
        <f>'MERGED HEAVY IND'!B1867</f>
        <v>REM OF 5190</v>
      </c>
      <c r="C294" s="319">
        <v>23016600</v>
      </c>
      <c r="D294" s="268" t="str">
        <f>'MERGED HEAVY IND'!E1867</f>
        <v>MR GROTTIS (HUGHS ENGINEERING)</v>
      </c>
      <c r="E294" s="268" t="str">
        <f>'MERGED HEAVY IND'!C1867</f>
        <v>ST HELENS DRIVE NYAKAMETE</v>
      </c>
      <c r="F294" s="268" t="s">
        <v>1928</v>
      </c>
      <c r="G294" s="268" t="s">
        <v>1252</v>
      </c>
      <c r="H294" s="271">
        <f>'MERGED HEAVY IND'!D1875</f>
        <v>33974</v>
      </c>
      <c r="I294" s="332">
        <f>'MERGED HEAVY IND'!H1875</f>
        <v>117467.5</v>
      </c>
      <c r="J294" s="332">
        <f>'MERGED HEAVY IND'!H1874</f>
        <v>1126546</v>
      </c>
      <c r="K294" s="270">
        <f>'MERGED HEAVY IND'!H1876</f>
        <v>1244013.5</v>
      </c>
      <c r="L294" t="s">
        <v>597</v>
      </c>
    </row>
    <row r="295" spans="1:14" x14ac:dyDescent="0.3">
      <c r="A295" s="266"/>
      <c r="B295" s="277"/>
      <c r="C295" s="319"/>
      <c r="D295" s="268"/>
      <c r="E295" s="268"/>
      <c r="F295" s="268"/>
      <c r="G295" s="268"/>
      <c r="H295" s="271"/>
      <c r="I295" s="332"/>
      <c r="J295" s="332"/>
      <c r="K295" s="270"/>
    </row>
    <row r="296" spans="1:14" x14ac:dyDescent="0.3">
      <c r="A296" s="266">
        <f>A294+1</f>
        <v>139</v>
      </c>
      <c r="B296" s="277" t="str">
        <f>'MERGED HEAVY IND'!B1878</f>
        <v>5191A &amp; 5191B</v>
      </c>
      <c r="C296" s="319">
        <v>23032800</v>
      </c>
      <c r="D296" s="268" t="str">
        <f>'MERGED HEAVY IND'!F1878</f>
        <v>KENROSE FILTERS</v>
      </c>
      <c r="E296" s="292"/>
      <c r="F296" s="268" t="s">
        <v>1928</v>
      </c>
      <c r="G296" s="268" t="s">
        <v>1252</v>
      </c>
      <c r="H296" s="271">
        <f>'MERGED HEAVY IND'!D1885</f>
        <v>21468</v>
      </c>
      <c r="I296" s="332">
        <f>'MERGED HEAVY IND'!H1885</f>
        <v>91170</v>
      </c>
      <c r="J296" s="332">
        <f>'MERGED HEAVY IND'!H1884</f>
        <v>801834</v>
      </c>
      <c r="K296" s="270">
        <f>'MERGED HEAVY IND'!H1886</f>
        <v>893004</v>
      </c>
      <c r="L296" t="s">
        <v>1030</v>
      </c>
    </row>
    <row r="297" spans="1:14" x14ac:dyDescent="0.3">
      <c r="A297" s="266"/>
      <c r="B297" s="277"/>
      <c r="C297" s="319"/>
      <c r="D297" s="268"/>
      <c r="E297" s="268"/>
      <c r="F297" s="268"/>
      <c r="G297" s="268"/>
      <c r="H297" s="271"/>
      <c r="I297" s="332"/>
      <c r="J297" s="332"/>
      <c r="K297" s="270"/>
    </row>
    <row r="298" spans="1:14" x14ac:dyDescent="0.3">
      <c r="A298" s="266">
        <f>A296+1</f>
        <v>140</v>
      </c>
      <c r="B298" s="277">
        <f>'MERGED HEAVY IND'!B1887</f>
        <v>5194</v>
      </c>
      <c r="C298" s="319">
        <v>23032400</v>
      </c>
      <c r="D298" s="267" t="str">
        <f>'MERGED HEAVY IND'!F1887</f>
        <v>PETRO TRADE P/L</v>
      </c>
      <c r="E298" s="267" t="str">
        <f>'MERGED HEAVY IND'!C1887</f>
        <v>3 DURBAN ROAD</v>
      </c>
      <c r="F298" s="268" t="s">
        <v>1928</v>
      </c>
      <c r="G298" s="268" t="s">
        <v>1277</v>
      </c>
      <c r="H298" s="271">
        <f>'MERGED HEAVY IND'!D1890</f>
        <v>43030</v>
      </c>
      <c r="I298" s="332">
        <f>'MERGED HEAVY IND'!H1885</f>
        <v>91170</v>
      </c>
      <c r="J298" s="332">
        <f>'MERGED HEAVY IND'!H1889</f>
        <v>0</v>
      </c>
      <c r="K298" s="270">
        <f>'MERGED HEAVY IND'!H1886</f>
        <v>893004</v>
      </c>
      <c r="L298">
        <v>5194</v>
      </c>
    </row>
    <row r="299" spans="1:14" x14ac:dyDescent="0.3">
      <c r="A299" s="266"/>
      <c r="B299" s="277"/>
      <c r="C299" s="319"/>
      <c r="D299" s="268"/>
      <c r="E299" s="268"/>
      <c r="F299" s="268"/>
      <c r="G299" s="268"/>
      <c r="H299" s="271"/>
      <c r="I299" s="332"/>
      <c r="J299" s="332"/>
      <c r="K299" s="270"/>
    </row>
    <row r="300" spans="1:14" x14ac:dyDescent="0.3">
      <c r="A300" s="266">
        <f>A298+1</f>
        <v>141</v>
      </c>
      <c r="B300" s="277">
        <f>'MERGED HEAVY IND'!B1892</f>
        <v>5195</v>
      </c>
      <c r="C300" s="319">
        <v>23032500</v>
      </c>
      <c r="D300" s="267" t="str">
        <f>'MERGED HEAVY IND'!F1892</f>
        <v>NOCZIM</v>
      </c>
      <c r="E300" s="268" t="str">
        <f>'MERGED HEAVY IND'!C1892</f>
        <v>4 DURBAN ROAD</v>
      </c>
      <c r="F300" s="268" t="s">
        <v>1928</v>
      </c>
      <c r="G300" s="268" t="s">
        <v>1252</v>
      </c>
      <c r="H300" s="271">
        <f>'MERGED HEAVY IND'!D1898</f>
        <v>39839</v>
      </c>
      <c r="I300" s="332">
        <f>'MERGED HEAVY IND'!H1898</f>
        <v>124798.75</v>
      </c>
      <c r="J300" s="332">
        <f>'MERGED HEAVY IND'!H1897</f>
        <v>103200</v>
      </c>
      <c r="K300" s="270">
        <f>'MERGED HEAVY IND'!H1899</f>
        <v>227998.75</v>
      </c>
      <c r="L300">
        <v>5195</v>
      </c>
    </row>
    <row r="301" spans="1:14" x14ac:dyDescent="0.3">
      <c r="A301" s="266"/>
      <c r="B301" s="277"/>
      <c r="C301" s="319"/>
      <c r="D301" s="292"/>
      <c r="E301" s="268"/>
      <c r="F301" s="268"/>
      <c r="G301" s="268"/>
      <c r="H301" s="271"/>
      <c r="I301" s="332"/>
      <c r="J301" s="332"/>
      <c r="K301" s="270"/>
    </row>
    <row r="302" spans="1:14" ht="28.8" x14ac:dyDescent="0.3">
      <c r="A302" s="266">
        <f>A300+1</f>
        <v>142</v>
      </c>
      <c r="B302" s="277">
        <f>'MERGED HEAVY IND'!B1900</f>
        <v>5196</v>
      </c>
      <c r="C302" s="319">
        <v>23017600</v>
      </c>
      <c r="D302" s="267" t="str">
        <f>'MERGED HEAVY IND'!F1900</f>
        <v>MANI CALANY FORESTRY</v>
      </c>
      <c r="E302" s="268" t="str">
        <f>'MERGED HEAVY IND'!C1900</f>
        <v>5 DURBAN ROAD</v>
      </c>
      <c r="F302" s="268" t="s">
        <v>1928</v>
      </c>
      <c r="G302" s="268" t="s">
        <v>1252</v>
      </c>
      <c r="H302" s="271">
        <f>'MERGED HEAVY IND'!D1908</f>
        <v>2959</v>
      </c>
      <c r="I302" s="332">
        <f>'MERGED HEAVY IND'!H1908</f>
        <v>14795</v>
      </c>
      <c r="J302" s="332">
        <f>'MERGED HEAVY IND'!H1907</f>
        <v>720612.02800000005</v>
      </c>
      <c r="K302" s="270">
        <f>'MERGED HEAVY IND'!H1909</f>
        <v>735407.02800000005</v>
      </c>
      <c r="L302">
        <v>5196</v>
      </c>
    </row>
    <row r="303" spans="1:14" x14ac:dyDescent="0.3">
      <c r="A303" s="266"/>
      <c r="B303" s="277"/>
      <c r="C303" s="319"/>
      <c r="D303" s="268"/>
      <c r="E303" s="268"/>
      <c r="F303" s="268"/>
      <c r="G303" s="268"/>
      <c r="H303" s="271"/>
      <c r="I303" s="332"/>
      <c r="J303" s="332"/>
      <c r="K303" s="270"/>
    </row>
    <row r="304" spans="1:14" x14ac:dyDescent="0.3">
      <c r="A304" s="266">
        <f>A302+1</f>
        <v>143</v>
      </c>
      <c r="B304" s="277">
        <f>'MERGED HEAVY IND'!B1911</f>
        <v>5192</v>
      </c>
      <c r="C304" s="319">
        <v>23015100</v>
      </c>
      <c r="D304" s="268" t="str">
        <f>'MERGED HEAVY IND'!E1911</f>
        <v>MANGENJE.K</v>
      </c>
      <c r="E304" s="268" t="str">
        <f>'MERGED HEAVY IND'!C1911</f>
        <v>GANDWA CLOSE</v>
      </c>
      <c r="F304" s="268" t="s">
        <v>1928</v>
      </c>
      <c r="G304" s="268" t="s">
        <v>1252</v>
      </c>
      <c r="H304" s="271">
        <f>'MERGED HEAVY IND'!D1918</f>
        <v>36222</v>
      </c>
      <c r="I304" s="332">
        <f>'MERGED HEAVY IND'!H1918</f>
        <v>120277.5</v>
      </c>
      <c r="J304" s="332">
        <f>'MERGED HEAVY IND'!H1917</f>
        <v>56781</v>
      </c>
      <c r="K304" s="270">
        <f>'MERGED HEAVY IND'!H1919</f>
        <v>177058.5</v>
      </c>
      <c r="L304">
        <v>5192</v>
      </c>
    </row>
    <row r="305" spans="1:12" x14ac:dyDescent="0.3">
      <c r="A305" s="266"/>
      <c r="B305" s="277"/>
      <c r="C305" s="319"/>
      <c r="D305" s="268"/>
      <c r="E305" s="268"/>
      <c r="F305" s="268"/>
      <c r="G305" s="268"/>
      <c r="H305" s="271"/>
      <c r="I305" s="332"/>
      <c r="J305" s="332"/>
      <c r="K305" s="270"/>
    </row>
    <row r="306" spans="1:12" x14ac:dyDescent="0.3">
      <c r="A306" s="266">
        <f>A304+1</f>
        <v>144</v>
      </c>
      <c r="B306" s="277">
        <f>'MERGED HEAVY IND'!B1921</f>
        <v>5193</v>
      </c>
      <c r="C306" s="319">
        <v>23059900</v>
      </c>
      <c r="D306" s="268" t="str">
        <f>'MERGED HEAVY IND'!E1921</f>
        <v>MANDARA</v>
      </c>
      <c r="E306" s="268" t="str">
        <f>'MERGED HEAVY IND'!C1921</f>
        <v>GANDWA CLOSE</v>
      </c>
      <c r="F306" s="268" t="s">
        <v>1928</v>
      </c>
      <c r="G306" s="268" t="s">
        <v>1252</v>
      </c>
      <c r="H306" s="271">
        <f>'MERGED HEAVY IND'!D1926</f>
        <v>17668</v>
      </c>
      <c r="I306" s="332">
        <f>'MERGED HEAVY IND'!H1926</f>
        <v>78755</v>
      </c>
      <c r="J306" s="332">
        <f>'MERGED HEAVY IND'!H1925</f>
        <v>7920.18</v>
      </c>
      <c r="K306" s="270">
        <f>'MERGED HEAVY IND'!H1927</f>
        <v>86675.18</v>
      </c>
      <c r="L306">
        <v>5193</v>
      </c>
    </row>
    <row r="307" spans="1:12" x14ac:dyDescent="0.3">
      <c r="A307" s="266"/>
      <c r="B307" s="277"/>
      <c r="C307" s="319"/>
      <c r="D307" s="268"/>
      <c r="E307" s="268"/>
      <c r="F307" s="268"/>
      <c r="G307" s="268"/>
      <c r="H307" s="271"/>
      <c r="I307" s="332"/>
      <c r="J307" s="332"/>
      <c r="K307" s="270"/>
    </row>
    <row r="308" spans="1:12" x14ac:dyDescent="0.3">
      <c r="A308" s="266">
        <f>A306+1</f>
        <v>145</v>
      </c>
      <c r="B308" s="277">
        <f>'MERGED HEAVY IND'!B1929</f>
        <v>5272</v>
      </c>
      <c r="C308" s="319">
        <v>23016100</v>
      </c>
      <c r="D308" s="268" t="str">
        <f>'MERGED HEAVY IND'!E1929</f>
        <v>MUPFUMI TOURS</v>
      </c>
      <c r="E308" s="268" t="str">
        <f>'MERGED HEAVY IND'!C1929</f>
        <v>DURBAN ROAD</v>
      </c>
      <c r="F308" s="268" t="s">
        <v>1928</v>
      </c>
      <c r="G308" s="268" t="s">
        <v>1252</v>
      </c>
      <c r="H308" s="271">
        <f>'MERGED HEAVY IND'!D1943</f>
        <v>5000</v>
      </c>
      <c r="I308" s="332">
        <f>'MERGED HEAVY IND'!H1943</f>
        <v>25000</v>
      </c>
      <c r="J308" s="332">
        <f>'MERGED HEAVY IND'!H1942</f>
        <v>591775.1</v>
      </c>
      <c r="K308" s="270">
        <f>'MERGED HEAVY IND'!H1944</f>
        <v>616775.1</v>
      </c>
      <c r="L308">
        <v>5272</v>
      </c>
    </row>
    <row r="309" spans="1:12" x14ac:dyDescent="0.3">
      <c r="A309" s="266"/>
      <c r="B309" s="277"/>
      <c r="C309" s="319"/>
      <c r="D309" s="268"/>
      <c r="E309" s="268"/>
      <c r="F309" s="268"/>
      <c r="G309" s="268"/>
      <c r="H309" s="271"/>
      <c r="I309" s="332"/>
      <c r="J309" s="332"/>
      <c r="K309" s="270"/>
    </row>
    <row r="310" spans="1:12" ht="28.8" x14ac:dyDescent="0.3">
      <c r="A310" s="266">
        <v>146</v>
      </c>
      <c r="B310" s="277">
        <f>'MERGED HEAVY IND'!B1952</f>
        <v>5636</v>
      </c>
      <c r="C310" s="319">
        <v>23031700</v>
      </c>
      <c r="D310" s="268" t="str">
        <f>'MERGED HEAVY IND'!E1952</f>
        <v>MUNAKAMWE INVESTMENTS P/L</v>
      </c>
      <c r="E310" s="268" t="str">
        <f>'MERGED HEAVY IND'!C1952</f>
        <v>LONGBRIDGE ROAD NYAKAMETE</v>
      </c>
      <c r="F310" s="268" t="s">
        <v>1928</v>
      </c>
      <c r="G310" s="268" t="s">
        <v>1252</v>
      </c>
      <c r="H310" s="269">
        <f>'MERGED HEAVY IND'!D1960</f>
        <v>9375</v>
      </c>
      <c r="I310" s="332">
        <f>'MERGED HEAVY IND'!H1960</f>
        <v>46875</v>
      </c>
      <c r="J310" s="332">
        <f>'MERGED HEAVY IND'!H1959</f>
        <v>198669.4</v>
      </c>
      <c r="K310" s="270">
        <f>'MERGED HEAVY IND'!H1961</f>
        <v>245544.4</v>
      </c>
      <c r="L310">
        <v>5636</v>
      </c>
    </row>
    <row r="311" spans="1:12" x14ac:dyDescent="0.3">
      <c r="A311" s="266"/>
      <c r="B311" s="277"/>
      <c r="C311" s="319"/>
      <c r="D311" s="268"/>
      <c r="E311" s="268"/>
      <c r="F311" s="268"/>
      <c r="G311" s="268"/>
      <c r="H311" s="293"/>
      <c r="I311" s="332"/>
      <c r="J311" s="332"/>
      <c r="K311" s="270"/>
    </row>
    <row r="312" spans="1:12" ht="28.8" x14ac:dyDescent="0.3">
      <c r="A312" s="266">
        <v>147</v>
      </c>
      <c r="B312" s="277">
        <f>'MERGED HEAVY IND'!B1963</f>
        <v>5637</v>
      </c>
      <c r="C312" s="319">
        <v>23036700</v>
      </c>
      <c r="D312" s="267" t="str">
        <f>'MERGED HEAVY IND'!F1963</f>
        <v>AYAN TRADING P/L</v>
      </c>
      <c r="E312" s="268" t="str">
        <f>'MERGED HEAVY IND'!C1963</f>
        <v>No 2 LONGBRIDGE PAULINGTON</v>
      </c>
      <c r="F312" s="268" t="s">
        <v>1928</v>
      </c>
      <c r="G312" s="268" t="s">
        <v>1252</v>
      </c>
      <c r="H312" s="271">
        <f>'MERGED HEAVY IND'!D1967</f>
        <v>6550</v>
      </c>
      <c r="I312" s="332">
        <f>'MERGED HEAVY IND'!H1967</f>
        <v>32750</v>
      </c>
      <c r="J312" s="332">
        <f>'MERGED HEAVY IND'!H1966</f>
        <v>8740.44</v>
      </c>
      <c r="K312" s="270">
        <f>'MERGED HEAVY IND'!H1968</f>
        <v>41490.44</v>
      </c>
      <c r="L312">
        <v>5637</v>
      </c>
    </row>
    <row r="313" spans="1:12" x14ac:dyDescent="0.3">
      <c r="A313" s="266"/>
      <c r="B313" s="277"/>
      <c r="C313" s="319"/>
      <c r="D313" s="268"/>
      <c r="E313" s="268"/>
      <c r="F313" s="268"/>
      <c r="G313" s="268"/>
      <c r="H313" s="271"/>
      <c r="I313" s="332"/>
      <c r="J313" s="332"/>
      <c r="K313" s="270"/>
    </row>
    <row r="314" spans="1:12" ht="28.8" x14ac:dyDescent="0.3">
      <c r="A314" s="266">
        <f>A312+1</f>
        <v>148</v>
      </c>
      <c r="B314" s="277">
        <f>'MERGED HEAVY IND'!B1970</f>
        <v>5638</v>
      </c>
      <c r="C314" s="319">
        <v>23563800</v>
      </c>
      <c r="D314" s="268" t="str">
        <f>'MERGED HEAVY IND'!E1970</f>
        <v>CHIKWENGU</v>
      </c>
      <c r="E314" s="268" t="str">
        <f>'MERGED HEAVY IND'!C1970</f>
        <v xml:space="preserve"> LONGBRIDGE PAULINGTON</v>
      </c>
      <c r="F314" s="268" t="s">
        <v>1928</v>
      </c>
      <c r="G314" s="268" t="s">
        <v>1252</v>
      </c>
      <c r="H314" s="271">
        <f>'MERGED HEAVY IND'!D1976</f>
        <v>6000</v>
      </c>
      <c r="I314" s="332">
        <f>'MERGED HEAVY IND'!H1984</f>
        <v>32500</v>
      </c>
      <c r="J314" s="332">
        <f>'MERGED HEAVY IND'!H1983</f>
        <v>6714</v>
      </c>
      <c r="K314" s="270">
        <f>'MERGED HEAVY IND'!H1985</f>
        <v>39214</v>
      </c>
      <c r="L314">
        <v>5638</v>
      </c>
    </row>
    <row r="315" spans="1:12" x14ac:dyDescent="0.3">
      <c r="A315" s="266"/>
      <c r="B315" s="277"/>
      <c r="C315" s="319"/>
      <c r="D315" s="268"/>
      <c r="E315" s="268"/>
      <c r="F315" s="268"/>
      <c r="G315" s="268"/>
      <c r="H315" s="271"/>
      <c r="I315" s="332"/>
      <c r="J315" s="332"/>
      <c r="K315" s="270"/>
    </row>
    <row r="316" spans="1:12" ht="28.8" x14ac:dyDescent="0.3">
      <c r="A316" s="266">
        <f>A314+1</f>
        <v>149</v>
      </c>
      <c r="B316" s="277">
        <f>'MERGED HEAVY IND'!B1979</f>
        <v>5639</v>
      </c>
      <c r="C316" s="319">
        <v>23036902</v>
      </c>
      <c r="D316" s="268" t="str">
        <f>'MERGED HEAVY IND'!E1979</f>
        <v>FAVOURDALE (PVT) LTD</v>
      </c>
      <c r="E316" s="268" t="str">
        <f>'MERGED HEAVY IND'!C1979</f>
        <v xml:space="preserve"> LONGBRIDGE PAULINGTON</v>
      </c>
      <c r="F316" s="268" t="s">
        <v>1928</v>
      </c>
      <c r="G316" s="268" t="s">
        <v>1269</v>
      </c>
      <c r="H316" s="271">
        <f>'MERGED HEAVY IND'!D1984</f>
        <v>6500</v>
      </c>
      <c r="I316" s="332">
        <f>'MERGED HEAVY IND'!H1984</f>
        <v>32500</v>
      </c>
      <c r="J316" s="332">
        <f>'MERGED HEAVY IND'!H1983</f>
        <v>6714</v>
      </c>
      <c r="K316" s="270">
        <f>'MERGED HEAVY IND'!H1985</f>
        <v>39214</v>
      </c>
      <c r="L316">
        <v>5639</v>
      </c>
    </row>
    <row r="317" spans="1:12" x14ac:dyDescent="0.3">
      <c r="A317" s="266"/>
      <c r="B317" s="277"/>
      <c r="C317" s="319"/>
      <c r="D317" s="268"/>
      <c r="E317" s="268"/>
      <c r="F317" s="268"/>
      <c r="G317" s="268"/>
      <c r="H317" s="271"/>
      <c r="I317" s="332"/>
      <c r="J317" s="332"/>
      <c r="K317" s="270"/>
    </row>
    <row r="318" spans="1:12" ht="28.8" x14ac:dyDescent="0.3">
      <c r="A318" s="266">
        <f>A316+1</f>
        <v>150</v>
      </c>
      <c r="B318" s="277">
        <f>'MERGED HEAVY IND'!B1987</f>
        <v>5640</v>
      </c>
      <c r="C318" s="319">
        <v>23001200</v>
      </c>
      <c r="D318" s="268" t="str">
        <f>'MERGED HEAVY IND'!E1987</f>
        <v>DAILFORD INVESTMENTS</v>
      </c>
      <c r="E318" s="268" t="str">
        <f>'MERGED HEAVY IND'!C1987</f>
        <v xml:space="preserve"> LONGBRIDGE PAULINGTON</v>
      </c>
      <c r="F318" s="268" t="s">
        <v>1928</v>
      </c>
      <c r="G318" s="268" t="s">
        <v>1252</v>
      </c>
      <c r="H318" s="271">
        <f>'MERGED HEAVY IND'!D1996</f>
        <v>11875</v>
      </c>
      <c r="I318" s="332">
        <f>'MERGED HEAVY IND'!H2004</f>
        <v>48000</v>
      </c>
      <c r="J318" s="332">
        <f>'MERGED HEAVY IND'!H2003</f>
        <v>36634</v>
      </c>
      <c r="K318" s="270">
        <f>'MERGED HEAVY IND'!H2005</f>
        <v>84634</v>
      </c>
      <c r="L318">
        <v>5640</v>
      </c>
    </row>
    <row r="319" spans="1:12" x14ac:dyDescent="0.3">
      <c r="A319" s="266"/>
      <c r="B319" s="277"/>
      <c r="C319" s="319"/>
      <c r="D319" s="268"/>
      <c r="E319" s="268"/>
      <c r="F319" s="268"/>
      <c r="G319" s="268"/>
      <c r="H319" s="271"/>
      <c r="I319" s="332"/>
      <c r="J319" s="332"/>
      <c r="K319" s="270"/>
    </row>
    <row r="320" spans="1:12" ht="28.8" x14ac:dyDescent="0.3">
      <c r="A320" s="266">
        <f>A318+1</f>
        <v>151</v>
      </c>
      <c r="B320" s="277">
        <f>'MERGED HEAVY IND'!B1999</f>
        <v>5642</v>
      </c>
      <c r="C320" s="319">
        <v>23564200</v>
      </c>
      <c r="D320" s="268" t="str">
        <f>'MERGED HEAVY IND'!E1999</f>
        <v>MUNJOMA THOMAS</v>
      </c>
      <c r="E320" s="268" t="str">
        <f>'MERGED HEAVY IND'!C1999</f>
        <v xml:space="preserve"> LONGBRIDGE PAULINGTON</v>
      </c>
      <c r="F320" s="268" t="s">
        <v>1928</v>
      </c>
      <c r="G320" s="268" t="s">
        <v>1252</v>
      </c>
      <c r="H320" s="271">
        <f>'MERGED HEAVY IND'!D2004</f>
        <v>9600</v>
      </c>
      <c r="I320" s="332">
        <f>'MERGED HEAVY IND'!H2004</f>
        <v>48000</v>
      </c>
      <c r="J320" s="332">
        <f>'MERGED HEAVY IND'!H2003</f>
        <v>36634</v>
      </c>
      <c r="K320" s="270">
        <f>'MERGED HEAVY IND'!H2005</f>
        <v>84634</v>
      </c>
      <c r="L320">
        <v>5642</v>
      </c>
    </row>
    <row r="321" spans="1:12" x14ac:dyDescent="0.3">
      <c r="A321" s="266"/>
      <c r="B321" s="277"/>
      <c r="C321" s="319"/>
      <c r="D321" s="268"/>
      <c r="E321" s="268"/>
      <c r="F321" s="268"/>
      <c r="G321" s="268"/>
      <c r="H321" s="271"/>
      <c r="I321" s="332"/>
      <c r="J321" s="332"/>
      <c r="K321" s="270"/>
    </row>
    <row r="322" spans="1:12" ht="28.8" x14ac:dyDescent="0.3">
      <c r="A322" s="266">
        <f>A320+1</f>
        <v>152</v>
      </c>
      <c r="B322" s="277">
        <f>'MERGED HEAVY IND'!B2007</f>
        <v>5643</v>
      </c>
      <c r="C322" s="319">
        <v>23032700</v>
      </c>
      <c r="D322" s="267" t="str">
        <f>'MERGED HEAVY IND'!E2007</f>
        <v>MANYEMWE.C</v>
      </c>
      <c r="E322" s="268" t="str">
        <f>'MERGED HEAVY IND'!C2007</f>
        <v xml:space="preserve"> LONGBRIDGE PAULINGTON</v>
      </c>
      <c r="F322" s="268" t="s">
        <v>1928</v>
      </c>
      <c r="G322" s="268" t="s">
        <v>1252</v>
      </c>
      <c r="H322" s="271">
        <f>'MERGED HEAVY IND'!D2014</f>
        <v>9600</v>
      </c>
      <c r="I322" s="332">
        <f>'MERGED HEAVY IND'!H2014</f>
        <v>48000</v>
      </c>
      <c r="J322" s="332">
        <f>'MERGED HEAVY IND'!H2013</f>
        <v>219110.5</v>
      </c>
      <c r="K322" s="270">
        <f>'MERGED HEAVY IND'!H2015</f>
        <v>267110.5</v>
      </c>
      <c r="L322">
        <v>5643</v>
      </c>
    </row>
    <row r="323" spans="1:12" x14ac:dyDescent="0.3">
      <c r="A323" s="266"/>
      <c r="B323" s="277"/>
      <c r="C323" s="319"/>
      <c r="D323" s="292"/>
      <c r="E323" s="268"/>
      <c r="F323" s="268"/>
      <c r="G323" s="268"/>
      <c r="H323" s="271"/>
      <c r="I323" s="332"/>
      <c r="J323" s="332"/>
      <c r="K323" s="270"/>
    </row>
    <row r="324" spans="1:12" ht="28.8" x14ac:dyDescent="0.3">
      <c r="A324" s="266">
        <f>A322+1</f>
        <v>153</v>
      </c>
      <c r="B324" s="277">
        <f>'MERGED HEAVY IND'!B2017</f>
        <v>5644</v>
      </c>
      <c r="C324" s="319">
        <v>23045300</v>
      </c>
      <c r="D324" s="267" t="str">
        <f>'MERGED HEAVY IND'!F2017</f>
        <v>N.D IMPORT &amp; EXPORT P/L</v>
      </c>
      <c r="E324" s="268" t="str">
        <f>'MERGED HEAVY IND'!C2017</f>
        <v xml:space="preserve"> LONGBRIDGE PAULINGTON</v>
      </c>
      <c r="F324" s="268" t="s">
        <v>1928</v>
      </c>
      <c r="G324" s="268" t="s">
        <v>1252</v>
      </c>
      <c r="H324" s="271">
        <f>'MERGED HEAVY IND'!D2025</f>
        <v>11262</v>
      </c>
      <c r="I324" s="332">
        <f>'MERGED HEAVY IND'!H2025</f>
        <v>54732.5</v>
      </c>
      <c r="J324" s="332">
        <f>'MERGED HEAVY IND'!H2024</f>
        <v>121320.5</v>
      </c>
      <c r="K324" s="270">
        <f>'MERGED HEAVY IND'!H2026</f>
        <v>176053</v>
      </c>
      <c r="L324">
        <v>5644</v>
      </c>
    </row>
    <row r="325" spans="1:12" x14ac:dyDescent="0.3">
      <c r="A325" s="266"/>
      <c r="B325" s="277"/>
      <c r="C325" s="319"/>
      <c r="D325" s="268"/>
      <c r="E325" s="268"/>
      <c r="F325" s="268"/>
      <c r="G325" s="268"/>
      <c r="H325" s="271"/>
      <c r="I325" s="332"/>
      <c r="J325" s="332"/>
      <c r="K325" s="270"/>
    </row>
    <row r="326" spans="1:12" x14ac:dyDescent="0.3">
      <c r="A326" s="266"/>
      <c r="B326" s="277"/>
      <c r="C326" s="319"/>
      <c r="D326" s="268"/>
      <c r="E326" s="268"/>
      <c r="F326" s="268"/>
      <c r="G326" s="268"/>
      <c r="H326" s="271"/>
      <c r="I326" s="332"/>
      <c r="J326" s="332"/>
      <c r="K326" s="270"/>
    </row>
    <row r="327" spans="1:12" x14ac:dyDescent="0.3">
      <c r="A327" s="266">
        <v>154</v>
      </c>
      <c r="B327" s="277">
        <f>'MERGED HEAVY IND'!B2029</f>
        <v>5645</v>
      </c>
      <c r="C327" s="319"/>
      <c r="D327" s="268" t="str">
        <f>'MERGED HEAVY IND'!E2029</f>
        <v>N. JERAMS</v>
      </c>
      <c r="E327" s="268" t="str">
        <f>'MERGED HEAVY IND'!C2029</f>
        <v>CHINGAIRA ROAD</v>
      </c>
      <c r="F327" s="268" t="s">
        <v>1928</v>
      </c>
      <c r="G327" s="268" t="s">
        <v>1252</v>
      </c>
      <c r="H327" s="271">
        <f>'MERGED HEAVY IND'!D2037</f>
        <v>11600</v>
      </c>
      <c r="I327" s="332">
        <f>'MERGED HEAVY IND'!H2037</f>
        <v>56000</v>
      </c>
      <c r="J327" s="332">
        <f>'MERGED HEAVY IND'!H2036</f>
        <v>144988.79999999999</v>
      </c>
      <c r="K327" s="270">
        <f>'MERGED HEAVY IND'!H2038</f>
        <v>200988.79999999999</v>
      </c>
      <c r="L327">
        <v>5645</v>
      </c>
    </row>
    <row r="328" spans="1:12" x14ac:dyDescent="0.3">
      <c r="A328" s="266"/>
      <c r="B328" s="277"/>
      <c r="C328" s="319"/>
      <c r="D328" s="268"/>
      <c r="E328" s="268"/>
      <c r="F328" s="268"/>
      <c r="G328" s="268"/>
      <c r="H328" s="271"/>
      <c r="I328" s="332"/>
      <c r="J328" s="332"/>
      <c r="K328" s="270"/>
    </row>
    <row r="329" spans="1:12" x14ac:dyDescent="0.3">
      <c r="A329" s="266">
        <f>A327+1</f>
        <v>155</v>
      </c>
      <c r="B329" s="277">
        <f>'MERGED HEAVY IND'!B2040</f>
        <v>5646</v>
      </c>
      <c r="C329" s="319">
        <v>23037200</v>
      </c>
      <c r="D329" s="268" t="str">
        <f>'MERGED HEAVY IND'!D2040</f>
        <v>R. SOMA</v>
      </c>
      <c r="E329" s="268" t="str">
        <f>'MERGED HEAVY IND'!C2040</f>
        <v>CHINGAIRA ROAD</v>
      </c>
      <c r="F329" s="268" t="s">
        <v>1928</v>
      </c>
      <c r="G329" s="268" t="s">
        <v>1252</v>
      </c>
      <c r="H329" s="271">
        <f>'MERGED HEAVY IND'!D2050</f>
        <v>9800</v>
      </c>
      <c r="I329" s="332">
        <f>'MERGED HEAVY IND'!H2050</f>
        <v>49000</v>
      </c>
      <c r="J329" s="332">
        <f>'MERGED HEAVY IND'!H2049</f>
        <v>110003.65</v>
      </c>
      <c r="K329" s="270">
        <f>'MERGED HEAVY IND'!H2051</f>
        <v>159003.65</v>
      </c>
      <c r="L329">
        <v>5646</v>
      </c>
    </row>
    <row r="330" spans="1:12" x14ac:dyDescent="0.3">
      <c r="A330" s="266"/>
      <c r="B330" s="277"/>
      <c r="C330" s="319"/>
      <c r="D330" s="268"/>
      <c r="E330" s="268"/>
      <c r="F330" s="268"/>
      <c r="G330" s="268"/>
      <c r="H330" s="271"/>
      <c r="I330" s="332"/>
      <c r="J330" s="332"/>
      <c r="K330" s="270"/>
    </row>
    <row r="331" spans="1:12" x14ac:dyDescent="0.3">
      <c r="A331" s="266">
        <v>156</v>
      </c>
      <c r="B331" s="277">
        <f>'MERGED HEAVY IND'!B2062</f>
        <v>5647</v>
      </c>
      <c r="C331" s="319"/>
      <c r="D331" s="268" t="str">
        <f>'MERGED HEAVY IND'!E2062</f>
        <v>MAGADA</v>
      </c>
      <c r="E331" s="268" t="str">
        <f>'MERGED HEAVY IND'!C2062</f>
        <v>CHINGAIRA CLOSE</v>
      </c>
      <c r="F331" s="268" t="s">
        <v>1928</v>
      </c>
      <c r="G331" s="268" t="s">
        <v>1252</v>
      </c>
      <c r="H331" s="271">
        <f>'MERGED HEAVY IND'!D2068</f>
        <v>14300</v>
      </c>
      <c r="I331" s="332">
        <f>'MERGED HEAVY IND'!H2068</f>
        <v>66125</v>
      </c>
      <c r="J331" s="332">
        <f>'MERGED HEAVY IND'!H2067</f>
        <v>61942.5</v>
      </c>
      <c r="K331" s="270">
        <f>'MERGED HEAVY IND'!H2069</f>
        <v>128067.5</v>
      </c>
      <c r="L331">
        <v>5647</v>
      </c>
    </row>
    <row r="332" spans="1:12" x14ac:dyDescent="0.3">
      <c r="A332" s="266"/>
      <c r="B332" s="277"/>
      <c r="C332" s="319"/>
      <c r="D332" s="268"/>
      <c r="E332" s="268"/>
      <c r="F332" s="268"/>
      <c r="G332" s="268"/>
      <c r="H332" s="271"/>
      <c r="I332" s="332"/>
      <c r="J332" s="332"/>
      <c r="K332" s="270"/>
    </row>
    <row r="333" spans="1:12" x14ac:dyDescent="0.3">
      <c r="A333" s="266">
        <f>A331+1</f>
        <v>157</v>
      </c>
      <c r="B333" s="277">
        <f>'MERGED HEAVY IND'!B2071</f>
        <v>5648</v>
      </c>
      <c r="C333" s="319">
        <v>23564800</v>
      </c>
      <c r="D333" s="268" t="str">
        <f>'MERGED HEAVY IND'!E2071</f>
        <v>R.MASHEZHA</v>
      </c>
      <c r="E333" s="268" t="str">
        <f>'MERGED HEAVY IND'!C2071</f>
        <v>CHINGAIRA CLOSE</v>
      </c>
      <c r="F333" s="268" t="s">
        <v>1928</v>
      </c>
      <c r="G333" s="268" t="s">
        <v>1252</v>
      </c>
      <c r="H333" s="271">
        <f>'MERGED HEAVY IND'!D2078</f>
        <v>9000</v>
      </c>
      <c r="I333" s="332">
        <f>'MERGED HEAVY IND'!H2078</f>
        <v>45000</v>
      </c>
      <c r="J333" s="332">
        <f>'MERGED HEAVY IND'!H2077</f>
        <v>8938.8000000000011</v>
      </c>
      <c r="K333" s="270">
        <f>'MERGED HEAVY IND'!H2079</f>
        <v>53938.8</v>
      </c>
      <c r="L333">
        <v>5648</v>
      </c>
    </row>
    <row r="334" spans="1:12" x14ac:dyDescent="0.3">
      <c r="A334" s="266"/>
      <c r="B334" s="277"/>
      <c r="C334" s="319"/>
      <c r="D334" s="268"/>
      <c r="E334" s="268"/>
      <c r="F334" s="268"/>
      <c r="G334" s="268"/>
      <c r="H334" s="271"/>
      <c r="I334" s="332"/>
      <c r="J334" s="332"/>
      <c r="K334" s="270"/>
    </row>
    <row r="335" spans="1:12" x14ac:dyDescent="0.3">
      <c r="A335" s="266">
        <v>158</v>
      </c>
      <c r="B335" s="277">
        <f>'MERGED HEAVY IND'!B2117</f>
        <v>5932</v>
      </c>
      <c r="C335" s="319">
        <v>23037900</v>
      </c>
      <c r="D335" s="268" t="str">
        <f>'MERGED HEAVY IND'!E2117</f>
        <v>B. MADZIRO</v>
      </c>
      <c r="E335" s="268" t="str">
        <f>'MERGED HEAVY IND'!C2117</f>
        <v>7 GANDIWA CIRCLE</v>
      </c>
      <c r="F335" s="268" t="s">
        <v>1928</v>
      </c>
      <c r="G335" s="268" t="s">
        <v>1252</v>
      </c>
      <c r="H335" s="271">
        <f>'MERGED HEAVY IND'!D2126</f>
        <v>6090</v>
      </c>
      <c r="I335" s="332">
        <f>'MERGED HEAVY IND'!H2126</f>
        <v>30450</v>
      </c>
      <c r="J335" s="332">
        <f>'MERGED HEAVY IND'!H2125</f>
        <v>13562.5</v>
      </c>
      <c r="K335" s="270">
        <f>'MERGED HEAVY IND'!H2127</f>
        <v>44012.5</v>
      </c>
      <c r="L335">
        <v>5932</v>
      </c>
    </row>
    <row r="336" spans="1:12" x14ac:dyDescent="0.3">
      <c r="A336" s="266"/>
      <c r="B336" s="277"/>
      <c r="C336" s="319"/>
      <c r="D336" s="268"/>
      <c r="E336" s="268"/>
      <c r="F336" s="268"/>
      <c r="G336" s="268"/>
      <c r="H336" s="271"/>
      <c r="I336" s="332"/>
      <c r="J336" s="332"/>
      <c r="K336" s="270"/>
    </row>
    <row r="337" spans="1:12" ht="28.8" x14ac:dyDescent="0.3">
      <c r="A337" s="266">
        <f t="shared" ref="A337:A399" si="1">A335+1</f>
        <v>159</v>
      </c>
      <c r="B337" s="277">
        <f>'MERGED HEAVY IND'!B2129</f>
        <v>5936</v>
      </c>
      <c r="C337" s="319">
        <v>23593600</v>
      </c>
      <c r="D337" s="267" t="str">
        <f>'MERGED HEAVY IND'!E2129</f>
        <v>CITY OF MUTARE</v>
      </c>
      <c r="E337" s="268" t="str">
        <f>'MERGED HEAVY IND'!C2129</f>
        <v>GONDWE CIRCLE NYAKAMETE</v>
      </c>
      <c r="F337" s="268" t="s">
        <v>1928</v>
      </c>
      <c r="G337" s="268" t="s">
        <v>1252</v>
      </c>
      <c r="H337" s="271">
        <f>'MERGED HEAVY IND'!D2134</f>
        <v>2985</v>
      </c>
      <c r="I337" s="332">
        <f>'MERGED HEAVY IND'!H2134</f>
        <v>14925</v>
      </c>
      <c r="J337" s="332">
        <f>'MERGED HEAVY IND'!H2133</f>
        <v>69898.399999999994</v>
      </c>
      <c r="K337" s="270">
        <f>'MERGED HEAVY IND'!H2135</f>
        <v>84823.4</v>
      </c>
      <c r="L337">
        <v>5936</v>
      </c>
    </row>
    <row r="338" spans="1:12" x14ac:dyDescent="0.3">
      <c r="A338" s="266"/>
      <c r="B338" s="277"/>
      <c r="C338" s="319"/>
      <c r="D338" s="268"/>
      <c r="E338" s="268"/>
      <c r="F338" s="268"/>
      <c r="G338" s="268"/>
      <c r="H338" s="271"/>
      <c r="I338" s="332"/>
      <c r="J338" s="332"/>
      <c r="K338" s="270"/>
    </row>
    <row r="339" spans="1:12" x14ac:dyDescent="0.3">
      <c r="A339" s="266">
        <f t="shared" si="1"/>
        <v>160</v>
      </c>
      <c r="B339" s="277">
        <f>'MERGED HEAVY IND'!B2137</f>
        <v>5936</v>
      </c>
      <c r="C339" s="319"/>
      <c r="D339" s="268" t="str">
        <f>'MERGED HEAVY IND'!E2137</f>
        <v>MEGA MARKET</v>
      </c>
      <c r="E339" s="268" t="str">
        <f>'MERGED HEAVY IND'!C2137</f>
        <v>GANDIWA CIRCLE</v>
      </c>
      <c r="F339" s="268" t="s">
        <v>1928</v>
      </c>
      <c r="G339" s="268" t="s">
        <v>1252</v>
      </c>
      <c r="H339" s="271">
        <f>'MERGED HEAVY IND'!D2142</f>
        <v>2985</v>
      </c>
      <c r="I339" s="332">
        <f>'MERGED HEAVY IND'!H2142</f>
        <v>14925</v>
      </c>
      <c r="J339" s="332">
        <f>'MERGED HEAVY IND'!H2141</f>
        <v>92603</v>
      </c>
      <c r="K339" s="270">
        <f>'MERGED HEAVY IND'!H2143</f>
        <v>107528</v>
      </c>
      <c r="L339">
        <v>5936</v>
      </c>
    </row>
    <row r="340" spans="1:12" x14ac:dyDescent="0.3">
      <c r="A340" s="266"/>
      <c r="B340" s="277"/>
      <c r="C340" s="319"/>
      <c r="D340" s="268"/>
      <c r="E340" s="268"/>
      <c r="F340" s="268"/>
      <c r="G340" s="268"/>
      <c r="H340" s="271"/>
      <c r="I340" s="332"/>
      <c r="J340" s="332"/>
      <c r="K340" s="270"/>
    </row>
    <row r="341" spans="1:12" ht="28.8" x14ac:dyDescent="0.3">
      <c r="A341" s="266">
        <f t="shared" si="1"/>
        <v>161</v>
      </c>
      <c r="B341" s="277">
        <f>'MERGED HEAVY IND'!B2145</f>
        <v>5957</v>
      </c>
      <c r="C341" s="319">
        <v>23038100</v>
      </c>
      <c r="D341" s="267" t="str">
        <f>'MERGED HEAVY IND'!F2145</f>
        <v>NJUNGA.J.A</v>
      </c>
      <c r="E341" s="268" t="str">
        <f>'MERGED HEAVY IND'!C2145</f>
        <v>VUMBA ROAD NEXT TO TOTAL</v>
      </c>
      <c r="F341" s="268" t="s">
        <v>1928</v>
      </c>
      <c r="G341" s="268" t="s">
        <v>1277</v>
      </c>
      <c r="H341" s="271">
        <f>'MERGED HEAVY IND'!D2149</f>
        <v>25690</v>
      </c>
      <c r="I341" s="332">
        <f>'MERGED HEAVY IND'!H2149</f>
        <v>67975</v>
      </c>
      <c r="J341" s="332">
        <f>'MERGED HEAVY IND'!H2148</f>
        <v>0</v>
      </c>
      <c r="K341" s="270">
        <f>'MERGED HEAVY IND'!H2150</f>
        <v>67975</v>
      </c>
      <c r="L341">
        <v>5957</v>
      </c>
    </row>
    <row r="342" spans="1:12" x14ac:dyDescent="0.3">
      <c r="A342" s="266"/>
      <c r="B342" s="277"/>
      <c r="C342" s="319"/>
      <c r="D342" s="292"/>
      <c r="E342" s="268"/>
      <c r="F342" s="268"/>
      <c r="G342" s="268"/>
      <c r="H342" s="271"/>
      <c r="I342" s="332"/>
      <c r="J342" s="332"/>
      <c r="K342" s="270"/>
    </row>
    <row r="343" spans="1:12" ht="43.2" x14ac:dyDescent="0.3">
      <c r="A343" s="266">
        <f t="shared" si="1"/>
        <v>162</v>
      </c>
      <c r="B343" s="277" t="str">
        <f>'MERGED HEAVY IND'!B2151</f>
        <v>5958A</v>
      </c>
      <c r="C343" s="319">
        <v>23595800</v>
      </c>
      <c r="D343" s="267" t="str">
        <f>'MERGED HEAVY IND'!F2151</f>
        <v>CADOLITE INVESTMENTS P/L</v>
      </c>
      <c r="E343" s="268" t="str">
        <f>'MERGED HEAVY IND'!C2151</f>
        <v>KARIBA ROAD NEXT TO COMPAC HYDROLIC SERVICES</v>
      </c>
      <c r="F343" s="268" t="s">
        <v>1928</v>
      </c>
      <c r="G343" s="268" t="s">
        <v>1277</v>
      </c>
      <c r="H343" s="271">
        <f>'MERGED HEAVY IND'!D2155</f>
        <v>8670</v>
      </c>
      <c r="I343" s="332">
        <f>'MERGED HEAVY IND'!H2155</f>
        <v>43350</v>
      </c>
      <c r="J343" s="332">
        <f>'MERGED HEAVY IND'!H2154</f>
        <v>0</v>
      </c>
      <c r="K343" s="270">
        <f>'MERGED HEAVY IND'!H2156</f>
        <v>43350</v>
      </c>
      <c r="L343" t="s">
        <v>883</v>
      </c>
    </row>
    <row r="344" spans="1:12" x14ac:dyDescent="0.3">
      <c r="A344" s="266"/>
      <c r="B344" s="277"/>
      <c r="C344" s="319"/>
      <c r="D344" s="268"/>
      <c r="E344" s="268"/>
      <c r="F344" s="268"/>
      <c r="G344" s="268"/>
      <c r="H344" s="271"/>
      <c r="I344" s="332"/>
      <c r="J344" s="332"/>
      <c r="K344" s="270"/>
    </row>
    <row r="345" spans="1:12" ht="28.8" x14ac:dyDescent="0.3">
      <c r="A345" s="266">
        <f t="shared" si="1"/>
        <v>163</v>
      </c>
      <c r="B345" s="277" t="str">
        <f>'MERGED HEAVY IND'!B2157</f>
        <v>5958B</v>
      </c>
      <c r="C345" s="319">
        <v>23595801</v>
      </c>
      <c r="D345" s="268" t="str">
        <f>'MERGED HEAVY IND'!E2157</f>
        <v>COMPAC HYDROLIC SERVICES</v>
      </c>
      <c r="E345" s="268" t="str">
        <f>'MERGED HEAVY IND'!C2157</f>
        <v xml:space="preserve">KARIBA ROAD </v>
      </c>
      <c r="F345" s="268" t="s">
        <v>1928</v>
      </c>
      <c r="G345" s="268" t="s">
        <v>1252</v>
      </c>
      <c r="H345" s="271">
        <f>'MERGED HEAVY IND'!D2161</f>
        <v>3552</v>
      </c>
      <c r="I345" s="332">
        <f>'MERGED HEAVY IND'!H2161</f>
        <v>17760</v>
      </c>
      <c r="J345" s="332">
        <f>'MERGED HEAVY IND'!H2160</f>
        <v>277300.8</v>
      </c>
      <c r="K345" s="270">
        <f>'MERGED HEAVY IND'!H2162</f>
        <v>295060.8</v>
      </c>
      <c r="L345" t="s">
        <v>885</v>
      </c>
    </row>
    <row r="346" spans="1:12" x14ac:dyDescent="0.3">
      <c r="A346" s="266"/>
      <c r="B346" s="277"/>
      <c r="C346" s="319"/>
      <c r="D346" s="268"/>
      <c r="E346" s="268"/>
      <c r="F346" s="268"/>
      <c r="G346" s="268"/>
      <c r="H346" s="271"/>
      <c r="I346" s="332"/>
      <c r="J346" s="332"/>
      <c r="K346" s="270"/>
    </row>
    <row r="347" spans="1:12" x14ac:dyDescent="0.3">
      <c r="A347" s="266">
        <f t="shared" si="1"/>
        <v>164</v>
      </c>
      <c r="B347" s="277">
        <f>'MERGED HEAVY IND'!B2163</f>
        <v>5959</v>
      </c>
      <c r="C347" s="319">
        <v>23595900</v>
      </c>
      <c r="D347" s="268" t="str">
        <f>'MERGED HEAVY IND'!G2163</f>
        <v>MRS.DHAMISO</v>
      </c>
      <c r="E347" s="268" t="str">
        <f>'MERGED HEAVY IND'!E2163</f>
        <v>KARIBA ROAD</v>
      </c>
      <c r="F347" s="268" t="s">
        <v>1928</v>
      </c>
      <c r="G347" s="268" t="s">
        <v>1925</v>
      </c>
      <c r="H347" s="271">
        <f>'MERGED HEAVY IND'!D2167</f>
        <v>7800</v>
      </c>
      <c r="I347" s="332">
        <f>'MERGED HEAVY IND'!H2167</f>
        <v>39000</v>
      </c>
      <c r="J347" s="332">
        <f>'MERGED HEAVY IND'!H2166</f>
        <v>820.75</v>
      </c>
      <c r="K347" s="270">
        <f>'MERGED HEAVY IND'!H2168</f>
        <v>39820.75</v>
      </c>
      <c r="L347">
        <v>5959</v>
      </c>
    </row>
    <row r="348" spans="1:12" x14ac:dyDescent="0.3">
      <c r="A348" s="266"/>
      <c r="B348" s="277"/>
      <c r="C348" s="319"/>
      <c r="D348" s="268"/>
      <c r="E348" s="268"/>
      <c r="F348" s="268"/>
      <c r="G348" s="268"/>
      <c r="H348" s="271"/>
      <c r="I348" s="332"/>
      <c r="J348" s="332"/>
      <c r="K348" s="270"/>
    </row>
    <row r="349" spans="1:12" x14ac:dyDescent="0.3">
      <c r="A349" s="266">
        <f t="shared" si="1"/>
        <v>165</v>
      </c>
      <c r="B349" s="277">
        <f>'MERGED HEAVY IND'!B2169</f>
        <v>5960</v>
      </c>
      <c r="C349" s="319">
        <v>23050200</v>
      </c>
      <c r="D349" s="268" t="str">
        <f>'MERGED HEAVY IND'!E2169</f>
        <v>TAGWIRA</v>
      </c>
      <c r="E349" s="268" t="str">
        <f>'MERGED HEAVY IND'!C2169</f>
        <v>KARIBA ROAD</v>
      </c>
      <c r="F349" s="268" t="s">
        <v>1928</v>
      </c>
      <c r="G349" s="268" t="s">
        <v>1252</v>
      </c>
      <c r="H349" s="271">
        <f>'MERGED HEAVY IND'!D2173</f>
        <v>14623</v>
      </c>
      <c r="I349" s="332">
        <f>'MERGED HEAVY IND'!H2173</f>
        <v>67336.25</v>
      </c>
      <c r="J349" s="332">
        <f>'MERGED HEAVY IND'!H2172</f>
        <v>109377</v>
      </c>
      <c r="K349" s="270">
        <f>'MERGED HEAVY IND'!H2174</f>
        <v>176713.25</v>
      </c>
      <c r="L349">
        <v>5960</v>
      </c>
    </row>
    <row r="350" spans="1:12" x14ac:dyDescent="0.3">
      <c r="A350" s="266"/>
      <c r="B350" s="277"/>
      <c r="C350" s="319"/>
      <c r="D350" s="268"/>
      <c r="E350" s="268"/>
      <c r="F350" s="268"/>
      <c r="G350" s="268"/>
      <c r="H350" s="271"/>
      <c r="I350" s="332"/>
      <c r="J350" s="332"/>
      <c r="K350" s="270"/>
    </row>
    <row r="351" spans="1:12" x14ac:dyDescent="0.3">
      <c r="A351" s="266">
        <f t="shared" si="1"/>
        <v>166</v>
      </c>
      <c r="B351" s="277">
        <f>'MERGED HEAVY IND'!B2175</f>
        <v>5961</v>
      </c>
      <c r="C351" s="319">
        <v>23023001</v>
      </c>
      <c r="D351" s="268" t="str">
        <f>'MERGED HEAVY IND'!E2175</f>
        <v>I JAMES</v>
      </c>
      <c r="E351" s="268" t="str">
        <f>'MERGED HEAVY IND'!C2175</f>
        <v>KARIBA ROAD</v>
      </c>
      <c r="F351" s="268" t="s">
        <v>1928</v>
      </c>
      <c r="G351" s="268" t="s">
        <v>1925</v>
      </c>
      <c r="H351" s="271">
        <f>'MERGED HEAVY IND'!D2179</f>
        <v>14448</v>
      </c>
      <c r="I351" s="332">
        <f>'MERGED HEAVY IND'!H2179</f>
        <v>66680</v>
      </c>
      <c r="J351" s="332">
        <f>'MERGED HEAVY IND'!H2178</f>
        <v>6132.0000000000009</v>
      </c>
      <c r="K351" s="270">
        <f>'MERGED HEAVY IND'!H2180</f>
        <v>72812</v>
      </c>
      <c r="L351">
        <v>5961</v>
      </c>
    </row>
    <row r="352" spans="1:12" x14ac:dyDescent="0.3">
      <c r="A352" s="266"/>
      <c r="B352" s="277"/>
      <c r="C352" s="319"/>
      <c r="D352" s="268"/>
      <c r="E352" s="268"/>
      <c r="F352" s="268"/>
      <c r="G352" s="268"/>
      <c r="H352" s="271"/>
      <c r="I352" s="332"/>
      <c r="J352" s="332"/>
      <c r="K352" s="270"/>
    </row>
    <row r="353" spans="1:12" ht="28.8" x14ac:dyDescent="0.3">
      <c r="A353" s="266">
        <f t="shared" si="1"/>
        <v>167</v>
      </c>
      <c r="B353" s="277">
        <f>'MERGED HEAVY IND'!B2181</f>
        <v>5962</v>
      </c>
      <c r="C353" s="319">
        <v>23596200</v>
      </c>
      <c r="D353" s="268" t="str">
        <f>'MERGED HEAVY IND'!E2181</f>
        <v>CARSWELL/MONTANA MEATS</v>
      </c>
      <c r="E353" s="268" t="str">
        <f>'MERGED HEAVY IND'!C2181</f>
        <v>KARIBA ROAD</v>
      </c>
      <c r="F353" s="268" t="s">
        <v>1928</v>
      </c>
      <c r="G353" s="268" t="s">
        <v>1298</v>
      </c>
      <c r="H353" s="271">
        <f>'MERGED HEAVY IND'!D2187</f>
        <v>9691</v>
      </c>
      <c r="I353" s="332">
        <f>'MERGED HEAVY IND'!H2187</f>
        <v>48455</v>
      </c>
      <c r="J353" s="332">
        <f>'MERGED HEAVY IND'!H2186</f>
        <v>330550.435</v>
      </c>
      <c r="K353" s="270">
        <f>'MERGED HEAVY IND'!H2188</f>
        <v>379005.435</v>
      </c>
      <c r="L353">
        <v>5962</v>
      </c>
    </row>
    <row r="354" spans="1:12" x14ac:dyDescent="0.3">
      <c r="A354" s="266"/>
      <c r="B354" s="277"/>
      <c r="C354" s="319"/>
      <c r="D354" s="268"/>
      <c r="E354" s="268"/>
      <c r="F354" s="268"/>
      <c r="G354" s="268"/>
      <c r="H354" s="271"/>
      <c r="I354" s="332"/>
      <c r="J354" s="332"/>
      <c r="K354" s="270"/>
    </row>
    <row r="355" spans="1:12" x14ac:dyDescent="0.3">
      <c r="A355" s="266">
        <f t="shared" si="1"/>
        <v>168</v>
      </c>
      <c r="B355" s="277">
        <f>'MERGED HEAVY IND'!B2189</f>
        <v>5963</v>
      </c>
      <c r="C355" s="319">
        <v>23596300</v>
      </c>
      <c r="D355" s="268" t="str">
        <f>'MERGED HEAVY IND'!E2189</f>
        <v>CHIRIPASHI</v>
      </c>
      <c r="E355" s="268" t="str">
        <f>'MERGED HEAVY IND'!C2189</f>
        <v>KARIBA ROAD</v>
      </c>
      <c r="F355" s="268" t="s">
        <v>1928</v>
      </c>
      <c r="G355" s="268" t="s">
        <v>1260</v>
      </c>
      <c r="H355" s="271">
        <f>'MERGED HEAVY IND'!D2194</f>
        <v>7501</v>
      </c>
      <c r="I355" s="332">
        <f>'MERGED HEAVY IND'!H2194</f>
        <v>37505</v>
      </c>
      <c r="J355" s="332">
        <f>'MERGED HEAVY IND'!H2193</f>
        <v>39251.764999999999</v>
      </c>
      <c r="K355" s="270">
        <f>'MERGED HEAVY IND'!H2195</f>
        <v>76756.764999999999</v>
      </c>
      <c r="L355">
        <v>5963</v>
      </c>
    </row>
    <row r="356" spans="1:12" x14ac:dyDescent="0.3">
      <c r="A356" s="266"/>
      <c r="B356" s="277"/>
      <c r="C356" s="319"/>
      <c r="D356" s="268"/>
      <c r="E356" s="268"/>
      <c r="F356" s="268"/>
      <c r="G356" s="268"/>
      <c r="H356" s="271"/>
      <c r="I356" s="332"/>
      <c r="J356" s="332"/>
      <c r="K356" s="270"/>
    </row>
    <row r="357" spans="1:12" x14ac:dyDescent="0.3">
      <c r="A357" s="266">
        <f t="shared" si="1"/>
        <v>169</v>
      </c>
      <c r="B357" s="291">
        <f>'MERGED HEAVY IND'!B2196</f>
        <v>5967</v>
      </c>
      <c r="C357" s="319"/>
      <c r="D357" s="268" t="str">
        <f>'MERGED HEAVY IND'!E2196</f>
        <v>MATENGAMBI</v>
      </c>
      <c r="E357" s="268" t="str">
        <f>'MERGED HEAVY IND'!C2196</f>
        <v xml:space="preserve">5967 KARIBA ROAD </v>
      </c>
      <c r="F357" s="268" t="s">
        <v>1928</v>
      </c>
      <c r="G357" s="268" t="s">
        <v>1926</v>
      </c>
      <c r="H357" s="271" t="str">
        <f>'MERGED HEAVY IND'!D2200</f>
        <v>10 670</v>
      </c>
      <c r="I357" s="332">
        <f>'MERGED HEAVY IND'!H2200</f>
        <v>52512.5</v>
      </c>
      <c r="J357" s="332">
        <f>'MERGED HEAVY IND'!H2198</f>
        <v>11367</v>
      </c>
      <c r="K357" s="270">
        <f>'MERGED HEAVY IND'!H2201</f>
        <v>52512.5</v>
      </c>
      <c r="L357" s="341">
        <v>5967</v>
      </c>
    </row>
    <row r="358" spans="1:12" x14ac:dyDescent="0.3">
      <c r="A358" s="266"/>
      <c r="B358" s="277"/>
      <c r="C358" s="319"/>
      <c r="D358" s="268"/>
      <c r="E358" s="268"/>
      <c r="F358" s="268"/>
      <c r="G358" s="268"/>
      <c r="H358" s="271"/>
      <c r="I358" s="332"/>
      <c r="J358" s="332"/>
      <c r="K358" s="270"/>
    </row>
    <row r="359" spans="1:12" x14ac:dyDescent="0.3">
      <c r="A359" s="266">
        <f t="shared" si="1"/>
        <v>170</v>
      </c>
      <c r="B359" s="291">
        <f>'MERGED HEAVY IND'!B2202</f>
        <v>5968</v>
      </c>
      <c r="C359" s="319">
        <v>23051000</v>
      </c>
      <c r="D359" s="268" t="str">
        <f>'MERGED HEAVY IND'!E2202</f>
        <v>CHAKONDA</v>
      </c>
      <c r="E359" s="268" t="str">
        <f>'MERGED HEAVY IND'!C2202</f>
        <v>5968 KARIBA ROAD</v>
      </c>
      <c r="F359" s="268" t="s">
        <v>1928</v>
      </c>
      <c r="G359" s="268" t="s">
        <v>1252</v>
      </c>
      <c r="H359" s="271">
        <f>'MERGED HEAVY IND'!D2208</f>
        <v>9304</v>
      </c>
      <c r="I359" s="332">
        <f>'MERGED HEAVY IND'!H2208</f>
        <v>46520</v>
      </c>
      <c r="J359" s="332">
        <f>'MERGED HEAVY IND'!H2207</f>
        <v>21129.61</v>
      </c>
      <c r="K359" s="270">
        <f>'MERGED HEAVY IND'!H2209</f>
        <v>67649.61</v>
      </c>
      <c r="L359" s="341">
        <v>5968</v>
      </c>
    </row>
    <row r="360" spans="1:12" x14ac:dyDescent="0.3">
      <c r="A360" s="266"/>
      <c r="B360" s="277"/>
      <c r="C360" s="319"/>
      <c r="D360" s="268"/>
      <c r="E360" s="268"/>
      <c r="F360" s="268"/>
      <c r="G360" s="268"/>
      <c r="H360" s="271"/>
      <c r="I360" s="332"/>
      <c r="J360" s="332"/>
      <c r="K360" s="270"/>
    </row>
    <row r="361" spans="1:12" x14ac:dyDescent="0.3">
      <c r="A361" s="266">
        <f t="shared" si="1"/>
        <v>171</v>
      </c>
      <c r="B361" s="278" t="str">
        <f>'MERGED HEAVY IND'!B2210</f>
        <v>5969 A</v>
      </c>
      <c r="C361" s="319">
        <v>23039700</v>
      </c>
      <c r="D361" s="268" t="str">
        <f>'MERGED HEAVY IND'!E2210</f>
        <v>T. NEMBAWARE</v>
      </c>
      <c r="E361" s="268" t="str">
        <f>'MERGED HEAVY IND'!C2210</f>
        <v>5969A KARIBA ROAD</v>
      </c>
      <c r="F361" s="268" t="s">
        <v>1928</v>
      </c>
      <c r="G361" s="268" t="s">
        <v>1252</v>
      </c>
      <c r="H361" s="271">
        <f>'MERGED HEAVY IND'!D2215</f>
        <v>11091</v>
      </c>
      <c r="I361" s="332">
        <f>'MERGED HEAVY IND'!H2215</f>
        <v>54091.25</v>
      </c>
      <c r="J361" s="332">
        <f>'MERGED HEAVY IND'!H2214</f>
        <v>34847.75</v>
      </c>
      <c r="K361" s="270">
        <f>'MERGED HEAVY IND'!H2216</f>
        <v>88939</v>
      </c>
      <c r="L361" s="340" t="s">
        <v>1162</v>
      </c>
    </row>
    <row r="362" spans="1:12" x14ac:dyDescent="0.3">
      <c r="A362" s="266"/>
      <c r="B362" s="277"/>
      <c r="C362" s="319"/>
      <c r="D362" s="268"/>
      <c r="E362" s="268"/>
      <c r="F362" s="268"/>
      <c r="G362" s="268"/>
      <c r="H362" s="271"/>
      <c r="I362" s="332"/>
      <c r="J362" s="332"/>
      <c r="K362" s="270"/>
    </row>
    <row r="363" spans="1:12" ht="28.8" x14ac:dyDescent="0.3">
      <c r="A363" s="266">
        <f t="shared" si="1"/>
        <v>172</v>
      </c>
      <c r="B363" s="278" t="str">
        <f>'MERGED HEAVY IND'!B2217</f>
        <v>5969 B</v>
      </c>
      <c r="C363" s="319">
        <v>23050100</v>
      </c>
      <c r="D363" s="267" t="str">
        <f>'MERGED HEAVY IND'!E2217</f>
        <v>WILL SEE INVEST P/L</v>
      </c>
      <c r="E363" s="268" t="str">
        <f>'MERGED HEAVY IND'!C2217</f>
        <v>5969 B KARIBA ROAD</v>
      </c>
      <c r="F363" s="268" t="s">
        <v>1928</v>
      </c>
      <c r="G363" s="268" t="s">
        <v>1277</v>
      </c>
      <c r="H363" s="271">
        <f>'MERGED HEAVY IND'!F2220</f>
        <v>54091.25</v>
      </c>
      <c r="I363" s="332">
        <f>'MERGED HEAVY IND'!H2220</f>
        <v>54091.25</v>
      </c>
      <c r="J363" s="332">
        <f>'MERGED HEAVY IND'!H2219</f>
        <v>0</v>
      </c>
      <c r="K363" s="270">
        <f>'MERGED HEAVY IND'!H2221</f>
        <v>54091.25</v>
      </c>
      <c r="L363" s="340" t="s">
        <v>1165</v>
      </c>
    </row>
    <row r="364" spans="1:12" x14ac:dyDescent="0.3">
      <c r="A364" s="266"/>
      <c r="B364" s="277"/>
      <c r="C364" s="319"/>
      <c r="D364" s="268"/>
      <c r="E364" s="268"/>
      <c r="F364" s="268"/>
      <c r="G364" s="268"/>
      <c r="H364" s="271"/>
      <c r="I364" s="332"/>
      <c r="J364" s="332"/>
      <c r="K364" s="270"/>
    </row>
    <row r="365" spans="1:12" ht="28.8" x14ac:dyDescent="0.3">
      <c r="A365" s="266">
        <f t="shared" si="1"/>
        <v>173</v>
      </c>
      <c r="B365" s="277">
        <f>'MERGED HEAVY IND'!B2222</f>
        <v>5971</v>
      </c>
      <c r="C365" s="319">
        <v>23597100</v>
      </c>
      <c r="D365" s="268" t="str">
        <f>'MERGED HEAVY IND'!E2222</f>
        <v>WANTAGE INVESTMENT</v>
      </c>
      <c r="E365" s="292"/>
      <c r="F365" s="268" t="s">
        <v>1928</v>
      </c>
      <c r="G365" s="268" t="s">
        <v>1252</v>
      </c>
      <c r="H365" s="271">
        <f>'MERGED HEAVY IND'!D2233</f>
        <v>9168</v>
      </c>
      <c r="I365" s="332">
        <f>'MERGED HEAVY IND'!H2233</f>
        <v>45840</v>
      </c>
      <c r="J365" s="332">
        <f>'MERGED HEAVY IND'!H2232</f>
        <v>213658.9</v>
      </c>
      <c r="K365" s="270">
        <f>'MERGED HEAVY IND'!H2234</f>
        <v>259498.9</v>
      </c>
      <c r="L365">
        <v>5971</v>
      </c>
    </row>
    <row r="366" spans="1:12" x14ac:dyDescent="0.3">
      <c r="A366" s="266"/>
      <c r="B366" s="277"/>
      <c r="C366" s="319"/>
      <c r="D366" s="268"/>
      <c r="E366" s="268"/>
      <c r="F366" s="268"/>
      <c r="G366" s="268"/>
      <c r="H366" s="271"/>
      <c r="I366" s="332"/>
      <c r="J366" s="332"/>
      <c r="K366" s="270"/>
    </row>
    <row r="367" spans="1:12" ht="28.8" x14ac:dyDescent="0.3">
      <c r="A367" s="266">
        <f t="shared" si="1"/>
        <v>174</v>
      </c>
      <c r="B367" s="277">
        <f>'MERGED HEAVY IND'!B2236</f>
        <v>5972</v>
      </c>
      <c r="C367" s="319">
        <v>23039600</v>
      </c>
      <c r="D367" s="268" t="str">
        <f>'MERGED HEAVY IND'!E2236</f>
        <v>KEVERAZ INVESTMENTS P/L</v>
      </c>
      <c r="E367" s="292"/>
      <c r="F367" s="268" t="s">
        <v>1928</v>
      </c>
      <c r="G367" s="268" t="s">
        <v>1252</v>
      </c>
      <c r="H367" s="271">
        <f>'MERGED HEAVY IND'!D2247</f>
        <v>14098</v>
      </c>
      <c r="I367" s="332">
        <f>'MERGED HEAVY IND'!H2247</f>
        <v>65367.5</v>
      </c>
      <c r="J367" s="332">
        <f>'MERGED HEAVY IND'!H2246</f>
        <v>5355</v>
      </c>
      <c r="K367" s="270">
        <f>'MERGED HEAVY IND'!H2248</f>
        <v>70722.5</v>
      </c>
      <c r="L367">
        <v>5972</v>
      </c>
    </row>
    <row r="368" spans="1:12" x14ac:dyDescent="0.3">
      <c r="A368" s="266"/>
      <c r="B368" s="277"/>
      <c r="C368" s="319"/>
      <c r="D368" s="268"/>
      <c r="E368" s="268"/>
      <c r="F368" s="268"/>
      <c r="G368" s="268"/>
      <c r="H368" s="271"/>
      <c r="I368" s="332"/>
      <c r="J368" s="332"/>
      <c r="K368" s="270"/>
    </row>
    <row r="369" spans="1:12" x14ac:dyDescent="0.3">
      <c r="A369" s="266">
        <f t="shared" si="1"/>
        <v>175</v>
      </c>
      <c r="B369" s="277">
        <f>'MERGED HEAVY IND'!B2242</f>
        <v>5973</v>
      </c>
      <c r="C369" s="319">
        <v>23022900</v>
      </c>
      <c r="D369" s="268" t="str">
        <f>'MERGED HEAVY IND'!E2242</f>
        <v>REA</v>
      </c>
      <c r="E369" s="292"/>
      <c r="F369" s="268" t="s">
        <v>1928</v>
      </c>
      <c r="G369" s="268" t="s">
        <v>1277</v>
      </c>
      <c r="H369" s="271">
        <f>'MERGED HEAVY IND'!D2247</f>
        <v>14098</v>
      </c>
      <c r="I369" s="332">
        <f>'MERGED HEAVY IND'!H2247</f>
        <v>65367.5</v>
      </c>
      <c r="J369" s="332">
        <f>'MERGED HEAVY IND'!H2246</f>
        <v>5355</v>
      </c>
      <c r="K369" s="270">
        <f>'MERGED HEAVY IND'!H2248</f>
        <v>70722.5</v>
      </c>
      <c r="L369">
        <v>5973</v>
      </c>
    </row>
    <row r="370" spans="1:12" x14ac:dyDescent="0.3">
      <c r="A370" s="266"/>
      <c r="B370" s="277"/>
      <c r="C370" s="319"/>
      <c r="D370" s="268"/>
      <c r="E370" s="268"/>
      <c r="F370" s="268"/>
      <c r="G370" s="268"/>
      <c r="H370" s="271"/>
      <c r="I370" s="332"/>
      <c r="J370" s="332"/>
      <c r="K370" s="270"/>
    </row>
    <row r="371" spans="1:12" ht="28.8" x14ac:dyDescent="0.3">
      <c r="A371" s="266">
        <f t="shared" si="1"/>
        <v>176</v>
      </c>
      <c r="B371" s="277" t="str">
        <f>'MERGED HEAVY IND'!B2249</f>
        <v>R/E OF 5974</v>
      </c>
      <c r="C371" s="319"/>
      <c r="D371" s="268" t="str">
        <f>'MERGED HEAVY IND'!E2249</f>
        <v>HOWCALL INVESTMENTS P/L</v>
      </c>
      <c r="E371" s="292"/>
      <c r="F371" s="268" t="s">
        <v>1928</v>
      </c>
      <c r="G371" s="268" t="s">
        <v>1252</v>
      </c>
      <c r="H371" s="271">
        <f>'MERGED HEAVY IND'!D2254</f>
        <v>4073</v>
      </c>
      <c r="I371" s="332">
        <f>'MERGED HEAVY IND'!H2254</f>
        <v>20365</v>
      </c>
      <c r="J371" s="332">
        <f>'MERGED HEAVY IND'!H2253</f>
        <v>40056</v>
      </c>
      <c r="K371" s="270">
        <f>'MERGED HEAVY IND'!H2255</f>
        <v>60421</v>
      </c>
      <c r="L371" t="s">
        <v>1864</v>
      </c>
    </row>
    <row r="372" spans="1:12" x14ac:dyDescent="0.3">
      <c r="A372" s="266"/>
      <c r="B372" s="277"/>
      <c r="C372" s="319"/>
      <c r="D372" s="268"/>
      <c r="E372" s="268"/>
      <c r="F372" s="268"/>
      <c r="G372" s="268"/>
      <c r="H372" s="271"/>
      <c r="I372" s="332"/>
      <c r="J372" s="332"/>
      <c r="K372" s="270"/>
    </row>
    <row r="373" spans="1:12" ht="43.2" x14ac:dyDescent="0.3">
      <c r="A373" s="266">
        <f t="shared" si="1"/>
        <v>177</v>
      </c>
      <c r="B373" s="277" t="str">
        <f>'MERGED HEAVY IND'!B2256</f>
        <v>10705 MUTARE T/SHIP OF 5974 MUTARE T/SHIP</v>
      </c>
      <c r="C373" s="319">
        <v>23018401</v>
      </c>
      <c r="D373" s="268" t="str">
        <f>'MERGED HEAVY IND'!E2256</f>
        <v>RAMOUNT TRADING P/L</v>
      </c>
      <c r="E373" s="292"/>
      <c r="F373" s="268" t="s">
        <v>1928</v>
      </c>
      <c r="G373" s="268" t="s">
        <v>1252</v>
      </c>
      <c r="H373" s="271">
        <f>'MERGED HEAVY IND'!D2261</f>
        <v>7373</v>
      </c>
      <c r="I373" s="332">
        <f>'MERGED HEAVY IND'!H2261</f>
        <v>36865</v>
      </c>
      <c r="J373" s="332">
        <f>'MERGED HEAVY IND'!H2260</f>
        <v>60345.000000000007</v>
      </c>
      <c r="K373" s="270">
        <f>'MERGED HEAVY IND'!H2262</f>
        <v>97210</v>
      </c>
      <c r="L373" t="s">
        <v>1865</v>
      </c>
    </row>
    <row r="374" spans="1:12" x14ac:dyDescent="0.3">
      <c r="A374" s="266"/>
      <c r="B374" s="277"/>
      <c r="C374" s="319"/>
      <c r="D374" s="268"/>
      <c r="E374" s="268"/>
      <c r="F374" s="268"/>
      <c r="G374" s="268"/>
      <c r="H374" s="271"/>
      <c r="I374" s="332"/>
      <c r="J374" s="332"/>
      <c r="K374" s="270"/>
    </row>
    <row r="375" spans="1:12" ht="43.2" x14ac:dyDescent="0.3">
      <c r="A375" s="266">
        <f t="shared" si="1"/>
        <v>178</v>
      </c>
      <c r="B375" s="277" t="str">
        <f>'MERGED HEAVY IND'!B2263</f>
        <v>10706 MUTARE T/SHIP OF 5974 MUTARE T/SHIP</v>
      </c>
      <c r="C375" s="319">
        <v>23019000</v>
      </c>
      <c r="D375" s="268" t="str">
        <f>'MERGED HEAVY IND'!E2263</f>
        <v>VETAS P/L</v>
      </c>
      <c r="E375" s="268"/>
      <c r="F375" s="268" t="s">
        <v>1928</v>
      </c>
      <c r="G375" s="268" t="s">
        <v>1252</v>
      </c>
      <c r="H375" s="271">
        <f>'MERGED HEAVY IND'!D2268</f>
        <v>6139</v>
      </c>
      <c r="I375" s="332">
        <f>'MERGED HEAVY IND'!H2268</f>
        <v>30695</v>
      </c>
      <c r="J375" s="332">
        <f>'MERGED HEAVY IND'!H2267</f>
        <v>9193.5</v>
      </c>
      <c r="K375" s="270">
        <f>'MERGED HEAVY IND'!H2269</f>
        <v>39888.5</v>
      </c>
      <c r="L375" t="s">
        <v>1866</v>
      </c>
    </row>
    <row r="376" spans="1:12" x14ac:dyDescent="0.3">
      <c r="A376" s="266"/>
      <c r="B376" s="277"/>
      <c r="C376" s="319"/>
      <c r="D376" s="268"/>
      <c r="E376" s="268"/>
      <c r="F376" s="268"/>
      <c r="G376" s="268"/>
      <c r="H376" s="271"/>
      <c r="I376" s="332"/>
      <c r="J376" s="332"/>
      <c r="K376" s="270"/>
    </row>
    <row r="377" spans="1:12" ht="28.8" x14ac:dyDescent="0.3">
      <c r="A377" s="266">
        <f t="shared" si="1"/>
        <v>179</v>
      </c>
      <c r="B377" s="277">
        <f>'MERGED HEAVY IND'!B2270</f>
        <v>5975</v>
      </c>
      <c r="C377" s="319">
        <v>23038400</v>
      </c>
      <c r="D377" s="268" t="str">
        <f>'MERGED HEAVY IND'!E2270</f>
        <v>ADVANCE PANEL BEATERS P/L</v>
      </c>
      <c r="E377" s="268" t="str">
        <f>'MERGED HEAVY IND'!C2270</f>
        <v>CHINYAKUREMBA ROAD</v>
      </c>
      <c r="F377" s="268" t="s">
        <v>1928</v>
      </c>
      <c r="G377" s="268" t="s">
        <v>1299</v>
      </c>
      <c r="H377" s="271">
        <f>'MERGED HEAVY IND'!D2277</f>
        <v>14805</v>
      </c>
      <c r="I377" s="332">
        <f>'MERGED HEAVY IND'!H2277</f>
        <v>68018.75</v>
      </c>
      <c r="J377" s="332">
        <f>'MERGED HEAVY IND'!H2276</f>
        <v>5053.88</v>
      </c>
      <c r="K377" s="270">
        <f>'MERGED HEAVY IND'!H2278</f>
        <v>70763.75</v>
      </c>
      <c r="L377">
        <v>5975</v>
      </c>
    </row>
    <row r="378" spans="1:12" x14ac:dyDescent="0.3">
      <c r="A378" s="266"/>
      <c r="B378" s="277"/>
      <c r="C378" s="319"/>
      <c r="D378" s="268"/>
      <c r="E378" s="268"/>
      <c r="F378" s="268"/>
      <c r="G378" s="268"/>
      <c r="H378" s="271"/>
      <c r="I378" s="332"/>
      <c r="J378" s="332"/>
      <c r="K378" s="270"/>
    </row>
    <row r="379" spans="1:12" ht="28.8" x14ac:dyDescent="0.3">
      <c r="A379" s="266">
        <f t="shared" si="1"/>
        <v>180</v>
      </c>
      <c r="B379" s="277">
        <f>'MERGED HEAVY IND'!B2279</f>
        <v>5976</v>
      </c>
      <c r="C379" s="319">
        <v>23597600</v>
      </c>
      <c r="D379" s="268" t="str">
        <f>'MERGED HEAVY IND'!E2279</f>
        <v>TAURAYI MURAPA T/A TTC</v>
      </c>
      <c r="E379" s="268"/>
      <c r="F379" s="268" t="s">
        <v>1928</v>
      </c>
      <c r="G379" s="268" t="s">
        <v>1252</v>
      </c>
      <c r="H379" s="271">
        <f>'MERGED HEAVY IND'!D2285</f>
        <v>21808</v>
      </c>
      <c r="I379" s="332">
        <f>'MERGED HEAVY IND'!H2285</f>
        <v>92020</v>
      </c>
      <c r="J379" s="332">
        <f>'MERGED HEAVY IND'!H2284</f>
        <v>104437.5</v>
      </c>
      <c r="K379" s="270">
        <f>'MERGED HEAVY IND'!H2286</f>
        <v>196457.5</v>
      </c>
      <c r="L379">
        <v>5976</v>
      </c>
    </row>
    <row r="380" spans="1:12" x14ac:dyDescent="0.3">
      <c r="A380" s="266"/>
      <c r="B380" s="277"/>
      <c r="C380" s="319"/>
      <c r="D380" s="268"/>
      <c r="E380" s="268"/>
      <c r="F380" s="268"/>
      <c r="G380" s="268"/>
      <c r="H380" s="271"/>
      <c r="I380" s="332"/>
      <c r="J380" s="332"/>
      <c r="K380" s="270"/>
    </row>
    <row r="381" spans="1:12" ht="28.8" x14ac:dyDescent="0.3">
      <c r="A381" s="266">
        <f t="shared" si="1"/>
        <v>181</v>
      </c>
      <c r="B381" s="277">
        <f>'MERGED HEAVY IND'!B2287</f>
        <v>5977</v>
      </c>
      <c r="C381" s="319">
        <v>23597701</v>
      </c>
      <c r="D381" s="268" t="str">
        <f>'MERGED HEAVY IND'!E2287</f>
        <v>WOODLANDS ENGINEERING P/L</v>
      </c>
      <c r="E381" s="268"/>
      <c r="F381" s="268" t="s">
        <v>1928</v>
      </c>
      <c r="G381" s="268" t="s">
        <v>1252</v>
      </c>
      <c r="H381" s="271">
        <f>'MERGED HEAVY IND'!D2296</f>
        <v>20729</v>
      </c>
      <c r="I381" s="332">
        <f>'MERGED HEAVY IND'!H2296</f>
        <v>89322.5</v>
      </c>
      <c r="J381" s="332">
        <f>'MERGED HEAVY IND'!H2295</f>
        <v>135909.56</v>
      </c>
      <c r="K381" s="270">
        <f>'MERGED HEAVY IND'!H2297</f>
        <v>225232.06</v>
      </c>
      <c r="L381">
        <v>5977</v>
      </c>
    </row>
    <row r="382" spans="1:12" x14ac:dyDescent="0.3">
      <c r="A382" s="266"/>
      <c r="B382" s="277"/>
      <c r="C382" s="319"/>
      <c r="D382" s="268"/>
      <c r="E382" s="268"/>
      <c r="F382" s="268"/>
      <c r="G382" s="268"/>
      <c r="H382" s="271"/>
      <c r="I382" s="332"/>
      <c r="J382" s="332"/>
      <c r="K382" s="270"/>
    </row>
    <row r="383" spans="1:12" x14ac:dyDescent="0.3">
      <c r="A383" s="266">
        <f t="shared" si="1"/>
        <v>182</v>
      </c>
      <c r="B383" s="277">
        <f>'MERGED HEAVY IND'!B2298</f>
        <v>5978</v>
      </c>
      <c r="C383" s="319"/>
      <c r="D383" s="267" t="str">
        <f>'MERGED HEAVY IND'!E2298</f>
        <v>CITY OF MUTARE</v>
      </c>
      <c r="E383" s="268"/>
      <c r="F383" s="268" t="s">
        <v>1928</v>
      </c>
      <c r="G383" s="268" t="s">
        <v>1277</v>
      </c>
      <c r="H383" s="269">
        <f>'MERGED HEAVY IND'!D2302</f>
        <v>15486</v>
      </c>
      <c r="I383" s="332">
        <f>'MERGED HEAVY IND'!H2302</f>
        <v>77430</v>
      </c>
      <c r="J383" s="332">
        <f>'MERGED HEAVY IND'!H2301</f>
        <v>0</v>
      </c>
      <c r="K383" s="270">
        <f>'MERGED HEAVY IND'!H2303</f>
        <v>77430</v>
      </c>
      <c r="L383">
        <v>5978</v>
      </c>
    </row>
    <row r="384" spans="1:12" x14ac:dyDescent="0.3">
      <c r="A384" s="266"/>
      <c r="B384" s="277"/>
      <c r="C384" s="319"/>
      <c r="D384" s="268"/>
      <c r="E384" s="268"/>
      <c r="F384" s="268"/>
      <c r="G384" s="268"/>
      <c r="H384" s="271"/>
      <c r="I384" s="332"/>
      <c r="J384" s="332"/>
      <c r="K384" s="270"/>
    </row>
    <row r="385" spans="1:12" ht="28.8" x14ac:dyDescent="0.3">
      <c r="A385" s="266">
        <f t="shared" si="1"/>
        <v>183</v>
      </c>
      <c r="B385" s="291">
        <f>'MERGED HEAVY IND'!B2304</f>
        <v>5979</v>
      </c>
      <c r="C385" s="319">
        <v>23597902</v>
      </c>
      <c r="D385" s="268" t="str">
        <f>'MERGED HEAVY IND'!E2304</f>
        <v>PARUSUNGAZI</v>
      </c>
      <c r="E385" s="268" t="str">
        <f>'MERGED HEAVY IND'!C2304</f>
        <v>5979 ST HELLENS DRIVE Nyakamete</v>
      </c>
      <c r="F385" s="268" t="s">
        <v>1928</v>
      </c>
      <c r="G385" s="268" t="s">
        <v>1252</v>
      </c>
      <c r="H385" s="271">
        <f>'MERGED HEAVY IND'!D2315</f>
        <v>15486</v>
      </c>
      <c r="I385" s="332">
        <f>'MERGED HEAVY IND'!H2315</f>
        <v>70572.5</v>
      </c>
      <c r="J385" s="332">
        <f>'MERGED HEAVY IND'!H2314</f>
        <v>263765.31999999995</v>
      </c>
      <c r="K385" s="270">
        <f>'MERGED HEAVY IND'!H2316</f>
        <v>334337.81999999995</v>
      </c>
      <c r="L385" s="341">
        <v>5979</v>
      </c>
    </row>
    <row r="386" spans="1:12" x14ac:dyDescent="0.3">
      <c r="A386" s="266"/>
      <c r="B386" s="277"/>
      <c r="C386" s="319"/>
      <c r="D386" s="268"/>
      <c r="E386" s="268"/>
      <c r="F386" s="268"/>
      <c r="G386" s="268"/>
      <c r="H386" s="271"/>
      <c r="I386" s="332"/>
      <c r="J386" s="332"/>
      <c r="K386" s="270"/>
    </row>
    <row r="387" spans="1:12" ht="28.8" x14ac:dyDescent="0.3">
      <c r="A387" s="266">
        <f t="shared" si="1"/>
        <v>184</v>
      </c>
      <c r="B387" s="291">
        <f>'MERGED HEAVY IND'!B2317</f>
        <v>5980</v>
      </c>
      <c r="C387" s="319">
        <v>23017900</v>
      </c>
      <c r="D387" s="268" t="str">
        <f>'MERGED HEAVY IND'!E2317</f>
        <v>MUTARE SIGNS PVT LTD</v>
      </c>
      <c r="E387" s="268" t="str">
        <f>'MERGED HEAVY IND'!C2317</f>
        <v xml:space="preserve">5980 ST HELLENS DRIVE </v>
      </c>
      <c r="F387" s="268" t="s">
        <v>1928</v>
      </c>
      <c r="G387" s="268" t="s">
        <v>1252</v>
      </c>
      <c r="H387" s="271">
        <f>'MERGED HEAVY IND'!D2326</f>
        <v>11590</v>
      </c>
      <c r="I387" s="332">
        <f>'MERGED HEAVY IND'!H2326</f>
        <v>55962.5</v>
      </c>
      <c r="J387" s="332">
        <f>'MERGED HEAVY IND'!H2325</f>
        <v>197365.5</v>
      </c>
      <c r="K387" s="270">
        <f>'MERGED HEAVY IND'!H2327</f>
        <v>253328</v>
      </c>
      <c r="L387" s="341">
        <v>5980</v>
      </c>
    </row>
    <row r="388" spans="1:12" x14ac:dyDescent="0.3">
      <c r="A388" s="266"/>
      <c r="B388" s="277"/>
      <c r="C388" s="319"/>
      <c r="D388" s="268"/>
      <c r="E388" s="268"/>
      <c r="F388" s="268"/>
      <c r="G388" s="268"/>
      <c r="H388" s="271"/>
      <c r="I388" s="332"/>
      <c r="J388" s="332"/>
      <c r="K388" s="270"/>
    </row>
    <row r="389" spans="1:12" ht="43.2" x14ac:dyDescent="0.3">
      <c r="A389" s="266">
        <f t="shared" si="1"/>
        <v>185</v>
      </c>
      <c r="B389" s="277">
        <f>'MERGED HEAVY IND'!B2329</f>
        <v>5981</v>
      </c>
      <c r="C389" s="319">
        <v>23598100</v>
      </c>
      <c r="D389" s="268" t="str">
        <f>'MERGED HEAVY IND'!E2329</f>
        <v>ITWAF ENGINEERING PVT LTD</v>
      </c>
      <c r="E389" s="268" t="str">
        <f>'MERGED HEAVY IND'!C2329</f>
        <v>CHINYAKUREMBA ROAD</v>
      </c>
      <c r="F389" s="268" t="s">
        <v>1928</v>
      </c>
      <c r="G389" s="268" t="s">
        <v>1252</v>
      </c>
      <c r="H389" s="271">
        <f>'MERGED HEAVY IND'!D2334</f>
        <v>11010</v>
      </c>
      <c r="I389" s="332">
        <f>'MERGED HEAVY IND'!H2334</f>
        <v>53787.5</v>
      </c>
      <c r="J389" s="332">
        <f>'MERGED HEAVY IND'!H2333</f>
        <v>155746.79999999999</v>
      </c>
      <c r="K389" s="270">
        <f>'MERGED HEAVY IND'!H2335</f>
        <v>209534.3</v>
      </c>
      <c r="L389">
        <v>5981</v>
      </c>
    </row>
    <row r="390" spans="1:12" x14ac:dyDescent="0.3">
      <c r="A390" s="266"/>
      <c r="B390" s="277"/>
      <c r="C390" s="319"/>
      <c r="D390" s="268"/>
      <c r="E390" s="268"/>
      <c r="F390" s="268"/>
      <c r="G390" s="268"/>
      <c r="H390" s="271"/>
      <c r="I390" s="332"/>
      <c r="J390" s="332"/>
      <c r="K390" s="270"/>
    </row>
    <row r="391" spans="1:12" x14ac:dyDescent="0.3">
      <c r="A391" s="266">
        <f t="shared" si="1"/>
        <v>186</v>
      </c>
      <c r="B391" s="291">
        <f>'MERGED HEAVY IND'!B2336</f>
        <v>5982</v>
      </c>
      <c r="C391" s="319">
        <v>23038500</v>
      </c>
      <c r="D391" s="294" t="str">
        <f>'MERGED HEAVY IND'!E2336</f>
        <v>ITWAF</v>
      </c>
      <c r="E391" s="294" t="str">
        <f>'MERGED HEAVY IND'!C2336</f>
        <v>5981 ST HELLENS DRIVE</v>
      </c>
      <c r="F391" s="268" t="s">
        <v>1928</v>
      </c>
      <c r="G391" s="294" t="s">
        <v>1252</v>
      </c>
      <c r="H391" s="295">
        <f>'MERGED HEAVY IND'!D2343</f>
        <v>8940</v>
      </c>
      <c r="I391" s="332">
        <f>'MERGED HEAVY IND'!H2343</f>
        <v>44700</v>
      </c>
      <c r="J391" s="332">
        <f>'MERGED HEAVY IND'!H2342</f>
        <v>797325.67500000005</v>
      </c>
      <c r="K391" s="270">
        <f>'MERGED HEAVY IND'!H2344</f>
        <v>842025.67500000005</v>
      </c>
      <c r="L391" s="341">
        <v>5982</v>
      </c>
    </row>
    <row r="392" spans="1:12" x14ac:dyDescent="0.3">
      <c r="A392" s="266"/>
      <c r="B392" s="291"/>
      <c r="C392" s="319"/>
      <c r="D392" s="294"/>
      <c r="E392" s="294"/>
      <c r="F392" s="268"/>
      <c r="G392" s="294"/>
      <c r="H392" s="295"/>
      <c r="I392" s="332"/>
      <c r="J392" s="332"/>
      <c r="K392" s="270"/>
      <c r="L392" s="341"/>
    </row>
    <row r="393" spans="1:12" ht="43.2" x14ac:dyDescent="0.3">
      <c r="A393" s="266">
        <f t="shared" si="1"/>
        <v>187</v>
      </c>
      <c r="B393" s="277">
        <f>'MERGED HEAVY IND'!B2345</f>
        <v>5983</v>
      </c>
      <c r="C393" s="319">
        <v>23038600</v>
      </c>
      <c r="D393" s="268" t="str">
        <f>'MERGED HEAVY IND'!E2345</f>
        <v>AGRIPPA MAKADZANGETA T/A GLOBAL PAPERS</v>
      </c>
      <c r="E393" s="268" t="str">
        <f>'MERGED HEAVY IND'!C2345</f>
        <v>ST HELENS DRIVE</v>
      </c>
      <c r="F393" s="268" t="s">
        <v>1928</v>
      </c>
      <c r="G393" s="268" t="s">
        <v>1252</v>
      </c>
      <c r="H393" s="271">
        <f>'MERGED HEAVY IND'!D2353</f>
        <v>13277</v>
      </c>
      <c r="I393" s="332">
        <f>'MERGED HEAVY IND'!H2353</f>
        <v>12288.75</v>
      </c>
      <c r="J393" s="332">
        <f>'MERGED HEAVY IND'!H2352</f>
        <v>233850.60000000003</v>
      </c>
      <c r="K393" s="270">
        <f>'MERGED HEAVY IND'!H2354</f>
        <v>246139.35000000003</v>
      </c>
      <c r="L393">
        <v>5983</v>
      </c>
    </row>
    <row r="394" spans="1:12" x14ac:dyDescent="0.3">
      <c r="A394" s="266"/>
      <c r="B394" s="277"/>
      <c r="C394" s="319"/>
      <c r="D394" s="268"/>
      <c r="E394" s="268"/>
      <c r="F394" s="268"/>
      <c r="G394" s="268"/>
      <c r="H394" s="271"/>
      <c r="I394" s="332"/>
      <c r="J394" s="332"/>
      <c r="K394" s="270"/>
    </row>
    <row r="395" spans="1:12" ht="28.8" x14ac:dyDescent="0.3">
      <c r="A395" s="266">
        <f t="shared" si="1"/>
        <v>188</v>
      </c>
      <c r="B395" s="266">
        <f>'MERGED HEAVY IND'!B2356</f>
        <v>5984</v>
      </c>
      <c r="C395" s="323">
        <v>23598400</v>
      </c>
      <c r="D395" s="268" t="str">
        <f>'MERGED HEAVY IND'!E2356</f>
        <v>SAVIOUR KASUKUWERE</v>
      </c>
      <c r="E395" s="268" t="str">
        <f>'MERGED HEAVY IND'!C2356</f>
        <v>CHINYAKUREMBA ROAD</v>
      </c>
      <c r="F395" s="268" t="s">
        <v>1928</v>
      </c>
      <c r="G395" s="268"/>
      <c r="H395" s="271">
        <f>'MERGED HEAVY IND'!D2360</f>
        <v>12025</v>
      </c>
      <c r="I395" s="332">
        <f>'MERGED HEAVY IND'!H2360</f>
        <v>57593.75</v>
      </c>
      <c r="J395" s="332">
        <f>'MERGED HEAVY IND'!H2359</f>
        <v>9000</v>
      </c>
      <c r="K395" s="270">
        <f>'MERGED HEAVY IND'!H2361</f>
        <v>66593.75</v>
      </c>
      <c r="L395">
        <v>5984</v>
      </c>
    </row>
    <row r="396" spans="1:12" x14ac:dyDescent="0.3">
      <c r="A396" s="266"/>
      <c r="B396" s="266"/>
      <c r="C396" s="323"/>
      <c r="D396" s="268"/>
      <c r="E396" s="268"/>
      <c r="F396" s="268"/>
      <c r="G396" s="268"/>
      <c r="H396" s="271"/>
      <c r="I396" s="332"/>
      <c r="J396" s="332"/>
      <c r="K396" s="270"/>
    </row>
    <row r="397" spans="1:12" ht="28.8" x14ac:dyDescent="0.3">
      <c r="A397" s="266">
        <f t="shared" si="1"/>
        <v>189</v>
      </c>
      <c r="B397" s="266">
        <f>'MERGED HEAVY IND'!B2362</f>
        <v>5985</v>
      </c>
      <c r="C397" s="323">
        <v>23018200</v>
      </c>
      <c r="D397" s="268" t="str">
        <f>'MERGED HEAVY IND'!E2362</f>
        <v>D. PASIRAYI</v>
      </c>
      <c r="E397" s="268" t="str">
        <f>'MERGED HEAVY IND'!C2362</f>
        <v>CHINYAKUREMBA ROAD</v>
      </c>
      <c r="F397" s="268" t="s">
        <v>1928</v>
      </c>
      <c r="G397" s="268" t="s">
        <v>1252</v>
      </c>
      <c r="H397" s="271">
        <f>'MERGED HEAVY IND'!D2367</f>
        <v>10500</v>
      </c>
      <c r="I397" s="332">
        <f>'MERGED HEAVY IND'!H2367</f>
        <v>51875</v>
      </c>
      <c r="J397" s="332">
        <f>'MERGED HEAVY IND'!H2366</f>
        <v>15150</v>
      </c>
      <c r="K397" s="270">
        <f>'MERGED HEAVY IND'!H2368</f>
        <v>67025</v>
      </c>
      <c r="L397">
        <v>5985</v>
      </c>
    </row>
    <row r="398" spans="1:12" x14ac:dyDescent="0.3">
      <c r="A398" s="266"/>
      <c r="B398" s="266"/>
      <c r="C398" s="323"/>
      <c r="D398" s="268"/>
      <c r="E398" s="268"/>
      <c r="F398" s="268"/>
      <c r="G398" s="268"/>
      <c r="H398" s="271"/>
      <c r="I398" s="332"/>
      <c r="J398" s="332"/>
      <c r="K398" s="270"/>
    </row>
    <row r="399" spans="1:12" ht="28.8" x14ac:dyDescent="0.3">
      <c r="A399" s="266">
        <f t="shared" si="1"/>
        <v>190</v>
      </c>
      <c r="B399" s="266">
        <f>'MERGED HEAVY IND'!B2369</f>
        <v>5986</v>
      </c>
      <c r="C399" s="323">
        <v>23598600</v>
      </c>
      <c r="D399" s="268" t="str">
        <f>'MERGED HEAVY IND'!E2369</f>
        <v>PASCA GWARADA</v>
      </c>
      <c r="E399" s="268" t="str">
        <f>'MERGED HEAVY IND'!C2369</f>
        <v>CHINYAKUREMBA ROAD</v>
      </c>
      <c r="F399" s="268" t="s">
        <v>1928</v>
      </c>
      <c r="G399" s="268" t="s">
        <v>1252</v>
      </c>
      <c r="H399" s="271">
        <f>'MERGED HEAVY IND'!D2380</f>
        <v>10574</v>
      </c>
      <c r="I399" s="332">
        <f>'MERGED HEAVY IND'!H2380</f>
        <v>52152.5</v>
      </c>
      <c r="J399" s="332">
        <f>'MERGED HEAVY IND'!H2379</f>
        <v>10147.75</v>
      </c>
      <c r="K399" s="270">
        <f>'MERGED HEAVY IND'!H2381</f>
        <v>62300.25</v>
      </c>
      <c r="L399">
        <v>5986</v>
      </c>
    </row>
    <row r="400" spans="1:12" x14ac:dyDescent="0.3">
      <c r="A400" s="266"/>
      <c r="B400" s="266"/>
      <c r="C400" s="323"/>
      <c r="D400" s="268"/>
      <c r="E400" s="268"/>
      <c r="F400" s="268"/>
      <c r="G400" s="268"/>
      <c r="H400" s="271"/>
      <c r="I400" s="332"/>
      <c r="J400" s="332"/>
      <c r="K400" s="270"/>
    </row>
    <row r="401" spans="1:12" ht="28.8" x14ac:dyDescent="0.3">
      <c r="A401" s="266">
        <f t="shared" ref="A401:A463" si="2">A399+1</f>
        <v>191</v>
      </c>
      <c r="B401" s="266">
        <f>'MERGED HEAVY IND'!B2382</f>
        <v>5987</v>
      </c>
      <c r="C401" s="323"/>
      <c r="D401" s="268" t="str">
        <f>'MERGED HEAVY IND'!E2382</f>
        <v>PASCA GWARADA</v>
      </c>
      <c r="E401" s="268" t="str">
        <f>'MERGED HEAVY IND'!C2382</f>
        <v>CHINYAKUREMBA ROAD</v>
      </c>
      <c r="F401" s="268" t="s">
        <v>1928</v>
      </c>
      <c r="G401" s="268" t="s">
        <v>1252</v>
      </c>
      <c r="H401" s="271">
        <f>'MERGED HEAVY IND'!D2387</f>
        <v>13335</v>
      </c>
      <c r="I401" s="332">
        <f>'MERGED HEAVY IND'!H2387</f>
        <v>62506.25</v>
      </c>
      <c r="J401" s="332">
        <f>'MERGED HEAVY IND'!H2386</f>
        <v>6900</v>
      </c>
      <c r="K401" s="270">
        <f>'MERGED HEAVY IND'!H2388</f>
        <v>69406.25</v>
      </c>
      <c r="L401">
        <v>5987</v>
      </c>
    </row>
    <row r="402" spans="1:12" x14ac:dyDescent="0.3">
      <c r="A402" s="266"/>
      <c r="B402" s="266"/>
      <c r="C402" s="323"/>
      <c r="D402" s="268"/>
      <c r="E402" s="268"/>
      <c r="F402" s="268"/>
      <c r="G402" s="268"/>
      <c r="H402" s="271"/>
      <c r="I402" s="332"/>
      <c r="J402" s="332"/>
      <c r="K402" s="270"/>
    </row>
    <row r="403" spans="1:12" ht="28.8" x14ac:dyDescent="0.3">
      <c r="A403" s="266">
        <f t="shared" si="2"/>
        <v>192</v>
      </c>
      <c r="B403" s="266">
        <v>5987</v>
      </c>
      <c r="C403" s="323">
        <v>23040100</v>
      </c>
      <c r="D403" s="268" t="str">
        <f>'MERGED HEAVY IND'!D2389</f>
        <v>A. MANJEYA</v>
      </c>
      <c r="E403" s="268" t="str">
        <f>'MERGED HEAVY IND'!C2389</f>
        <v>CHINYAKUREMBA ROAD</v>
      </c>
      <c r="F403" s="268" t="s">
        <v>1928</v>
      </c>
      <c r="G403" s="268" t="s">
        <v>1990</v>
      </c>
      <c r="H403" s="271">
        <f>'MERGED HEAVY IND'!D2393</f>
        <v>9901</v>
      </c>
      <c r="I403" s="332">
        <f>'MERGED HEAVY IND'!H2393</f>
        <v>49505</v>
      </c>
      <c r="J403" s="332">
        <f>'MERGED HEAVY IND'!H2392</f>
        <v>6480.0000000000055</v>
      </c>
      <c r="K403" s="270">
        <f>'MERGED HEAVY IND'!H2394</f>
        <v>55985.000000000007</v>
      </c>
      <c r="L403">
        <v>5987</v>
      </c>
    </row>
    <row r="404" spans="1:12" x14ac:dyDescent="0.3">
      <c r="A404" s="266"/>
      <c r="B404" s="266"/>
      <c r="C404" s="323"/>
      <c r="D404" s="268"/>
      <c r="E404" s="268"/>
      <c r="F404" s="268"/>
      <c r="G404" s="268"/>
      <c r="H404" s="271"/>
      <c r="I404" s="332"/>
      <c r="J404" s="332"/>
      <c r="K404" s="270"/>
    </row>
    <row r="405" spans="1:12" ht="57.6" x14ac:dyDescent="0.3">
      <c r="A405" s="266">
        <f t="shared" si="2"/>
        <v>193</v>
      </c>
      <c r="B405" s="266">
        <v>5989</v>
      </c>
      <c r="C405" s="323">
        <v>23038700</v>
      </c>
      <c r="D405" s="268" t="str">
        <f>'MERGED HEAVY IND'!E2395</f>
        <v>AFFIRMATIVE ACTION PARTNERSHIP PROJECT</v>
      </c>
      <c r="E405" s="268" t="str">
        <f>'MERGED HEAVY IND'!C2395</f>
        <v>CHINYAKUREMBA ROAD</v>
      </c>
      <c r="F405" s="268" t="s">
        <v>1928</v>
      </c>
      <c r="G405" s="268" t="s">
        <v>1277</v>
      </c>
      <c r="H405" s="271">
        <f>'MERGED HEAVY IND'!D2399</f>
        <v>10500</v>
      </c>
      <c r="I405" s="332">
        <f>'MERGED HEAVY IND'!H2399</f>
        <v>51875</v>
      </c>
      <c r="J405" s="332">
        <f>'MERGED HEAVY IND'!H2398</f>
        <v>0</v>
      </c>
      <c r="K405" s="270">
        <f>'MERGED HEAVY IND'!H2400</f>
        <v>51875</v>
      </c>
      <c r="L405">
        <v>5989</v>
      </c>
    </row>
    <row r="406" spans="1:12" x14ac:dyDescent="0.3">
      <c r="A406" s="266"/>
      <c r="B406" s="266"/>
      <c r="C406" s="323"/>
      <c r="D406" s="268"/>
      <c r="E406" s="268"/>
      <c r="F406" s="268"/>
      <c r="G406" s="268"/>
      <c r="H406" s="271"/>
      <c r="I406" s="332"/>
      <c r="J406" s="332"/>
      <c r="K406" s="270"/>
    </row>
    <row r="407" spans="1:12" ht="28.8" x14ac:dyDescent="0.3">
      <c r="A407" s="266">
        <f t="shared" si="2"/>
        <v>194</v>
      </c>
      <c r="B407" s="266">
        <f>'MERGED HEAVY IND'!B2401</f>
        <v>5990</v>
      </c>
      <c r="C407" s="323">
        <v>23020300</v>
      </c>
      <c r="D407" s="268" t="str">
        <f>'MERGED HEAVY IND'!E2401</f>
        <v>E.K MUKOPFA</v>
      </c>
      <c r="E407" s="268" t="str">
        <f>'MERGED HEAVY IND'!C2401</f>
        <v>CHINYAKUREMBA ROAD</v>
      </c>
      <c r="F407" s="268" t="s">
        <v>1928</v>
      </c>
      <c r="G407" s="268" t="s">
        <v>1252</v>
      </c>
      <c r="H407" s="271">
        <f>'MERGED HEAVY IND'!D2407</f>
        <v>10500</v>
      </c>
      <c r="I407" s="332">
        <f>'MERGED HEAVY IND'!H2407</f>
        <v>51875</v>
      </c>
      <c r="J407" s="332">
        <f>'MERGED HEAVY IND'!H2406</f>
        <v>37677.5</v>
      </c>
      <c r="K407" s="270">
        <f>'MERGED HEAVY IND'!H2408</f>
        <v>89552.5</v>
      </c>
      <c r="L407">
        <v>5990</v>
      </c>
    </row>
    <row r="408" spans="1:12" x14ac:dyDescent="0.3">
      <c r="A408" s="266"/>
      <c r="B408" s="266"/>
      <c r="C408" s="323"/>
      <c r="D408" s="268"/>
      <c r="E408" s="268"/>
      <c r="F408" s="268"/>
      <c r="G408" s="268"/>
      <c r="H408" s="271"/>
      <c r="I408" s="332"/>
      <c r="J408" s="332"/>
      <c r="K408" s="270"/>
    </row>
    <row r="409" spans="1:12" ht="28.8" x14ac:dyDescent="0.3">
      <c r="A409" s="266">
        <f t="shared" si="2"/>
        <v>195</v>
      </c>
      <c r="B409" s="266">
        <f>'MERGED HEAVY IND'!B2410</f>
        <v>5991</v>
      </c>
      <c r="C409" s="323">
        <v>23020400</v>
      </c>
      <c r="D409" s="268" t="str">
        <f>'MERGED HEAVY IND'!E2410</f>
        <v>M. HAMADZIRIPI</v>
      </c>
      <c r="E409" s="268" t="str">
        <f>'MERGED HEAVY IND'!C2410</f>
        <v>CHINYAKUREMBA ROAD</v>
      </c>
      <c r="F409" s="268" t="s">
        <v>1928</v>
      </c>
      <c r="G409" s="268" t="s">
        <v>1252</v>
      </c>
      <c r="H409" s="271">
        <f>'MERGED HEAVY IND'!D2418</f>
        <v>12025</v>
      </c>
      <c r="I409" s="332">
        <f>'MERGED HEAVY IND'!H2418</f>
        <v>57593.75</v>
      </c>
      <c r="J409" s="332">
        <f>'MERGED HEAVY IND'!H2417</f>
        <v>75920</v>
      </c>
      <c r="K409" s="270">
        <f>'MERGED HEAVY IND'!H2419</f>
        <v>133513.75</v>
      </c>
      <c r="L409">
        <v>5991</v>
      </c>
    </row>
    <row r="410" spans="1:12" x14ac:dyDescent="0.3">
      <c r="A410" s="266"/>
      <c r="B410" s="266"/>
      <c r="C410" s="323"/>
      <c r="D410" s="268"/>
      <c r="E410" s="268"/>
      <c r="F410" s="268"/>
      <c r="G410" s="268"/>
      <c r="H410" s="271"/>
      <c r="I410" s="332"/>
      <c r="J410" s="332"/>
      <c r="K410" s="270"/>
    </row>
    <row r="411" spans="1:12" x14ac:dyDescent="0.3">
      <c r="A411" s="266">
        <f t="shared" si="2"/>
        <v>196</v>
      </c>
      <c r="B411" s="266">
        <f>'MERGED HEAVY IND'!B2421</f>
        <v>5992</v>
      </c>
      <c r="C411" s="323">
        <v>23599203</v>
      </c>
      <c r="D411" s="268" t="str">
        <f>'MERGED HEAVY IND'!E2421</f>
        <v>J.Z. ZINZOU</v>
      </c>
      <c r="E411" s="268" t="str">
        <f>'MERGED HEAVY IND'!C2421</f>
        <v>MUDUMA CRESCENT</v>
      </c>
      <c r="F411" s="268" t="s">
        <v>1928</v>
      </c>
      <c r="G411" s="268" t="s">
        <v>1252</v>
      </c>
      <c r="H411" s="271">
        <f>'MERGED HEAVY IND'!D2427</f>
        <v>12025</v>
      </c>
      <c r="I411" s="332">
        <f>'MERGED HEAVY IND'!H2427</f>
        <v>57593.75</v>
      </c>
      <c r="J411" s="332">
        <f>'MERGED HEAVY IND'!H2426</f>
        <v>38993.64</v>
      </c>
      <c r="K411" s="270">
        <f>'MERGED HEAVY IND'!H2428</f>
        <v>96587.39</v>
      </c>
      <c r="L411">
        <v>5992</v>
      </c>
    </row>
    <row r="412" spans="1:12" x14ac:dyDescent="0.3">
      <c r="A412" s="266"/>
      <c r="B412" s="266"/>
      <c r="C412" s="323"/>
      <c r="D412" s="268"/>
      <c r="E412" s="268"/>
      <c r="F412" s="268"/>
      <c r="G412" s="268"/>
      <c r="H412" s="271"/>
      <c r="I412" s="332"/>
      <c r="J412" s="332"/>
      <c r="K412" s="270"/>
    </row>
    <row r="413" spans="1:12" ht="28.8" x14ac:dyDescent="0.3">
      <c r="A413" s="266">
        <f t="shared" si="2"/>
        <v>197</v>
      </c>
      <c r="B413" s="266">
        <f>'MERGED HEAVY IND'!B2429</f>
        <v>5993</v>
      </c>
      <c r="C413" s="323">
        <v>23599300</v>
      </c>
      <c r="D413" s="268" t="str">
        <f>'MERGED HEAVY IND'!E2429</f>
        <v>EAGLE PANEL BEATERS</v>
      </c>
      <c r="E413" s="268" t="str">
        <f>'MERGED HEAVY IND'!C2429</f>
        <v>MUDUMA CRESCENT</v>
      </c>
      <c r="F413" s="268" t="s">
        <v>1928</v>
      </c>
      <c r="G413" s="268" t="s">
        <v>1252</v>
      </c>
      <c r="H413" s="271">
        <f>'MERGED HEAVY IND'!D2436</f>
        <v>10500</v>
      </c>
      <c r="I413" s="332">
        <f>'MERGED HEAVY IND'!H2436</f>
        <v>51875</v>
      </c>
      <c r="J413" s="332">
        <f>'MERGED HEAVY IND'!H2435</f>
        <v>71557.38</v>
      </c>
      <c r="K413" s="270">
        <f>'MERGED HEAVY IND'!H2437</f>
        <v>123432.38</v>
      </c>
      <c r="L413">
        <v>5993</v>
      </c>
    </row>
    <row r="414" spans="1:12" x14ac:dyDescent="0.3">
      <c r="A414" s="266"/>
      <c r="B414" s="266"/>
      <c r="C414" s="323"/>
      <c r="D414" s="268"/>
      <c r="E414" s="268"/>
      <c r="F414" s="268"/>
      <c r="G414" s="268"/>
      <c r="H414" s="271"/>
      <c r="I414" s="332"/>
      <c r="J414" s="332"/>
      <c r="K414" s="270"/>
    </row>
    <row r="415" spans="1:12" x14ac:dyDescent="0.3">
      <c r="A415" s="266">
        <f t="shared" si="2"/>
        <v>198</v>
      </c>
      <c r="B415" s="266">
        <f>'MERGED HEAVY IND'!B2438</f>
        <v>5994</v>
      </c>
      <c r="C415" s="323">
        <v>23599400</v>
      </c>
      <c r="D415" s="267" t="str">
        <f>'MERGED HEAVY IND'!F2438</f>
        <v>SHATO GRAM P/L</v>
      </c>
      <c r="E415" s="268" t="str">
        <f>'MERGED HEAVY IND'!C2438</f>
        <v>5994 MUDUMA</v>
      </c>
      <c r="F415" s="268" t="s">
        <v>1928</v>
      </c>
      <c r="G415" s="268" t="s">
        <v>1252</v>
      </c>
      <c r="H415" s="271">
        <f>'MERGED HEAVY IND'!D2442</f>
        <v>10500</v>
      </c>
      <c r="I415" s="332">
        <f>'MERGED HEAVY IND'!H2442</f>
        <v>51875</v>
      </c>
      <c r="J415" s="332">
        <f>'MERGED HEAVY IND'!H2441</f>
        <v>177292.5</v>
      </c>
      <c r="K415" s="270">
        <f>'MERGED HEAVY IND'!H2443</f>
        <v>229167.5</v>
      </c>
      <c r="L415">
        <v>5994</v>
      </c>
    </row>
    <row r="416" spans="1:12" x14ac:dyDescent="0.3">
      <c r="A416" s="266"/>
      <c r="B416" s="266"/>
      <c r="C416" s="323"/>
      <c r="D416" s="268"/>
      <c r="E416" s="268"/>
      <c r="F416" s="268"/>
      <c r="G416" s="268"/>
      <c r="H416" s="271"/>
      <c r="I416" s="332"/>
      <c r="J416" s="332"/>
      <c r="K416" s="270"/>
    </row>
    <row r="417" spans="1:12" ht="28.8" x14ac:dyDescent="0.3">
      <c r="A417" s="266">
        <f t="shared" si="2"/>
        <v>199</v>
      </c>
      <c r="B417" s="266">
        <f>'MERGED HEAVY IND'!B2445</f>
        <v>5995</v>
      </c>
      <c r="C417" s="323">
        <v>23599501</v>
      </c>
      <c r="D417" s="268" t="str">
        <f>'MERGED HEAVY IND'!E2445</f>
        <v>NORBRACK INVESTMENTS</v>
      </c>
      <c r="E417" s="268"/>
      <c r="F417" s="268" t="s">
        <v>1928</v>
      </c>
      <c r="G417" s="268" t="s">
        <v>1252</v>
      </c>
      <c r="H417" s="271">
        <f>'MERGED HEAVY IND'!D2452</f>
        <v>14015</v>
      </c>
      <c r="I417" s="332">
        <f>'MERGED HEAVY IND'!H2452</f>
        <v>65056.25</v>
      </c>
      <c r="J417" s="332">
        <f>'MERGED HEAVY IND'!H2451</f>
        <v>228349.89</v>
      </c>
      <c r="K417" s="270">
        <f>'MERGED HEAVY IND'!H2453</f>
        <v>293406.14</v>
      </c>
      <c r="L417">
        <v>5995</v>
      </c>
    </row>
    <row r="418" spans="1:12" x14ac:dyDescent="0.3">
      <c r="A418" s="266"/>
      <c r="B418" s="266"/>
      <c r="C418" s="323"/>
      <c r="D418" s="268"/>
      <c r="E418" s="268"/>
      <c r="F418" s="268"/>
      <c r="G418" s="268"/>
      <c r="H418" s="271"/>
      <c r="I418" s="332"/>
      <c r="J418" s="332"/>
      <c r="K418" s="270"/>
    </row>
    <row r="419" spans="1:12" ht="28.8" x14ac:dyDescent="0.3">
      <c r="A419" s="266">
        <f t="shared" si="2"/>
        <v>200</v>
      </c>
      <c r="B419" s="266">
        <f>'MERGED HEAVY IND'!B2454</f>
        <v>5996</v>
      </c>
      <c r="C419" s="323">
        <v>23599600</v>
      </c>
      <c r="D419" s="267" t="str">
        <f>'MERGED HEAVY IND'!E2454</f>
        <v>EVERLITE ELECTRICAL</v>
      </c>
      <c r="E419" s="268" t="str">
        <f>'MERGED HEAVY IND'!C2454</f>
        <v>5996 MUDUMA</v>
      </c>
      <c r="F419" s="268" t="s">
        <v>1928</v>
      </c>
      <c r="G419" s="268" t="s">
        <v>1252</v>
      </c>
      <c r="H419" s="271">
        <f>'MERGED HEAVY IND'!D2459</f>
        <v>10253</v>
      </c>
      <c r="I419" s="332">
        <f>'MERGED HEAVY IND'!H2459</f>
        <v>50948.75</v>
      </c>
      <c r="J419" s="332">
        <f>'MERGED HEAVY IND'!H2458</f>
        <v>327375.3</v>
      </c>
      <c r="K419" s="270">
        <f>'MERGED HEAVY IND'!H2460</f>
        <v>378324.05</v>
      </c>
      <c r="L419">
        <v>5996</v>
      </c>
    </row>
    <row r="420" spans="1:12" x14ac:dyDescent="0.3">
      <c r="A420" s="266"/>
      <c r="B420" s="266"/>
      <c r="C420" s="323"/>
      <c r="D420" s="268"/>
      <c r="E420" s="268"/>
      <c r="F420" s="268"/>
      <c r="G420" s="268"/>
      <c r="H420" s="271"/>
      <c r="I420" s="332"/>
      <c r="J420" s="332"/>
      <c r="K420" s="270"/>
    </row>
    <row r="421" spans="1:12" x14ac:dyDescent="0.3">
      <c r="A421" s="266">
        <f t="shared" si="2"/>
        <v>201</v>
      </c>
      <c r="B421" s="266">
        <f>'MERGED HEAVY IND'!B2461</f>
        <v>5997</v>
      </c>
      <c r="C421" s="323">
        <v>23042600</v>
      </c>
      <c r="D421" s="267" t="str">
        <f>'MERGED HEAVY IND'!E2461</f>
        <v>SANDO .T</v>
      </c>
      <c r="E421" s="268" t="str">
        <f>'MERGED HEAVY IND'!C2461</f>
        <v>5997 MUDUMA</v>
      </c>
      <c r="F421" s="268" t="s">
        <v>1928</v>
      </c>
      <c r="G421" s="268" t="s">
        <v>1252</v>
      </c>
      <c r="H421" s="271">
        <f>'MERGED HEAVY IND'!D2465</f>
        <v>9279</v>
      </c>
      <c r="I421" s="332">
        <f>'MERGED HEAVY IND'!H2465</f>
        <v>46395</v>
      </c>
      <c r="J421" s="332">
        <f>'MERGED HEAVY IND'!H2464</f>
        <v>9800</v>
      </c>
      <c r="K421" s="270">
        <f>'MERGED HEAVY IND'!H2466</f>
        <v>56195</v>
      </c>
      <c r="L421">
        <v>5997</v>
      </c>
    </row>
    <row r="422" spans="1:12" x14ac:dyDescent="0.3">
      <c r="A422" s="266"/>
      <c r="B422" s="266"/>
      <c r="C422" s="323"/>
      <c r="D422" s="267"/>
      <c r="E422" s="268"/>
      <c r="F422" s="268"/>
      <c r="G422" s="268"/>
      <c r="H422" s="271"/>
      <c r="I422" s="332"/>
      <c r="J422" s="332"/>
      <c r="K422" s="270"/>
    </row>
    <row r="423" spans="1:12" x14ac:dyDescent="0.3">
      <c r="A423" s="266">
        <f t="shared" si="2"/>
        <v>202</v>
      </c>
      <c r="B423" s="266">
        <f>'MERGED HEAVY IND'!B2467</f>
        <v>5998</v>
      </c>
      <c r="C423" s="323">
        <v>23599800</v>
      </c>
      <c r="D423" s="267" t="str">
        <f>'MERGED HEAVY IND'!E2473</f>
        <v>NAYEE BROTHERS</v>
      </c>
      <c r="E423" s="268" t="str">
        <f>'MERGED HEAVY IND'!C2467</f>
        <v>5998 MUDUMA</v>
      </c>
      <c r="F423" s="268" t="s">
        <v>1928</v>
      </c>
      <c r="G423" s="268" t="s">
        <v>1277</v>
      </c>
      <c r="H423" s="271">
        <f>'MERGED HEAVY IND'!D2470</f>
        <v>22789</v>
      </c>
      <c r="I423" s="332">
        <f>'MERGED HEAVY IND'!H2470</f>
        <v>94472.5</v>
      </c>
      <c r="J423" s="332">
        <f>'MERGED HEAVY IND'!H2469</f>
        <v>0</v>
      </c>
      <c r="K423" s="270">
        <f>'MERGED HEAVY IND'!H2471</f>
        <v>94472.5</v>
      </c>
      <c r="L423">
        <v>5998</v>
      </c>
    </row>
    <row r="424" spans="1:12" x14ac:dyDescent="0.3">
      <c r="A424" s="266"/>
      <c r="B424" s="266"/>
      <c r="C424" s="323"/>
      <c r="D424" s="268"/>
      <c r="E424" s="268"/>
      <c r="F424" s="268"/>
      <c r="G424" s="268"/>
      <c r="H424" s="271"/>
      <c r="I424" s="332"/>
      <c r="J424" s="332"/>
      <c r="K424" s="270"/>
    </row>
    <row r="425" spans="1:12" x14ac:dyDescent="0.3">
      <c r="A425" s="266">
        <f t="shared" si="2"/>
        <v>203</v>
      </c>
      <c r="B425" s="266">
        <f>'MERGED HEAVY IND'!B2473</f>
        <v>6001</v>
      </c>
      <c r="C425" s="323">
        <v>23038900</v>
      </c>
      <c r="D425" s="268" t="str">
        <f>'MERGED HEAVY IND'!E2473</f>
        <v>NAYEE BROTHERS</v>
      </c>
      <c r="E425" s="268" t="str">
        <f>'MERGED HEAVY IND'!C2473</f>
        <v>NYAKAMETE ROAD</v>
      </c>
      <c r="F425" s="268" t="s">
        <v>1928</v>
      </c>
      <c r="G425" s="268" t="s">
        <v>1252</v>
      </c>
      <c r="H425" s="271">
        <f>'MERGED HEAVY IND'!D2478</f>
        <v>13317</v>
      </c>
      <c r="I425" s="332">
        <f>'MERGED HEAVY IND'!H2478</f>
        <v>62438.75</v>
      </c>
      <c r="J425" s="332">
        <f>'MERGED HEAVY IND'!H2477</f>
        <v>446520</v>
      </c>
      <c r="K425" s="270">
        <f>'MERGED HEAVY IND'!H2479</f>
        <v>508958.75</v>
      </c>
      <c r="L425">
        <v>6001</v>
      </c>
    </row>
    <row r="426" spans="1:12" x14ac:dyDescent="0.3">
      <c r="A426" s="266"/>
      <c r="B426" s="266"/>
      <c r="C426" s="323"/>
      <c r="D426" s="268"/>
      <c r="E426" s="268"/>
      <c r="F426" s="268"/>
      <c r="G426" s="268"/>
      <c r="H426" s="271"/>
      <c r="I426" s="332"/>
      <c r="J426" s="332"/>
      <c r="K426" s="270"/>
    </row>
    <row r="427" spans="1:12" ht="28.8" x14ac:dyDescent="0.3">
      <c r="A427" s="266">
        <f t="shared" si="2"/>
        <v>204</v>
      </c>
      <c r="B427" s="296">
        <f>'MERGED HEAVY IND'!B2480</f>
        <v>6002</v>
      </c>
      <c r="C427" s="323">
        <v>23600200</v>
      </c>
      <c r="D427" s="268" t="str">
        <f>'MERGED HEAVY IND'!F2480</f>
        <v>SCOAT &amp; CULLBERRY PVT LTD</v>
      </c>
      <c r="E427" s="268" t="str">
        <f>'MERGED HEAVY IND'!C2480</f>
        <v>6002 MUDUMA CRESCENT</v>
      </c>
      <c r="F427" s="268" t="s">
        <v>1928</v>
      </c>
      <c r="G427" s="268" t="s">
        <v>1926</v>
      </c>
      <c r="H427" s="271">
        <f>'MERGED HEAVY IND'!D2484</f>
        <v>13317</v>
      </c>
      <c r="I427" s="332">
        <f>'MERGED HEAVY IND'!H2484</f>
        <v>62438.75</v>
      </c>
      <c r="J427" s="332">
        <f>'MERGED HEAVY IND'!H2483</f>
        <v>3375</v>
      </c>
      <c r="K427" s="270">
        <f>'MERGED HEAVY IND'!H2485</f>
        <v>65813.75</v>
      </c>
      <c r="L427" s="341">
        <v>6002</v>
      </c>
    </row>
    <row r="428" spans="1:12" x14ac:dyDescent="0.3">
      <c r="A428" s="266"/>
      <c r="B428" s="296"/>
      <c r="C428" s="323"/>
      <c r="D428" s="268"/>
      <c r="E428" s="268"/>
      <c r="F428" s="268"/>
      <c r="G428" s="268"/>
      <c r="H428" s="271"/>
      <c r="I428" s="332"/>
      <c r="J428" s="332"/>
      <c r="K428" s="270"/>
      <c r="L428" s="341"/>
    </row>
    <row r="429" spans="1:12" x14ac:dyDescent="0.3">
      <c r="A429" s="266">
        <f t="shared" si="2"/>
        <v>205</v>
      </c>
      <c r="B429" s="296">
        <f>'MERGED HEAVY IND'!B2486</f>
        <v>6003</v>
      </c>
      <c r="C429" s="323">
        <v>23600300</v>
      </c>
      <c r="D429" s="268" t="str">
        <f>'MERGED HEAVY IND'!E2486</f>
        <v>TIMCON P/L</v>
      </c>
      <c r="E429" s="292"/>
      <c r="F429" s="268" t="s">
        <v>1928</v>
      </c>
      <c r="G429" s="268" t="s">
        <v>1252</v>
      </c>
      <c r="H429" s="271">
        <f>'MERGED HEAVY IND'!D2491</f>
        <v>31627</v>
      </c>
      <c r="I429" s="332">
        <f>'MERGED HEAVY IND'!H2491</f>
        <v>114533.75</v>
      </c>
      <c r="J429" s="332">
        <f>'MERGED HEAVY IND'!H2490</f>
        <v>131241</v>
      </c>
      <c r="K429" s="270">
        <f>'MERGED HEAVY IND'!H2492</f>
        <v>245774.75</v>
      </c>
      <c r="L429" s="341">
        <v>6003</v>
      </c>
    </row>
    <row r="430" spans="1:12" x14ac:dyDescent="0.3">
      <c r="A430" s="266"/>
      <c r="B430" s="296"/>
      <c r="C430" s="323"/>
      <c r="D430" s="268"/>
      <c r="E430" s="268"/>
      <c r="F430" s="268"/>
      <c r="G430" s="268"/>
      <c r="H430" s="271"/>
      <c r="I430" s="332"/>
      <c r="J430" s="332"/>
      <c r="K430" s="270"/>
      <c r="L430" s="341"/>
    </row>
    <row r="431" spans="1:12" ht="43.2" x14ac:dyDescent="0.3">
      <c r="A431" s="266">
        <f t="shared" si="2"/>
        <v>206</v>
      </c>
      <c r="B431" s="296">
        <f>'MERGED HEAVY IND'!B2494</f>
        <v>6004</v>
      </c>
      <c r="C431" s="323">
        <v>23600400</v>
      </c>
      <c r="D431" s="268" t="str">
        <f>'MERGED HEAVY IND'!E2494</f>
        <v>FRIENDLINE ENVIROMENT SERVICES</v>
      </c>
      <c r="E431" s="268" t="str">
        <f>'MERGED HEAVY IND'!C2494</f>
        <v>6004 MUDUMA CRESCENT</v>
      </c>
      <c r="F431" s="268" t="s">
        <v>1928</v>
      </c>
      <c r="G431" s="268" t="s">
        <v>1252</v>
      </c>
      <c r="H431" s="271">
        <f>'MERGED HEAVY IND'!D2501</f>
        <v>14500</v>
      </c>
      <c r="I431" s="332">
        <f>'MERGED HEAVY IND'!H2501</f>
        <v>66875</v>
      </c>
      <c r="J431" s="332">
        <f>'MERGED HEAVY IND'!H2500</f>
        <v>21250.45</v>
      </c>
      <c r="K431" s="270">
        <f>'MERGED HEAVY IND'!H2502</f>
        <v>88125.45</v>
      </c>
      <c r="L431" s="341">
        <v>6004</v>
      </c>
    </row>
    <row r="432" spans="1:12" x14ac:dyDescent="0.3">
      <c r="A432" s="266"/>
      <c r="B432" s="296"/>
      <c r="C432" s="323"/>
      <c r="D432" s="268"/>
      <c r="E432" s="268"/>
      <c r="F432" s="268"/>
      <c r="G432" s="268"/>
      <c r="H432" s="271"/>
      <c r="I432" s="332"/>
      <c r="J432" s="332"/>
      <c r="K432" s="270"/>
      <c r="L432" s="341"/>
    </row>
    <row r="433" spans="1:12" ht="28.8" x14ac:dyDescent="0.3">
      <c r="A433" s="266">
        <f t="shared" si="2"/>
        <v>207</v>
      </c>
      <c r="B433" s="296">
        <f>'MERGED HEAVY IND'!B2503</f>
        <v>6005</v>
      </c>
      <c r="C433" s="323">
        <v>23021801</v>
      </c>
      <c r="D433" s="268" t="str">
        <f>'MERGED HEAVY IND'!E2503</f>
        <v>MURERA PVT LTD</v>
      </c>
      <c r="E433" s="268" t="str">
        <f>'MERGED HEAVY IND'!C2503</f>
        <v>6005 MUDUMA CRESCENT</v>
      </c>
      <c r="F433" s="268" t="s">
        <v>1928</v>
      </c>
      <c r="G433" s="268" t="s">
        <v>1252</v>
      </c>
      <c r="H433" s="271">
        <f>'MERGED HEAVY IND'!D2511</f>
        <v>10000</v>
      </c>
      <c r="I433" s="332">
        <f>'MERGED HEAVY IND'!H2511</f>
        <v>50000</v>
      </c>
      <c r="J433" s="332">
        <f>'MERGED HEAVY IND'!H2510</f>
        <v>66560</v>
      </c>
      <c r="K433" s="270">
        <f>'MERGED HEAVY IND'!H2512</f>
        <v>116560</v>
      </c>
      <c r="L433" s="341">
        <v>6005</v>
      </c>
    </row>
    <row r="434" spans="1:12" x14ac:dyDescent="0.3">
      <c r="A434" s="266"/>
      <c r="B434" s="296"/>
      <c r="C434" s="323"/>
      <c r="D434" s="268"/>
      <c r="E434" s="268"/>
      <c r="F434" s="268"/>
      <c r="G434" s="268"/>
      <c r="H434" s="271"/>
      <c r="I434" s="332"/>
      <c r="J434" s="332"/>
      <c r="K434" s="270"/>
      <c r="L434" s="341"/>
    </row>
    <row r="435" spans="1:12" ht="28.8" x14ac:dyDescent="0.3">
      <c r="A435" s="266">
        <f t="shared" si="2"/>
        <v>208</v>
      </c>
      <c r="B435" s="296">
        <f>'MERGED HEAVY IND'!B2513</f>
        <v>6006</v>
      </c>
      <c r="C435" s="323">
        <v>23018500</v>
      </c>
      <c r="D435" s="268" t="str">
        <f>'MERGED HEAVY IND'!F2513</f>
        <v>J. MAPANGIRE</v>
      </c>
      <c r="E435" s="268" t="str">
        <f>'MERGED HEAVY IND'!C2513</f>
        <v>6006 MUDUMA CRESCENT</v>
      </c>
      <c r="F435" s="268" t="s">
        <v>1928</v>
      </c>
      <c r="G435" s="268" t="s">
        <v>1277</v>
      </c>
      <c r="H435" s="271">
        <f>'MERGED HEAVY IND'!D2516</f>
        <v>10000</v>
      </c>
      <c r="I435" s="332">
        <f>'MERGED HEAVY IND'!H2516</f>
        <v>50000</v>
      </c>
      <c r="J435" s="332">
        <f>'MERGED HEAVY IND'!H2515</f>
        <v>0</v>
      </c>
      <c r="K435" s="270">
        <f>'MERGED HEAVY IND'!H2517</f>
        <v>50000</v>
      </c>
      <c r="L435" s="341">
        <v>6006</v>
      </c>
    </row>
    <row r="436" spans="1:12" x14ac:dyDescent="0.3">
      <c r="A436" s="266"/>
      <c r="B436" s="296"/>
      <c r="C436" s="323"/>
      <c r="D436" s="268"/>
      <c r="E436" s="268"/>
      <c r="F436" s="268"/>
      <c r="G436" s="268"/>
      <c r="H436" s="271"/>
      <c r="I436" s="332"/>
      <c r="J436" s="332"/>
      <c r="K436" s="270"/>
      <c r="L436" s="341"/>
    </row>
    <row r="437" spans="1:12" ht="28.8" x14ac:dyDescent="0.3">
      <c r="A437" s="266">
        <f t="shared" si="2"/>
        <v>209</v>
      </c>
      <c r="B437" s="296">
        <f>'MERGED HEAVY IND'!B2519</f>
        <v>6007</v>
      </c>
      <c r="C437" s="323">
        <v>23600700</v>
      </c>
      <c r="D437" s="267" t="str">
        <f>'MERGED HEAVY IND'!F2519</f>
        <v>MANICA ROAD HAULAGE</v>
      </c>
      <c r="E437" s="268" t="str">
        <f>'MERGED HEAVY IND'!C2519</f>
        <v>6007 MUDUMA CRESCENT</v>
      </c>
      <c r="F437" s="268" t="s">
        <v>1928</v>
      </c>
      <c r="G437" s="268" t="s">
        <v>1277</v>
      </c>
      <c r="H437" s="271">
        <f>'MERGED HEAVY IND'!D2522</f>
        <v>2037</v>
      </c>
      <c r="I437" s="332">
        <f>'MERGED HEAVY IND'!H2522</f>
        <v>10185</v>
      </c>
      <c r="J437" s="332">
        <f>'MERGED HEAVY IND'!H2521</f>
        <v>0</v>
      </c>
      <c r="K437" s="270">
        <f>'MERGED HEAVY IND'!H2523</f>
        <v>10185</v>
      </c>
      <c r="L437" s="341">
        <v>6007</v>
      </c>
    </row>
    <row r="438" spans="1:12" x14ac:dyDescent="0.3">
      <c r="A438" s="266"/>
      <c r="B438" s="296"/>
      <c r="C438" s="323"/>
      <c r="D438" s="268"/>
      <c r="E438" s="268"/>
      <c r="F438" s="268"/>
      <c r="G438" s="268"/>
      <c r="H438" s="271"/>
      <c r="I438" s="332"/>
      <c r="J438" s="332"/>
      <c r="K438" s="270"/>
      <c r="L438" s="341"/>
    </row>
    <row r="439" spans="1:12" ht="28.8" x14ac:dyDescent="0.3">
      <c r="A439" s="266">
        <f t="shared" si="2"/>
        <v>210</v>
      </c>
      <c r="B439" s="296">
        <f>'MERGED HEAVY IND'!B2525</f>
        <v>6008</v>
      </c>
      <c r="C439" s="323">
        <v>23018800</v>
      </c>
      <c r="D439" s="268" t="str">
        <f>'MERGED HEAVY IND'!F2525</f>
        <v>MUPFUMI BUS SERVICE</v>
      </c>
      <c r="E439" s="268" t="str">
        <f>'MERGED HEAVY IND'!C2525</f>
        <v>6008 MUDUMA CRESCENT</v>
      </c>
      <c r="F439" s="268" t="s">
        <v>1928</v>
      </c>
      <c r="G439" s="268" t="s">
        <v>1252</v>
      </c>
      <c r="H439" s="271">
        <f>'MERGED HEAVY IND'!D2533</f>
        <v>10000</v>
      </c>
      <c r="I439" s="332">
        <f>'MERGED HEAVY IND'!H2533</f>
        <v>50000</v>
      </c>
      <c r="J439" s="332">
        <f>'MERGED HEAVY IND'!H2532</f>
        <v>219570</v>
      </c>
      <c r="K439" s="270">
        <f>'MERGED HEAVY IND'!H2534</f>
        <v>269570</v>
      </c>
      <c r="L439" s="341">
        <v>6008</v>
      </c>
    </row>
    <row r="440" spans="1:12" x14ac:dyDescent="0.3">
      <c r="A440" s="266"/>
      <c r="B440" s="266"/>
      <c r="C440" s="323"/>
      <c r="D440" s="268"/>
      <c r="E440" s="268"/>
      <c r="F440" s="268"/>
      <c r="G440" s="268"/>
      <c r="H440" s="271"/>
      <c r="I440" s="332"/>
      <c r="J440" s="332"/>
      <c r="K440" s="270"/>
    </row>
    <row r="441" spans="1:12" ht="28.8" x14ac:dyDescent="0.3">
      <c r="A441" s="266">
        <f t="shared" si="2"/>
        <v>211</v>
      </c>
      <c r="B441" s="279">
        <f>'MERGED HEAVY IND'!B2536</f>
        <v>6010</v>
      </c>
      <c r="C441" s="319">
        <v>23601000</v>
      </c>
      <c r="D441" s="267" t="str">
        <f>'MERGED HEAVY IND'!E2536</f>
        <v>VIRGIN TIMBER PRODUCER</v>
      </c>
      <c r="E441" s="267" t="str">
        <f>'MERGED HEAVY IND'!C2536</f>
        <v>6010 MUDUMA</v>
      </c>
      <c r="F441" s="268" t="s">
        <v>1928</v>
      </c>
      <c r="G441" s="268" t="s">
        <v>1277</v>
      </c>
      <c r="H441" s="269">
        <f>'MERGED HEAVY IND'!D2539</f>
        <v>12500</v>
      </c>
      <c r="I441" s="332">
        <f>'MERGED HEAVY IND'!H2539</f>
        <v>59375</v>
      </c>
      <c r="J441" s="332">
        <f>'MERGED HEAVY IND'!H2538</f>
        <v>0</v>
      </c>
      <c r="K441" s="270">
        <f>'MERGED HEAVY IND'!H2540</f>
        <v>59375</v>
      </c>
      <c r="L441">
        <v>6010</v>
      </c>
    </row>
    <row r="442" spans="1:12" x14ac:dyDescent="0.3">
      <c r="A442" s="266"/>
      <c r="B442" s="279"/>
      <c r="C442" s="319"/>
      <c r="D442" s="267"/>
      <c r="E442" s="267"/>
      <c r="F442" s="268"/>
      <c r="G442" s="267"/>
      <c r="H442" s="269"/>
      <c r="I442" s="332"/>
      <c r="J442" s="332"/>
      <c r="K442" s="270"/>
    </row>
    <row r="443" spans="1:12" x14ac:dyDescent="0.3">
      <c r="A443" s="266">
        <f t="shared" si="2"/>
        <v>212</v>
      </c>
      <c r="B443" s="266">
        <f>'MERGED HEAVY IND'!B2542</f>
        <v>6012</v>
      </c>
      <c r="C443" s="323">
        <v>23044900</v>
      </c>
      <c r="D443" s="268" t="str">
        <f>'MERGED HEAVY IND'!E2542</f>
        <v>T. MBAMBO</v>
      </c>
      <c r="E443" s="268" t="str">
        <f>'MERGED HEAVY IND'!C2542</f>
        <v>MUDUMO CRESCENT</v>
      </c>
      <c r="F443" s="268" t="s">
        <v>1928</v>
      </c>
      <c r="G443" s="268" t="s">
        <v>1252</v>
      </c>
      <c r="H443" s="271">
        <f>'MERGED HEAVY IND'!D2547</f>
        <v>21047</v>
      </c>
      <c r="I443" s="332">
        <f>'MERGED HEAVY IND'!H2547</f>
        <v>90117.5</v>
      </c>
      <c r="J443" s="332">
        <f>'MERGED HEAVY IND'!H2546</f>
        <v>990</v>
      </c>
      <c r="K443" s="270">
        <f>'MERGED HEAVY IND'!H2548</f>
        <v>91107.5</v>
      </c>
      <c r="L443">
        <v>6012</v>
      </c>
    </row>
    <row r="444" spans="1:12" x14ac:dyDescent="0.3">
      <c r="A444" s="266"/>
      <c r="B444" s="266"/>
      <c r="C444" s="323"/>
      <c r="D444" s="268"/>
      <c r="E444" s="268"/>
      <c r="F444" s="268"/>
      <c r="G444" s="268"/>
      <c r="H444" s="271"/>
      <c r="I444" s="332"/>
      <c r="J444" s="332"/>
      <c r="K444" s="270"/>
    </row>
    <row r="445" spans="1:12" x14ac:dyDescent="0.3">
      <c r="A445" s="266">
        <f t="shared" si="2"/>
        <v>213</v>
      </c>
      <c r="B445" s="266" t="str">
        <f>'MERGED HEAVY IND'!B2550</f>
        <v>6012 B</v>
      </c>
      <c r="C445" s="323">
        <v>23601202</v>
      </c>
      <c r="D445" s="268" t="str">
        <f>'MERGED HEAVY IND'!E2550</f>
        <v>N. SAUNGWEME</v>
      </c>
      <c r="E445" s="268" t="str">
        <f>'MERGED HEAVY IND'!C2550</f>
        <v>MUDUMO CRESCENT</v>
      </c>
      <c r="F445" s="268" t="s">
        <v>1928</v>
      </c>
      <c r="G445" s="268" t="s">
        <v>1252</v>
      </c>
      <c r="H445" s="271">
        <f>'MERGED HEAVY IND'!D2559</f>
        <v>13500</v>
      </c>
      <c r="I445" s="332">
        <f>'MERGED HEAVY IND'!H2559</f>
        <v>63125</v>
      </c>
      <c r="J445" s="332">
        <f>'MERGED HEAVY IND'!H2558</f>
        <v>38862</v>
      </c>
      <c r="K445" s="270">
        <f>'MERGED HEAVY IND'!H2560</f>
        <v>101987</v>
      </c>
      <c r="L445" t="s">
        <v>651</v>
      </c>
    </row>
    <row r="446" spans="1:12" x14ac:dyDescent="0.3">
      <c r="A446" s="266"/>
      <c r="B446" s="266"/>
      <c r="C446" s="323"/>
      <c r="D446" s="268"/>
      <c r="E446" s="268"/>
      <c r="F446" s="268"/>
      <c r="G446" s="268"/>
      <c r="H446" s="271"/>
      <c r="I446" s="332"/>
      <c r="J446" s="332"/>
      <c r="K446" s="270"/>
    </row>
    <row r="447" spans="1:12" ht="28.8" x14ac:dyDescent="0.3">
      <c r="A447" s="266">
        <f t="shared" si="2"/>
        <v>214</v>
      </c>
      <c r="B447" s="266">
        <f>'MERGED HEAVY IND'!B2561</f>
        <v>6014</v>
      </c>
      <c r="C447" s="323">
        <v>23018600</v>
      </c>
      <c r="D447" s="268" t="str">
        <f>'MERGED HEAVY IND'!E2561</f>
        <v>L. NEMAUNGA</v>
      </c>
      <c r="E447" s="268" t="str">
        <f>'MERGED HEAVY IND'!C2561</f>
        <v>CHINYAKUREMBA ROAD</v>
      </c>
      <c r="F447" s="268" t="s">
        <v>1928</v>
      </c>
      <c r="G447" s="268" t="s">
        <v>1252</v>
      </c>
      <c r="H447" s="271">
        <f>'MERGED HEAVY IND'!D2571</f>
        <v>16813</v>
      </c>
      <c r="I447" s="332">
        <f>'MERGED HEAVY IND'!H2571</f>
        <v>75548.75</v>
      </c>
      <c r="J447" s="332">
        <f>'MERGED HEAVY IND'!H2570</f>
        <v>140889</v>
      </c>
      <c r="K447" s="270">
        <f>'MERGED HEAVY IND'!H2572</f>
        <v>216437.75</v>
      </c>
      <c r="L447">
        <v>6014</v>
      </c>
    </row>
    <row r="448" spans="1:12" x14ac:dyDescent="0.3">
      <c r="A448" s="266"/>
      <c r="B448" s="266"/>
      <c r="C448" s="323"/>
      <c r="D448" s="268"/>
      <c r="E448" s="268"/>
      <c r="F448" s="268"/>
      <c r="G448" s="268"/>
      <c r="H448" s="271"/>
      <c r="I448" s="332"/>
      <c r="J448" s="332"/>
      <c r="K448" s="270"/>
    </row>
    <row r="449" spans="1:12" ht="28.8" x14ac:dyDescent="0.3">
      <c r="A449" s="266">
        <f t="shared" si="2"/>
        <v>215</v>
      </c>
      <c r="B449" s="266" t="str">
        <f>'MERGED HEAVY IND'!B2573</f>
        <v>6015 &amp; 6016</v>
      </c>
      <c r="C449" s="323">
        <v>23039100</v>
      </c>
      <c r="D449" s="268" t="str">
        <f>'MERGED HEAVY IND'!E2573</f>
        <v>INTERCHAIN AFRICA PVT LTD</v>
      </c>
      <c r="E449" s="268" t="str">
        <f>'MERGED HEAVY IND'!C2573</f>
        <v>30  VUMBA ROAD</v>
      </c>
      <c r="F449" s="268" t="s">
        <v>1928</v>
      </c>
      <c r="G449" s="268" t="s">
        <v>1252</v>
      </c>
      <c r="H449" s="271">
        <f>'MERGED HEAVY IND'!D2580</f>
        <v>53677</v>
      </c>
      <c r="I449" s="332">
        <f>'MERGED HEAVY IND'!H2580</f>
        <v>142096.25</v>
      </c>
      <c r="J449" s="332">
        <f>'MERGED HEAVY IND'!H2579</f>
        <v>97125</v>
      </c>
      <c r="K449" s="270">
        <f>'MERGED HEAVY IND'!H2581</f>
        <v>239221.25</v>
      </c>
      <c r="L449" t="s">
        <v>659</v>
      </c>
    </row>
    <row r="450" spans="1:12" x14ac:dyDescent="0.3">
      <c r="A450" s="266"/>
      <c r="B450" s="266"/>
      <c r="C450" s="323">
        <v>23601600</v>
      </c>
      <c r="D450" s="268"/>
      <c r="E450" s="268"/>
      <c r="F450" s="268"/>
      <c r="G450" s="268"/>
      <c r="H450" s="271"/>
      <c r="I450" s="332"/>
      <c r="J450" s="332"/>
      <c r="K450" s="270"/>
    </row>
    <row r="451" spans="1:12" x14ac:dyDescent="0.3">
      <c r="A451" s="266">
        <f t="shared" si="2"/>
        <v>216</v>
      </c>
      <c r="B451" s="266">
        <f>'MERGED HEAVY IND'!B2582</f>
        <v>6017</v>
      </c>
      <c r="C451" s="323">
        <v>23601700</v>
      </c>
      <c r="D451" s="267" t="str">
        <f>'MERGED HEAVY IND'!E2582</f>
        <v>MOTO IND FIRE</v>
      </c>
      <c r="E451" s="268" t="str">
        <f>'MERGED HEAVY IND'!C2582</f>
        <v>VUMBA ROAD</v>
      </c>
      <c r="F451" s="268" t="s">
        <v>1928</v>
      </c>
      <c r="G451" s="268" t="s">
        <v>1277</v>
      </c>
      <c r="H451" s="271">
        <f>'MERGED HEAVY IND'!D2586</f>
        <v>33825</v>
      </c>
      <c r="I451" s="332">
        <f>'MERGED HEAVY IND'!H2586</f>
        <v>117281.25</v>
      </c>
      <c r="J451" s="332">
        <f>'MERGED HEAVY IND'!H2585</f>
        <v>0</v>
      </c>
      <c r="K451" s="270">
        <f>'MERGED HEAVY IND'!H2587</f>
        <v>117281.25</v>
      </c>
      <c r="L451">
        <v>6017</v>
      </c>
    </row>
    <row r="452" spans="1:12" x14ac:dyDescent="0.3">
      <c r="A452" s="266"/>
      <c r="B452" s="266"/>
      <c r="C452" s="323"/>
      <c r="D452" s="268"/>
      <c r="E452" s="268"/>
      <c r="F452" s="268"/>
      <c r="G452" s="268"/>
      <c r="H452" s="271"/>
      <c r="I452" s="332"/>
      <c r="J452" s="332"/>
      <c r="K452" s="270"/>
    </row>
    <row r="453" spans="1:12" x14ac:dyDescent="0.3">
      <c r="A453" s="266">
        <f t="shared" si="2"/>
        <v>217</v>
      </c>
      <c r="B453" s="266">
        <f>'MERGED HEAVY IND'!B2588</f>
        <v>6018</v>
      </c>
      <c r="C453" s="323">
        <v>23601800</v>
      </c>
      <c r="D453" s="268" t="str">
        <f>'MERGED HEAVY IND'!E2588</f>
        <v>MR PETER</v>
      </c>
      <c r="E453" s="268" t="str">
        <f>'MERGED HEAVY IND'!C2588</f>
        <v>VUMBA ROAD</v>
      </c>
      <c r="F453" s="268" t="s">
        <v>1928</v>
      </c>
      <c r="G453" s="268" t="s">
        <v>1277</v>
      </c>
      <c r="H453" s="271">
        <f>'MERGED HEAVY IND'!D2592</f>
        <v>25575</v>
      </c>
      <c r="I453" s="332">
        <f>'MERGED HEAVY IND'!H2592</f>
        <v>101437.5</v>
      </c>
      <c r="J453" s="332">
        <f>'MERGED HEAVY IND'!H2591</f>
        <v>0</v>
      </c>
      <c r="K453" s="270">
        <f>'MERGED HEAVY IND'!H2593</f>
        <v>101437.5</v>
      </c>
      <c r="L453">
        <v>6018</v>
      </c>
    </row>
    <row r="454" spans="1:12" x14ac:dyDescent="0.3">
      <c r="A454" s="266"/>
      <c r="B454" s="266"/>
      <c r="C454" s="323"/>
      <c r="D454" s="268"/>
      <c r="E454" s="268"/>
      <c r="F454" s="268"/>
      <c r="G454" s="268"/>
      <c r="H454" s="271"/>
      <c r="I454" s="332"/>
      <c r="J454" s="332"/>
      <c r="K454" s="270"/>
    </row>
    <row r="455" spans="1:12" x14ac:dyDescent="0.3">
      <c r="A455" s="266">
        <f t="shared" si="2"/>
        <v>218</v>
      </c>
      <c r="B455" s="266">
        <f>'MERGED HEAVY IND'!B2594</f>
        <v>6019</v>
      </c>
      <c r="C455" s="323">
        <v>23601900</v>
      </c>
      <c r="D455" s="268" t="str">
        <f>'MERGED HEAVY IND'!E2594</f>
        <v>MR HARLEY</v>
      </c>
      <c r="E455" s="268"/>
      <c r="F455" s="268" t="s">
        <v>1928</v>
      </c>
      <c r="G455" s="268" t="s">
        <v>1252</v>
      </c>
      <c r="H455" s="271">
        <f>'MERGED HEAVY IND'!D2599</f>
        <v>20625</v>
      </c>
      <c r="I455" s="332">
        <f>'MERGED HEAVY IND'!H2599</f>
        <v>89062.5</v>
      </c>
      <c r="J455" s="332">
        <f>'MERGED HEAVY IND'!H2598</f>
        <v>14438.84</v>
      </c>
      <c r="K455" s="270">
        <f>'MERGED HEAVY IND'!H2600</f>
        <v>103501.34</v>
      </c>
      <c r="L455">
        <v>6019</v>
      </c>
    </row>
    <row r="456" spans="1:12" x14ac:dyDescent="0.3">
      <c r="A456" s="266"/>
      <c r="B456" s="266"/>
      <c r="C456" s="323"/>
      <c r="D456" s="268"/>
      <c r="E456" s="268"/>
      <c r="F456" s="268"/>
      <c r="G456" s="268"/>
      <c r="H456" s="271"/>
      <c r="I456" s="332"/>
      <c r="J456" s="332"/>
      <c r="K456" s="270"/>
    </row>
    <row r="457" spans="1:12" ht="28.8" x14ac:dyDescent="0.3">
      <c r="A457" s="266">
        <f t="shared" si="2"/>
        <v>219</v>
      </c>
      <c r="B457" s="277">
        <f>'MERGED HEAVY IND'!B2601</f>
        <v>6020</v>
      </c>
      <c r="C457" s="319">
        <v>23602000</v>
      </c>
      <c r="D457" s="268" t="str">
        <f>'MERGED HEAVY IND'!E2601</f>
        <v>HOTSPECK ENTERPRISES</v>
      </c>
      <c r="E457" s="268" t="str">
        <f>'MERGED HEAVY IND'!C2601</f>
        <v xml:space="preserve">NYAKAMETE </v>
      </c>
      <c r="F457" s="268" t="s">
        <v>1928</v>
      </c>
      <c r="G457" s="268" t="s">
        <v>1252</v>
      </c>
      <c r="H457" s="271">
        <f>'MERGED HEAVY IND'!D2609</f>
        <v>20625</v>
      </c>
      <c r="I457" s="332">
        <f>'MERGED HEAVY IND'!H2609</f>
        <v>89062.5</v>
      </c>
      <c r="J457" s="332">
        <f>'MERGED HEAVY IND'!H2608</f>
        <v>130666.5</v>
      </c>
      <c r="K457" s="270">
        <f>'MERGED HEAVY IND'!H2610</f>
        <v>219729</v>
      </c>
      <c r="L457">
        <v>6020</v>
      </c>
    </row>
    <row r="458" spans="1:12" x14ac:dyDescent="0.3">
      <c r="A458" s="266"/>
      <c r="B458" s="266"/>
      <c r="C458" s="323"/>
      <c r="D458" s="268"/>
      <c r="E458" s="268"/>
      <c r="F458" s="268"/>
      <c r="G458" s="297"/>
      <c r="H458" s="271"/>
      <c r="I458" s="332"/>
      <c r="J458" s="332"/>
      <c r="K458" s="270"/>
    </row>
    <row r="459" spans="1:12" ht="28.8" x14ac:dyDescent="0.3">
      <c r="A459" s="266">
        <f t="shared" si="2"/>
        <v>220</v>
      </c>
      <c r="B459" s="266">
        <f>'MERGED HEAVY IND'!B2612</f>
        <v>6021</v>
      </c>
      <c r="C459" s="323">
        <v>23602100</v>
      </c>
      <c r="D459" s="267" t="str">
        <f>'MERGED HEAVY IND'!E2612</f>
        <v>VOLTMAS INVESTMENTS</v>
      </c>
      <c r="E459" s="268"/>
      <c r="F459" s="268" t="s">
        <v>1928</v>
      </c>
      <c r="G459" s="268" t="s">
        <v>1277</v>
      </c>
      <c r="H459" s="271">
        <f>'MERGED HEAVY IND'!D2616</f>
        <v>25426</v>
      </c>
      <c r="I459" s="332">
        <f>'MERGED HEAVY IND'!H2616</f>
        <v>101065</v>
      </c>
      <c r="J459" s="332">
        <f>'MERGED HEAVY IND'!H2615</f>
        <v>0</v>
      </c>
      <c r="K459" s="270">
        <f>'MERGED HEAVY IND'!H2617</f>
        <v>101065</v>
      </c>
      <c r="L459">
        <v>6021</v>
      </c>
    </row>
    <row r="460" spans="1:12" x14ac:dyDescent="0.3">
      <c r="A460" s="266"/>
      <c r="B460" s="266"/>
      <c r="C460" s="323"/>
      <c r="D460" s="292"/>
      <c r="E460" s="268"/>
      <c r="F460" s="268"/>
      <c r="G460" s="268"/>
      <c r="H460" s="271"/>
      <c r="I460" s="332"/>
      <c r="J460" s="332"/>
      <c r="K460" s="270"/>
    </row>
    <row r="461" spans="1:12" ht="28.8" x14ac:dyDescent="0.3">
      <c r="A461" s="266">
        <f t="shared" si="2"/>
        <v>221</v>
      </c>
      <c r="B461" s="266">
        <f>'MERGED HEAVY IND'!B2618</f>
        <v>6022</v>
      </c>
      <c r="C461" s="323">
        <v>23602200</v>
      </c>
      <c r="D461" s="267" t="str">
        <f>'MERGED HEAVY IND'!E2618</f>
        <v>WHITBREAD INVESTMENTS</v>
      </c>
      <c r="E461" s="268"/>
      <c r="F461" s="268" t="s">
        <v>1928</v>
      </c>
      <c r="G461" s="268" t="s">
        <v>1277</v>
      </c>
      <c r="H461" s="271">
        <f>'MERGED HEAVY IND'!D2622</f>
        <v>14000</v>
      </c>
      <c r="I461" s="332">
        <f>'MERGED HEAVY IND'!H2622</f>
        <v>65000</v>
      </c>
      <c r="J461" s="332">
        <f>'MERGED HEAVY IND'!H2621</f>
        <v>0</v>
      </c>
      <c r="K461" s="270">
        <f>'MERGED HEAVY IND'!H2623</f>
        <v>65000</v>
      </c>
      <c r="L461">
        <v>6022</v>
      </c>
    </row>
    <row r="462" spans="1:12" x14ac:dyDescent="0.3">
      <c r="A462" s="266"/>
      <c r="B462" s="266"/>
      <c r="C462" s="323"/>
      <c r="D462" s="292"/>
      <c r="E462" s="268"/>
      <c r="F462" s="268"/>
      <c r="G462" s="268"/>
      <c r="H462" s="271"/>
      <c r="I462" s="332"/>
      <c r="J462" s="332"/>
      <c r="K462" s="270"/>
    </row>
    <row r="463" spans="1:12" x14ac:dyDescent="0.3">
      <c r="A463" s="266">
        <f t="shared" si="2"/>
        <v>222</v>
      </c>
      <c r="B463" s="266">
        <f>'MERGED HEAVY IND'!B2624</f>
        <v>6023</v>
      </c>
      <c r="C463" s="323"/>
      <c r="D463" s="267" t="str">
        <f>'MERGED HEAVY IND'!E2624</f>
        <v>CITY OF MUTARE</v>
      </c>
      <c r="E463" s="268"/>
      <c r="F463" s="268" t="s">
        <v>1928</v>
      </c>
      <c r="G463" s="268" t="s">
        <v>1277</v>
      </c>
      <c r="H463" s="271">
        <f>'MERGED HEAVY IND'!D2628</f>
        <v>27902</v>
      </c>
      <c r="I463" s="332">
        <f>'MERGED HEAVY IND'!H2628</f>
        <v>107255</v>
      </c>
      <c r="J463" s="332">
        <f>'MERGED HEAVY IND'!H2627</f>
        <v>0</v>
      </c>
      <c r="K463" s="270">
        <f>'MERGED HEAVY IND'!H2629</f>
        <v>107255</v>
      </c>
      <c r="L463">
        <v>6023</v>
      </c>
    </row>
    <row r="464" spans="1:12" x14ac:dyDescent="0.3">
      <c r="A464" s="266"/>
      <c r="B464" s="266"/>
      <c r="C464" s="323"/>
      <c r="D464" s="292"/>
      <c r="E464" s="268"/>
      <c r="F464" s="268"/>
      <c r="G464" s="268"/>
      <c r="H464" s="271"/>
      <c r="I464" s="332"/>
      <c r="J464" s="332"/>
      <c r="K464" s="270"/>
    </row>
    <row r="465" spans="1:12" ht="28.8" x14ac:dyDescent="0.3">
      <c r="A465" s="266">
        <f>A463+1</f>
        <v>223</v>
      </c>
      <c r="B465" s="266">
        <f>'MERGED HEAVY IND'!B2630</f>
        <v>6024</v>
      </c>
      <c r="C465" s="323">
        <v>23602400</v>
      </c>
      <c r="D465" s="267" t="str">
        <f>'MERGED HEAVY IND'!E2630</f>
        <v>URBAN PLANNERS NETWORKS</v>
      </c>
      <c r="E465" s="268"/>
      <c r="F465" s="268" t="s">
        <v>1928</v>
      </c>
      <c r="G465" s="268" t="s">
        <v>1277</v>
      </c>
      <c r="H465" s="271">
        <f>'MERGED HEAVY IND'!D2634</f>
        <v>32900</v>
      </c>
      <c r="I465" s="332">
        <f>'MERGED HEAVY IND'!H2634</f>
        <v>93625</v>
      </c>
      <c r="J465" s="332">
        <f>'MERGED HEAVY IND'!H2633</f>
        <v>0</v>
      </c>
      <c r="K465" s="270">
        <f>'MERGED HEAVY IND'!H2635</f>
        <v>93625</v>
      </c>
      <c r="L465">
        <v>6024</v>
      </c>
    </row>
    <row r="466" spans="1:12" x14ac:dyDescent="0.3">
      <c r="A466" s="266"/>
      <c r="B466" s="266"/>
      <c r="C466" s="323"/>
      <c r="D466" s="268"/>
      <c r="E466" s="268"/>
      <c r="F466" s="268"/>
      <c r="G466" s="297"/>
      <c r="H466" s="271"/>
      <c r="I466" s="332"/>
      <c r="J466" s="332"/>
      <c r="K466" s="270"/>
    </row>
    <row r="467" spans="1:12" x14ac:dyDescent="0.3">
      <c r="A467" s="266">
        <f>A465+1</f>
        <v>224</v>
      </c>
      <c r="B467" s="272" t="str">
        <f>'MERGED HEAVY IND'!B2636</f>
        <v>7127 of 5190</v>
      </c>
      <c r="C467" s="323">
        <v>23712700</v>
      </c>
      <c r="D467" s="268" t="str">
        <f>'MERGED HEAVY IND'!E2636</f>
        <v>GROTIS PVT LTD</v>
      </c>
      <c r="E467" s="268" t="str">
        <f>'MERGED HEAVY IND'!C2636</f>
        <v xml:space="preserve"> U CIRCLE</v>
      </c>
      <c r="F467" s="268" t="s">
        <v>1928</v>
      </c>
      <c r="G467" s="268" t="s">
        <v>1277</v>
      </c>
      <c r="H467" s="271">
        <f>'MERGED HEAVY IND'!D2639</f>
        <v>2070</v>
      </c>
      <c r="I467" s="332">
        <f>'MERGED HEAVY IND'!H2639</f>
        <v>10350</v>
      </c>
      <c r="J467" s="332">
        <f>'MERGED HEAVY IND'!H2638</f>
        <v>0</v>
      </c>
      <c r="K467" s="270">
        <f>'MERGED HEAVY IND'!H2640</f>
        <v>10350</v>
      </c>
      <c r="L467" s="340" t="s">
        <v>1204</v>
      </c>
    </row>
    <row r="468" spans="1:12" x14ac:dyDescent="0.3">
      <c r="A468" s="266"/>
      <c r="B468" s="266"/>
      <c r="C468" s="323"/>
      <c r="D468" s="268"/>
      <c r="E468" s="268"/>
      <c r="F468" s="268"/>
      <c r="G468" s="268"/>
      <c r="H468" s="271"/>
      <c r="I468" s="332"/>
      <c r="J468" s="332"/>
      <c r="K468" s="270"/>
    </row>
    <row r="469" spans="1:12" x14ac:dyDescent="0.3">
      <c r="A469" s="266">
        <f>A467+1</f>
        <v>225</v>
      </c>
      <c r="B469" s="280" t="str">
        <f>'MERGED HEAVY IND'!B2642</f>
        <v>7128 OF 5190</v>
      </c>
      <c r="C469" s="323">
        <v>23712800</v>
      </c>
      <c r="D469" s="267" t="str">
        <f>'MERGED HEAVY IND'!E2642</f>
        <v>STEEL BASE</v>
      </c>
      <c r="E469" s="267" t="str">
        <f>'MERGED HEAVY IND'!C2642</f>
        <v>HUGHS CLOSE</v>
      </c>
      <c r="F469" s="268" t="s">
        <v>1928</v>
      </c>
      <c r="G469" s="267" t="s">
        <v>1277</v>
      </c>
      <c r="H469" s="269">
        <f>'MERGED HEAVY IND'!D2645</f>
        <v>2105</v>
      </c>
      <c r="I469" s="332">
        <f>'MERGED HEAVY IND'!H2645</f>
        <v>10525</v>
      </c>
      <c r="J469" s="332">
        <f>'MERGED HEAVY IND'!H2644</f>
        <v>0</v>
      </c>
      <c r="K469" s="270">
        <f>'MERGED HEAVY IND'!H2646</f>
        <v>10525</v>
      </c>
      <c r="L469" t="s">
        <v>1024</v>
      </c>
    </row>
    <row r="470" spans="1:12" x14ac:dyDescent="0.3">
      <c r="A470" s="266"/>
      <c r="B470" s="280"/>
      <c r="C470" s="323"/>
      <c r="D470" s="267"/>
      <c r="E470" s="267"/>
      <c r="F470" s="268"/>
      <c r="G470" s="298"/>
      <c r="H470" s="269"/>
      <c r="I470" s="332"/>
      <c r="J470" s="332"/>
      <c r="K470" s="270"/>
    </row>
    <row r="471" spans="1:12" x14ac:dyDescent="0.3">
      <c r="A471" s="266">
        <f>A469+1</f>
        <v>226</v>
      </c>
      <c r="B471" s="266" t="str">
        <f>'MERGED HEAVY IND'!B2648</f>
        <v>7129 OF 5190</v>
      </c>
      <c r="C471" s="323">
        <v>23712900</v>
      </c>
      <c r="D471" s="268" t="str">
        <f>'MERGED HEAVY IND'!E2648</f>
        <v>STEEL BASE</v>
      </c>
      <c r="E471" s="268" t="str">
        <f>'MERGED HEAVY IND'!C2648</f>
        <v>HUGHS CLOSE</v>
      </c>
      <c r="F471" s="268" t="s">
        <v>1928</v>
      </c>
      <c r="G471" s="268" t="s">
        <v>1252</v>
      </c>
      <c r="H471" s="271">
        <f>'MERGED HEAVY IND'!D2654</f>
        <v>2128</v>
      </c>
      <c r="I471" s="332">
        <f>'MERGED HEAVY IND'!H2654</f>
        <v>10640</v>
      </c>
      <c r="J471" s="332">
        <f>'MERGED HEAVY IND'!H2653</f>
        <v>92491.02</v>
      </c>
      <c r="K471" s="270">
        <f>'MERGED HEAVY IND'!H2655</f>
        <v>103131.02</v>
      </c>
      <c r="L471" t="s">
        <v>1027</v>
      </c>
    </row>
    <row r="472" spans="1:12" x14ac:dyDescent="0.3">
      <c r="A472" s="266"/>
      <c r="B472" s="266"/>
      <c r="C472" s="323"/>
      <c r="D472" s="268"/>
      <c r="E472" s="268"/>
      <c r="F472" s="268"/>
      <c r="G472" s="268"/>
      <c r="H472" s="271"/>
      <c r="I472" s="332"/>
      <c r="J472" s="332"/>
      <c r="K472" s="270"/>
    </row>
    <row r="473" spans="1:12" x14ac:dyDescent="0.3">
      <c r="A473" s="266">
        <f>A471+1</f>
        <v>227</v>
      </c>
      <c r="B473" s="266" t="str">
        <f>'MERGED HEAVY IND'!B2656</f>
        <v>7130 OF 5190</v>
      </c>
      <c r="C473" s="323">
        <v>23713000</v>
      </c>
      <c r="D473" s="268" t="str">
        <f>'MERGED HEAVY IND'!E2656</f>
        <v>GROTIS</v>
      </c>
      <c r="E473" s="268" t="str">
        <f>'MERGED HEAVY IND'!C2656</f>
        <v>HUGHS CLOSE</v>
      </c>
      <c r="F473" s="268" t="s">
        <v>1928</v>
      </c>
      <c r="G473" s="268" t="s">
        <v>1252</v>
      </c>
      <c r="H473" s="271">
        <f>'MERGED HEAVY IND'!D2662</f>
        <v>2001</v>
      </c>
      <c r="I473" s="332">
        <f>'MERGED HEAVY IND'!H2662</f>
        <v>10005</v>
      </c>
      <c r="J473" s="332">
        <f>'MERGED HEAVY IND'!H2661</f>
        <v>99165.69</v>
      </c>
      <c r="K473" s="270">
        <f>'MERGED HEAVY IND'!H2663</f>
        <v>109170.69</v>
      </c>
      <c r="L473" t="s">
        <v>1028</v>
      </c>
    </row>
    <row r="474" spans="1:12" x14ac:dyDescent="0.3">
      <c r="A474" s="266"/>
      <c r="B474" s="266"/>
      <c r="C474" s="323"/>
      <c r="D474" s="268"/>
      <c r="E474" s="268"/>
      <c r="F474" s="268"/>
      <c r="G474" s="268"/>
      <c r="H474" s="271"/>
      <c r="I474" s="332"/>
      <c r="J474" s="332"/>
      <c r="K474" s="270"/>
    </row>
    <row r="475" spans="1:12" x14ac:dyDescent="0.3">
      <c r="A475" s="266">
        <f>A473+1</f>
        <v>228</v>
      </c>
      <c r="B475" s="272" t="str">
        <f>'MERGED HEAVY IND'!B2664</f>
        <v>7131  0f 5190</v>
      </c>
      <c r="C475" s="323">
        <v>23713100</v>
      </c>
      <c r="D475" s="268" t="str">
        <f>'MERGED HEAVY IND'!E2664</f>
        <v>GROTIS</v>
      </c>
      <c r="E475" s="268" t="str">
        <f>'MERGED HEAVY IND'!C2664</f>
        <v xml:space="preserve"> U CIRCLE</v>
      </c>
      <c r="F475" s="268" t="s">
        <v>1928</v>
      </c>
      <c r="G475" s="268" t="s">
        <v>1252</v>
      </c>
      <c r="H475" s="271">
        <f>'MERGED HEAVY IND'!D2671</f>
        <v>2264</v>
      </c>
      <c r="I475" s="332">
        <f>'MERGED HEAVY IND'!H2671</f>
        <v>11320</v>
      </c>
      <c r="J475" s="332">
        <f>'MERGED HEAVY IND'!H2670</f>
        <v>21220.530000000002</v>
      </c>
      <c r="K475" s="270">
        <f>'MERGED HEAVY IND'!H2672</f>
        <v>32540.530000000002</v>
      </c>
      <c r="L475" s="340" t="s">
        <v>1212</v>
      </c>
    </row>
    <row r="476" spans="1:12" x14ac:dyDescent="0.3">
      <c r="A476" s="266"/>
      <c r="B476" s="266"/>
      <c r="C476" s="323"/>
      <c r="D476" s="268"/>
      <c r="E476" s="268"/>
      <c r="F476" s="268"/>
      <c r="G476" s="297"/>
      <c r="H476" s="271"/>
      <c r="I476" s="332"/>
      <c r="J476" s="332"/>
      <c r="K476" s="270"/>
    </row>
    <row r="477" spans="1:12" ht="28.8" x14ac:dyDescent="0.3">
      <c r="A477" s="266">
        <f>A475+1</f>
        <v>229</v>
      </c>
      <c r="B477" s="278" t="str">
        <f>'MERGED HEAVY IND'!B2673</f>
        <v>7132 &amp;7133 0f 5190</v>
      </c>
      <c r="C477" s="319">
        <v>23713200</v>
      </c>
      <c r="D477" s="268" t="str">
        <f>'MERGED HEAVY IND'!E2673</f>
        <v>S. MASHIKI</v>
      </c>
      <c r="E477" s="268" t="str">
        <f>'MERGED HEAVY IND'!C2673</f>
        <v xml:space="preserve"> U CIRCLE</v>
      </c>
      <c r="F477" s="268" t="s">
        <v>1928</v>
      </c>
      <c r="G477" s="267" t="s">
        <v>1277</v>
      </c>
      <c r="H477" s="271">
        <f>'MERGED HEAVY IND'!D2676</f>
        <v>14265</v>
      </c>
      <c r="I477" s="332">
        <f>'MERGED HEAVY IND'!H2676</f>
        <v>65993.75</v>
      </c>
      <c r="J477" s="332">
        <f>'MERGED HEAVY IND'!H2675</f>
        <v>0</v>
      </c>
      <c r="K477" s="270">
        <f>'MERGED HEAVY IND'!H2677</f>
        <v>65993.75</v>
      </c>
      <c r="L477" s="340" t="s">
        <v>1215</v>
      </c>
    </row>
    <row r="478" spans="1:12" x14ac:dyDescent="0.3">
      <c r="A478" s="266"/>
      <c r="B478" s="266"/>
      <c r="C478" s="323"/>
      <c r="D478" s="268"/>
      <c r="E478" s="268"/>
      <c r="F478" s="268"/>
      <c r="G478" s="297"/>
      <c r="H478" s="271"/>
      <c r="I478" s="332"/>
      <c r="J478" s="332"/>
      <c r="K478" s="270"/>
    </row>
    <row r="479" spans="1:12" x14ac:dyDescent="0.3">
      <c r="A479" s="266">
        <f>A477+1</f>
        <v>230</v>
      </c>
      <c r="B479" s="272" t="str">
        <f>'MERGED HEAVY IND'!B2678</f>
        <v>7134 of 5190</v>
      </c>
      <c r="C479" s="323">
        <v>23713400</v>
      </c>
      <c r="D479" s="268" t="str">
        <f>'MERGED HEAVY IND'!E2678</f>
        <v>S. MASHIKI</v>
      </c>
      <c r="E479" s="268" t="str">
        <f>'MERGED HEAVY IND'!C2678</f>
        <v>U CIRCLE</v>
      </c>
      <c r="F479" s="268" t="s">
        <v>1928</v>
      </c>
      <c r="G479" s="268" t="s">
        <v>1252</v>
      </c>
      <c r="H479" s="271">
        <f>'MERGED HEAVY IND'!D2684</f>
        <v>2513</v>
      </c>
      <c r="I479" s="332">
        <f>'MERGED HEAVY IND'!H2684</f>
        <v>12565</v>
      </c>
      <c r="J479" s="332">
        <f>'MERGED HEAVY IND'!H2683</f>
        <v>182372.10749999998</v>
      </c>
      <c r="K479" s="270">
        <f>'MERGED HEAVY IND'!H2685</f>
        <v>194937.10749999998</v>
      </c>
      <c r="L479" s="340" t="s">
        <v>1208</v>
      </c>
    </row>
    <row r="480" spans="1:12" x14ac:dyDescent="0.3">
      <c r="A480" s="266"/>
      <c r="B480" s="266"/>
      <c r="C480" s="323"/>
      <c r="D480" s="268"/>
      <c r="E480" s="268"/>
      <c r="F480" s="268"/>
      <c r="G480" s="268"/>
      <c r="H480" s="271"/>
      <c r="I480" s="332"/>
      <c r="J480" s="332"/>
      <c r="K480" s="270"/>
    </row>
    <row r="481" spans="1:12" ht="28.8" x14ac:dyDescent="0.3">
      <c r="A481" s="266">
        <f>A479+1</f>
        <v>231</v>
      </c>
      <c r="B481" s="266">
        <f>'MERGED HEAVY IND'!B2687</f>
        <v>7135</v>
      </c>
      <c r="C481" s="323">
        <v>23713500</v>
      </c>
      <c r="D481" s="268" t="str">
        <f>'MERGED HEAVY IND'!E2687</f>
        <v>VATEL INVESTMENTS P/L</v>
      </c>
      <c r="E481" s="268" t="str">
        <f>'MERGED HEAVY IND'!C2687</f>
        <v>ST HELENS DRIVE</v>
      </c>
      <c r="F481" s="268" t="s">
        <v>1928</v>
      </c>
      <c r="G481" s="268" t="s">
        <v>1252</v>
      </c>
      <c r="H481" s="271">
        <f>'MERGED HEAVY IND'!D2695</f>
        <v>13663</v>
      </c>
      <c r="I481" s="332">
        <f>'MERGED HEAVY IND'!H2695</f>
        <v>63736.25</v>
      </c>
      <c r="J481" s="332">
        <f>'MERGED HEAVY IND'!H2694</f>
        <v>53285.650000000009</v>
      </c>
      <c r="K481" s="270">
        <f>'MERGED HEAVY IND'!H2696</f>
        <v>117021.90000000001</v>
      </c>
      <c r="L481">
        <v>7135</v>
      </c>
    </row>
    <row r="482" spans="1:12" x14ac:dyDescent="0.3">
      <c r="A482" s="266"/>
      <c r="B482" s="266"/>
      <c r="C482" s="323"/>
      <c r="D482" s="268"/>
      <c r="E482" s="268"/>
      <c r="F482" s="268"/>
      <c r="G482" s="297"/>
      <c r="H482" s="271"/>
      <c r="I482" s="332"/>
      <c r="J482" s="332"/>
      <c r="K482" s="270"/>
    </row>
    <row r="483" spans="1:12" x14ac:dyDescent="0.3">
      <c r="A483" s="266">
        <f>A481+1</f>
        <v>232</v>
      </c>
      <c r="B483" s="266">
        <f>'MERGED HEAVY IND'!B2697</f>
        <v>7552</v>
      </c>
      <c r="C483" s="323">
        <v>23755200</v>
      </c>
      <c r="D483" s="268" t="str">
        <f>'MERGED HEAVY IND'!E2697</f>
        <v>S.J.MANYUCHI</v>
      </c>
      <c r="E483" s="268" t="str">
        <f>'MERGED HEAVY IND'!C2697</f>
        <v>CHINGAIRA CLOSE</v>
      </c>
      <c r="F483" s="268" t="s">
        <v>1928</v>
      </c>
      <c r="G483" s="268" t="s">
        <v>1252</v>
      </c>
      <c r="H483" s="269">
        <f>'MERGED HEAVY IND'!D2704</f>
        <v>4675</v>
      </c>
      <c r="I483" s="332">
        <f>'MERGED HEAVY IND'!H2704</f>
        <v>23375</v>
      </c>
      <c r="J483" s="332">
        <f>'MERGED HEAVY IND'!H2703</f>
        <v>32627.999999999996</v>
      </c>
      <c r="K483" s="270">
        <f>'MERGED HEAVY IND'!H2705</f>
        <v>56003</v>
      </c>
      <c r="L483">
        <v>7552</v>
      </c>
    </row>
    <row r="484" spans="1:12" x14ac:dyDescent="0.3">
      <c r="A484" s="266"/>
      <c r="B484" s="266"/>
      <c r="C484" s="323"/>
      <c r="D484" s="268"/>
      <c r="E484" s="268"/>
      <c r="F484" s="268"/>
      <c r="G484" s="268"/>
      <c r="H484" s="293"/>
      <c r="I484" s="332"/>
      <c r="J484" s="332"/>
      <c r="K484" s="270"/>
    </row>
    <row r="485" spans="1:12" ht="28.8" x14ac:dyDescent="0.3">
      <c r="A485" s="266">
        <v>233</v>
      </c>
      <c r="B485" s="277">
        <f>'MERGED HEAVY IND'!B2082</f>
        <v>7552</v>
      </c>
      <c r="C485" s="319"/>
      <c r="D485" s="268" t="str">
        <f>'MERGED HEAVY IND'!E2082</f>
        <v>MAIZEMAN (PVT)LTD</v>
      </c>
      <c r="E485" s="268" t="str">
        <f>'MERGED HEAVY IND'!C2082</f>
        <v>CHINGAIRA CLOSE</v>
      </c>
      <c r="F485" s="268" t="s">
        <v>1928</v>
      </c>
      <c r="G485" s="268" t="s">
        <v>1252</v>
      </c>
      <c r="H485" s="269">
        <f>'MERGED HEAVY IND'!D2088</f>
        <v>4675</v>
      </c>
      <c r="I485" s="332">
        <f>'MERGED HEAVY IND'!H2088</f>
        <v>23375</v>
      </c>
      <c r="J485" s="332">
        <f>'MERGED HEAVY IND'!H2087</f>
        <v>57301.5</v>
      </c>
      <c r="K485" s="270">
        <f>'MERGED HEAVY IND'!H2089</f>
        <v>80676.5</v>
      </c>
      <c r="L485">
        <v>7552</v>
      </c>
    </row>
    <row r="486" spans="1:12" x14ac:dyDescent="0.3">
      <c r="A486" s="266"/>
      <c r="B486" s="277"/>
      <c r="C486" s="319"/>
      <c r="D486" s="268"/>
      <c r="E486" s="268"/>
      <c r="F486" s="268"/>
      <c r="G486" s="268"/>
      <c r="H486" s="293"/>
      <c r="I486" s="332"/>
      <c r="J486" s="332"/>
      <c r="K486" s="270"/>
    </row>
    <row r="487" spans="1:12" x14ac:dyDescent="0.3">
      <c r="A487" s="266">
        <v>234</v>
      </c>
      <c r="B487" s="266">
        <f>'MERGED HEAVY IND'!B2707</f>
        <v>7754</v>
      </c>
      <c r="C487" s="323">
        <v>23564700</v>
      </c>
      <c r="D487" s="268" t="str">
        <f>'MERGED HEAVY IND'!F2707</f>
        <v>CITY OF MUTARE</v>
      </c>
      <c r="E487" s="268" t="str">
        <f>'MERGED HEAVY IND'!C2707</f>
        <v>CHINGAIRA ROAD</v>
      </c>
      <c r="F487" s="268" t="s">
        <v>1928</v>
      </c>
      <c r="G487" s="267" t="s">
        <v>1277</v>
      </c>
      <c r="H487" s="271">
        <f>'MERGED HEAVY IND'!D2711</f>
        <v>3280</v>
      </c>
      <c r="I487" s="332">
        <f>'MERGED HEAVY IND'!H2711</f>
        <v>16400</v>
      </c>
      <c r="J487" s="332">
        <f>'MERGED HEAVY IND'!H2710</f>
        <v>0</v>
      </c>
      <c r="K487" s="270">
        <f>'MERGED HEAVY IND'!H2712</f>
        <v>16400</v>
      </c>
      <c r="L487">
        <v>7754</v>
      </c>
    </row>
    <row r="488" spans="1:12" ht="28.8" x14ac:dyDescent="0.3">
      <c r="A488" s="266">
        <v>235</v>
      </c>
      <c r="B488" s="266">
        <f>'MERGED HEAVY IND'!B2726</f>
        <v>7557</v>
      </c>
      <c r="C488" s="323">
        <v>23032300</v>
      </c>
      <c r="D488" s="267" t="s">
        <v>1960</v>
      </c>
      <c r="E488" s="268" t="str">
        <f>'MERGED HEAVY IND'!C2726</f>
        <v>TAMESIDE ROAD</v>
      </c>
      <c r="F488" s="268" t="s">
        <v>1928</v>
      </c>
      <c r="G488" s="297"/>
      <c r="H488" s="271">
        <f>'MERGED HEAVY IND'!D2730</f>
        <v>5980</v>
      </c>
      <c r="I488" s="332">
        <f>'MERGED HEAVY IND'!H2730</f>
        <v>29900</v>
      </c>
      <c r="J488" s="332">
        <f>'MERGED HEAVY IND'!H2729</f>
        <v>8870.75</v>
      </c>
      <c r="K488" s="270">
        <f>'MERGED HEAVY IND'!H2731</f>
        <v>38770.75</v>
      </c>
      <c r="L488">
        <v>7557</v>
      </c>
    </row>
    <row r="489" spans="1:12" x14ac:dyDescent="0.3">
      <c r="A489" s="266"/>
      <c r="B489" s="266"/>
      <c r="C489" s="323"/>
      <c r="D489" s="268"/>
      <c r="E489" s="268"/>
      <c r="F489" s="268"/>
      <c r="G489" s="297"/>
      <c r="H489" s="271"/>
      <c r="I489" s="332"/>
      <c r="J489" s="332"/>
      <c r="K489" s="270"/>
    </row>
    <row r="490" spans="1:12" ht="28.8" x14ac:dyDescent="0.3">
      <c r="A490" s="266">
        <f>A488+1</f>
        <v>236</v>
      </c>
      <c r="B490" s="266">
        <f>'MERGED HEAVY IND'!B2732</f>
        <v>7558</v>
      </c>
      <c r="C490" s="323">
        <v>23755800</v>
      </c>
      <c r="D490" s="268" t="str">
        <f>'MERGED HEAVY IND'!E2732</f>
        <v>MABANJA COMMUTERS</v>
      </c>
      <c r="E490" s="268" t="str">
        <f>'MERGED HEAVY IND'!C2732</f>
        <v>TAMESIDE ROAD</v>
      </c>
      <c r="F490" s="268" t="s">
        <v>1928</v>
      </c>
      <c r="G490" s="297" t="s">
        <v>1991</v>
      </c>
      <c r="H490" s="271">
        <f>'MERGED HEAVY IND'!D2738</f>
        <v>4650</v>
      </c>
      <c r="I490" s="332">
        <f>'MERGED HEAVY IND'!H2738</f>
        <v>23250</v>
      </c>
      <c r="J490" s="332">
        <f>'MERGED HEAVY IND'!H2737</f>
        <v>63368.55</v>
      </c>
      <c r="K490" s="270">
        <f>'MERGED HEAVY IND'!H2739</f>
        <v>86618.55</v>
      </c>
      <c r="L490">
        <v>7558</v>
      </c>
    </row>
    <row r="491" spans="1:12" x14ac:dyDescent="0.3">
      <c r="A491" s="266"/>
      <c r="B491" s="266"/>
      <c r="C491" s="323"/>
      <c r="D491" s="268"/>
      <c r="E491" s="268"/>
      <c r="F491" s="268"/>
      <c r="G491" s="297"/>
      <c r="H491" s="271"/>
      <c r="I491" s="332"/>
      <c r="J491" s="332"/>
      <c r="K491" s="270"/>
    </row>
    <row r="492" spans="1:12" ht="28.8" x14ac:dyDescent="0.3">
      <c r="A492" s="266">
        <f>A490+1</f>
        <v>237</v>
      </c>
      <c r="B492" s="266">
        <f>'MERGED HEAVY IND'!B2740</f>
        <v>7559</v>
      </c>
      <c r="C492" s="323">
        <v>23755900</v>
      </c>
      <c r="D492" s="268" t="str">
        <f>'MERGED HEAVY IND'!E2740</f>
        <v>PLYPORT PETROLEUM</v>
      </c>
      <c r="E492" s="268" t="str">
        <f>'MERGED HEAVY IND'!C2740</f>
        <v>TAMESIDE /CHIMANIMANI ROAD</v>
      </c>
      <c r="F492" s="268" t="s">
        <v>1928</v>
      </c>
      <c r="G492" s="268" t="s">
        <v>1253</v>
      </c>
      <c r="H492" s="271">
        <f>'MERGED HEAVY IND'!D2749</f>
        <v>6862</v>
      </c>
      <c r="I492" s="332">
        <f>'MERGED HEAVY IND'!H2749</f>
        <v>34310</v>
      </c>
      <c r="J492" s="332">
        <f>'MERGED HEAVY IND'!H2748</f>
        <v>74815</v>
      </c>
      <c r="K492" s="270">
        <f>'MERGED HEAVY IND'!H2750</f>
        <v>109125</v>
      </c>
      <c r="L492">
        <v>7559</v>
      </c>
    </row>
    <row r="493" spans="1:12" x14ac:dyDescent="0.3">
      <c r="A493" s="266"/>
      <c r="B493" s="266"/>
      <c r="C493" s="323"/>
      <c r="D493" s="268"/>
      <c r="E493" s="268"/>
      <c r="F493" s="268"/>
      <c r="G493" s="268"/>
      <c r="H493" s="271"/>
      <c r="I493" s="332"/>
      <c r="J493" s="332"/>
      <c r="K493" s="270"/>
    </row>
    <row r="494" spans="1:12" x14ac:dyDescent="0.3">
      <c r="A494" s="266">
        <v>238</v>
      </c>
      <c r="B494" s="277">
        <f>'MERGED HEAVY IND'!B2091</f>
        <v>7583</v>
      </c>
      <c r="C494" s="319"/>
      <c r="D494" s="267" t="str">
        <f>'MERGED HEAVY IND'!F2091</f>
        <v>CITY OF MUTARE</v>
      </c>
      <c r="E494" s="268" t="str">
        <f>'MERGED HEAVY IND'!C2091</f>
        <v>23 VUMBA ROAD</v>
      </c>
      <c r="F494" s="268" t="s">
        <v>1928</v>
      </c>
      <c r="G494" s="268" t="s">
        <v>1277</v>
      </c>
      <c r="H494" s="269">
        <f>'MERGED HEAVY IND'!D2095</f>
        <v>6300</v>
      </c>
      <c r="I494" s="332">
        <f>'MERGED HEAVY IND'!H2095</f>
        <v>31500</v>
      </c>
      <c r="J494" s="332">
        <f>'MERGED HEAVY IND'!H2094</f>
        <v>0</v>
      </c>
      <c r="K494" s="270">
        <f>'MERGED HEAVY IND'!H2096</f>
        <v>31500</v>
      </c>
      <c r="L494">
        <v>7583</v>
      </c>
    </row>
    <row r="495" spans="1:12" x14ac:dyDescent="0.3">
      <c r="A495" s="266"/>
      <c r="B495" s="266"/>
      <c r="C495" s="323"/>
      <c r="D495" s="268"/>
      <c r="E495" s="268"/>
      <c r="F495" s="268"/>
      <c r="G495" s="297"/>
      <c r="H495" s="269"/>
      <c r="I495" s="332"/>
      <c r="J495" s="332"/>
      <c r="K495" s="270"/>
    </row>
    <row r="496" spans="1:12" x14ac:dyDescent="0.3">
      <c r="A496" s="266">
        <v>239</v>
      </c>
      <c r="B496" s="266">
        <f>'MERGED HEAVY IND'!B2714</f>
        <v>7755</v>
      </c>
      <c r="C496" s="323"/>
      <c r="D496" s="268" t="str">
        <f>'MERGED HEAVY IND'!E2714</f>
        <v>HOCKWELL TYRES</v>
      </c>
      <c r="E496" s="268" t="str">
        <f>'MERGED HEAVY IND'!C2714</f>
        <v>CHINGAIRA ROAD</v>
      </c>
      <c r="F496" s="268" t="s">
        <v>1928</v>
      </c>
      <c r="G496" s="268" t="s">
        <v>1252</v>
      </c>
      <c r="H496" s="269">
        <f>'MERGED HEAVY IND'!D2723</f>
        <v>4400</v>
      </c>
      <c r="I496" s="332">
        <f>'MERGED HEAVY IND'!H2723</f>
        <v>22000</v>
      </c>
      <c r="J496" s="332">
        <f>'MERGED HEAVY IND'!H2722</f>
        <v>76950</v>
      </c>
      <c r="K496" s="270">
        <f>'MERGED HEAVY IND'!H2724</f>
        <v>98950</v>
      </c>
      <c r="L496">
        <v>7755</v>
      </c>
    </row>
    <row r="497" spans="1:12" x14ac:dyDescent="0.3">
      <c r="A497" s="266"/>
      <c r="B497" s="266"/>
      <c r="C497" s="323"/>
      <c r="D497" s="268"/>
      <c r="E497" s="268"/>
      <c r="F497" s="268"/>
      <c r="G497" s="297"/>
      <c r="H497" s="271"/>
      <c r="I497" s="332"/>
      <c r="J497" s="332"/>
      <c r="K497" s="270"/>
    </row>
    <row r="498" spans="1:12" ht="28.8" x14ac:dyDescent="0.3">
      <c r="A498" s="266">
        <f>A496+1</f>
        <v>240</v>
      </c>
      <c r="B498" s="266">
        <f>'MERGED HEAVY IND'!B2753</f>
        <v>7774</v>
      </c>
      <c r="C498" s="323"/>
      <c r="D498" s="267" t="str">
        <f>'MERGED HEAVY IND'!F2753</f>
        <v>CITY OF MUTARE</v>
      </c>
      <c r="E498" s="268" t="str">
        <f>'MERGED HEAVY IND'!C2753</f>
        <v>LONGBRIDGE ROAD NYAKAMETE</v>
      </c>
      <c r="F498" s="268" t="s">
        <v>1928</v>
      </c>
      <c r="G498" s="267" t="s">
        <v>1277</v>
      </c>
      <c r="H498" s="299">
        <f>'MERGED HEAVY IND'!D2757</f>
        <v>2502</v>
      </c>
      <c r="I498" s="332">
        <f>'MERGED HEAVY IND'!H2757</f>
        <v>12510</v>
      </c>
      <c r="J498" s="332">
        <f>'MERGED HEAVY IND'!H2756</f>
        <v>0</v>
      </c>
      <c r="K498" s="270">
        <f>'MERGED HEAVY IND'!H2758</f>
        <v>12510</v>
      </c>
      <c r="L498">
        <v>7774</v>
      </c>
    </row>
    <row r="499" spans="1:12" x14ac:dyDescent="0.3">
      <c r="A499" s="266"/>
      <c r="B499" s="266"/>
      <c r="C499" s="323"/>
      <c r="D499" s="292"/>
      <c r="E499" s="268"/>
      <c r="F499" s="268"/>
      <c r="G499" s="297"/>
      <c r="H499" s="271"/>
      <c r="I499" s="332"/>
      <c r="J499" s="332"/>
      <c r="K499" s="270"/>
    </row>
    <row r="500" spans="1:12" ht="28.8" x14ac:dyDescent="0.3">
      <c r="A500" s="266">
        <f>A498+1</f>
        <v>241</v>
      </c>
      <c r="B500" s="266">
        <f>'MERGED HEAVY IND'!B2759</f>
        <v>7775</v>
      </c>
      <c r="C500" s="323"/>
      <c r="D500" s="267" t="str">
        <f>'MERGED HEAVY IND'!F2759</f>
        <v>FALSEL SERVICES</v>
      </c>
      <c r="E500" s="268" t="str">
        <f>'MERGED HEAVY IND'!C2753</f>
        <v>LONGBRIDGE ROAD NYAKAMETE</v>
      </c>
      <c r="F500" s="268" t="s">
        <v>1928</v>
      </c>
      <c r="G500" s="267" t="s">
        <v>1277</v>
      </c>
      <c r="H500" s="271">
        <f>'MERGED HEAVY IND'!D2763</f>
        <v>3773</v>
      </c>
      <c r="I500" s="332">
        <f>'MERGED HEAVY IND'!H2763</f>
        <v>18865</v>
      </c>
      <c r="J500" s="332">
        <f>'MERGED HEAVY IND'!H2762</f>
        <v>0</v>
      </c>
      <c r="K500" s="270">
        <f>'MERGED HEAVY IND'!H2764</f>
        <v>18865</v>
      </c>
      <c r="L500">
        <v>7775</v>
      </c>
    </row>
    <row r="501" spans="1:12" x14ac:dyDescent="0.3">
      <c r="A501" s="266"/>
      <c r="B501" s="266"/>
      <c r="C501" s="323"/>
      <c r="D501" s="292"/>
      <c r="E501" s="268"/>
      <c r="F501" s="268"/>
      <c r="G501" s="297"/>
      <c r="H501" s="271"/>
      <c r="I501" s="332"/>
      <c r="J501" s="332"/>
      <c r="K501" s="270"/>
    </row>
    <row r="502" spans="1:12" ht="28.8" x14ac:dyDescent="0.3">
      <c r="A502" s="266">
        <f>A500+1</f>
        <v>242</v>
      </c>
      <c r="B502" s="266">
        <f>'MERGED HEAVY IND'!B2765</f>
        <v>7776</v>
      </c>
      <c r="C502" s="323"/>
      <c r="D502" s="267" t="str">
        <f>'MERGED HEAVY IND'!F2765</f>
        <v>EDGE HOUSE INVESTMENTS</v>
      </c>
      <c r="E502" s="268" t="str">
        <f>'MERGED HEAVY IND'!C2765</f>
        <v>LONGBRIDGE ROAD NYAKAMETE</v>
      </c>
      <c r="F502" s="268" t="s">
        <v>1928</v>
      </c>
      <c r="G502" s="267" t="s">
        <v>1277</v>
      </c>
      <c r="H502" s="271">
        <f>'MERGED HEAVY IND'!D2769</f>
        <v>3550</v>
      </c>
      <c r="I502" s="332">
        <f>'MERGED HEAVY IND'!H2769</f>
        <v>17750</v>
      </c>
      <c r="J502" s="332">
        <f>'MERGED HEAVY IND'!H2768</f>
        <v>0</v>
      </c>
      <c r="K502" s="270">
        <f>'MERGED HEAVY IND'!H2770</f>
        <v>17750</v>
      </c>
      <c r="L502">
        <v>7776</v>
      </c>
    </row>
    <row r="503" spans="1:12" x14ac:dyDescent="0.3">
      <c r="A503" s="266"/>
      <c r="B503" s="266"/>
      <c r="C503" s="323"/>
      <c r="D503" s="268"/>
      <c r="E503" s="268"/>
      <c r="F503" s="268"/>
      <c r="G503" s="297"/>
      <c r="H503" s="271"/>
      <c r="I503" s="332"/>
      <c r="J503" s="332"/>
      <c r="K503" s="270"/>
    </row>
    <row r="504" spans="1:12" ht="28.8" x14ac:dyDescent="0.3">
      <c r="A504" s="266">
        <f>A502+1</f>
        <v>243</v>
      </c>
      <c r="B504" s="266">
        <f>'MERGED HEAVY IND'!B2771</f>
        <v>7777</v>
      </c>
      <c r="C504" s="323">
        <v>23042400</v>
      </c>
      <c r="D504" s="268" t="str">
        <f>'MERGED HEAVY IND'!E2771</f>
        <v>PHILEMON MAROWA</v>
      </c>
      <c r="E504" s="268" t="str">
        <f>'MERGED HEAVY IND'!C2771</f>
        <v>LONGBRIDGE ROAD NYAKAMETE</v>
      </c>
      <c r="F504" s="268" t="s">
        <v>1928</v>
      </c>
      <c r="G504" s="297" t="s">
        <v>1262</v>
      </c>
      <c r="H504" s="271">
        <f>'MERGED HEAVY IND'!D2776</f>
        <v>3195</v>
      </c>
      <c r="I504" s="332">
        <f>'MERGED HEAVY IND'!H2776</f>
        <v>15975</v>
      </c>
      <c r="J504" s="332">
        <f>'MERGED HEAVY IND'!H2775</f>
        <v>8418.75</v>
      </c>
      <c r="K504" s="270">
        <f>'MERGED HEAVY IND'!H2777</f>
        <v>24393.75</v>
      </c>
      <c r="L504">
        <v>7777</v>
      </c>
    </row>
    <row r="505" spans="1:12" x14ac:dyDescent="0.3">
      <c r="A505" s="266"/>
      <c r="B505" s="266"/>
      <c r="C505" s="323"/>
      <c r="D505" s="268"/>
      <c r="E505" s="268"/>
      <c r="F505" s="268"/>
      <c r="G505" s="297"/>
      <c r="H505" s="271"/>
      <c r="I505" s="332"/>
      <c r="J505" s="332"/>
      <c r="K505" s="270"/>
    </row>
    <row r="506" spans="1:12" ht="28.8" x14ac:dyDescent="0.3">
      <c r="A506" s="266">
        <f>A504+1</f>
        <v>244</v>
      </c>
      <c r="B506" s="266">
        <f>'MERGED HEAVY IND'!B2778</f>
        <v>7778</v>
      </c>
      <c r="C506" s="323"/>
      <c r="D506" s="267" t="str">
        <f>'MERGED HEAVY IND'!F2778</f>
        <v>MAWADZA .G</v>
      </c>
      <c r="E506" s="268" t="str">
        <f>'MERGED HEAVY IND'!C2778</f>
        <v>LONGBRIDGE ROAD NYAKAMETE</v>
      </c>
      <c r="F506" s="268" t="s">
        <v>1928</v>
      </c>
      <c r="G506" s="267" t="s">
        <v>1277</v>
      </c>
      <c r="H506" s="271">
        <f>'MERGED HEAVY IND'!D2782</f>
        <v>3152</v>
      </c>
      <c r="I506" s="332">
        <f>'MERGED HEAVY IND'!H2782</f>
        <v>15760</v>
      </c>
      <c r="J506" s="332">
        <f>'MERGED HEAVY IND'!H2781</f>
        <v>0</v>
      </c>
      <c r="K506" s="270">
        <f>'MERGED HEAVY IND'!H2783</f>
        <v>15760</v>
      </c>
      <c r="L506">
        <v>7778</v>
      </c>
    </row>
    <row r="507" spans="1:12" x14ac:dyDescent="0.3">
      <c r="A507" s="266"/>
      <c r="B507" s="266"/>
      <c r="C507" s="323"/>
      <c r="D507" s="292"/>
      <c r="E507" s="268"/>
      <c r="F507" s="268"/>
      <c r="G507" s="297"/>
      <c r="H507" s="271"/>
      <c r="I507" s="332"/>
      <c r="J507" s="332"/>
      <c r="K507" s="270"/>
    </row>
    <row r="508" spans="1:12" ht="28.8" x14ac:dyDescent="0.3">
      <c r="A508" s="266">
        <f>A506+1</f>
        <v>245</v>
      </c>
      <c r="B508" s="266">
        <f>'MERGED HEAVY IND'!B2784</f>
        <v>7779</v>
      </c>
      <c r="C508" s="323">
        <v>23777900</v>
      </c>
      <c r="D508" s="267" t="str">
        <f>'MERGED HEAVY IND'!F2784</f>
        <v>MAFANA .J.S</v>
      </c>
      <c r="E508" s="268" t="str">
        <f>'MERGED HEAVY IND'!C2784</f>
        <v>LONGBRIDGE ROAD NYAKAMETE</v>
      </c>
      <c r="F508" s="268" t="s">
        <v>1928</v>
      </c>
      <c r="G508" s="267" t="s">
        <v>1277</v>
      </c>
      <c r="H508" s="271">
        <f>'MERGED HEAVY IND'!D2788</f>
        <v>4694</v>
      </c>
      <c r="I508" s="332">
        <f>'MERGED HEAVY IND'!H2788</f>
        <v>23470</v>
      </c>
      <c r="J508" s="332">
        <f>'MERGED HEAVY IND'!H2787</f>
        <v>0</v>
      </c>
      <c r="K508" s="270">
        <f>'MERGED HEAVY IND'!H2789</f>
        <v>23470</v>
      </c>
      <c r="L508">
        <v>7779</v>
      </c>
    </row>
    <row r="509" spans="1:12" x14ac:dyDescent="0.3">
      <c r="A509" s="266"/>
      <c r="B509" s="266"/>
      <c r="C509" s="323"/>
      <c r="D509" s="268"/>
      <c r="E509" s="268"/>
      <c r="F509" s="268"/>
      <c r="G509" s="297"/>
      <c r="H509" s="271"/>
      <c r="I509" s="332"/>
      <c r="J509" s="332"/>
      <c r="K509" s="270"/>
    </row>
    <row r="510" spans="1:12" ht="28.8" x14ac:dyDescent="0.3">
      <c r="A510" s="266">
        <f>A508+1</f>
        <v>246</v>
      </c>
      <c r="B510" s="266">
        <f>'MERGED HEAVY IND'!B2790</f>
        <v>7780</v>
      </c>
      <c r="C510" s="323"/>
      <c r="D510" s="268" t="str">
        <f>'MERGED HEAVY IND'!F2790</f>
        <v>HAPANA</v>
      </c>
      <c r="E510" s="268" t="str">
        <f>'MERGED HEAVY IND'!C2790</f>
        <v>7780 LONGBRIDGE NYAKAMETE</v>
      </c>
      <c r="F510" s="268" t="s">
        <v>1928</v>
      </c>
      <c r="G510" s="267" t="s">
        <v>1277</v>
      </c>
      <c r="H510" s="271">
        <f>'MERGED HEAVY IND'!D2793</f>
        <v>4942</v>
      </c>
      <c r="I510" s="332">
        <f>'MERGED HEAVY IND'!H2793</f>
        <v>24710</v>
      </c>
      <c r="J510" s="332">
        <f>'MERGED HEAVY IND'!H2792</f>
        <v>0</v>
      </c>
      <c r="K510" s="270">
        <f>'MERGED HEAVY IND'!H2794</f>
        <v>24710</v>
      </c>
      <c r="L510">
        <v>7780</v>
      </c>
    </row>
    <row r="511" spans="1:12" x14ac:dyDescent="0.3">
      <c r="A511" s="266"/>
      <c r="B511" s="266"/>
      <c r="C511" s="323"/>
      <c r="D511" s="268"/>
      <c r="E511" s="268"/>
      <c r="F511" s="268"/>
      <c r="G511" s="297"/>
      <c r="H511" s="271"/>
      <c r="I511" s="332"/>
      <c r="J511" s="332"/>
      <c r="K511" s="270"/>
    </row>
    <row r="512" spans="1:12" ht="28.8" x14ac:dyDescent="0.3">
      <c r="A512" s="266">
        <f>A510+1</f>
        <v>247</v>
      </c>
      <c r="B512" s="266">
        <f>'MERGED HEAVY IND'!B2795</f>
        <v>7781</v>
      </c>
      <c r="C512" s="323">
        <v>23778100</v>
      </c>
      <c r="D512" s="268" t="str">
        <f>'MERGED HEAVY IND'!F2795</f>
        <v>SHOKO</v>
      </c>
      <c r="E512" s="268" t="str">
        <f>'MERGED HEAVY IND'!C2795</f>
        <v>7781 LONGBRIDGE ROAD NYAKAMETE</v>
      </c>
      <c r="F512" s="268" t="s">
        <v>1928</v>
      </c>
      <c r="G512" s="268" t="s">
        <v>1252</v>
      </c>
      <c r="H512" s="271">
        <f>'MERGED HEAVY IND'!D2800</f>
        <v>2633</v>
      </c>
      <c r="I512" s="332">
        <f>'MERGED HEAVY IND'!H2805</f>
        <v>39970</v>
      </c>
      <c r="J512" s="332">
        <f>'MERGED HEAVY IND'!H2799</f>
        <v>43592.75</v>
      </c>
      <c r="K512" s="270">
        <f>'MERGED HEAVY IND'!H2801</f>
        <v>56757.75</v>
      </c>
      <c r="L512">
        <v>7781</v>
      </c>
    </row>
    <row r="513" spans="1:12" x14ac:dyDescent="0.3">
      <c r="A513" s="266"/>
      <c r="B513" s="266"/>
      <c r="C513" s="323"/>
      <c r="D513" s="268"/>
      <c r="E513" s="268"/>
      <c r="F513" s="268"/>
      <c r="G513" s="297"/>
      <c r="H513" s="271"/>
      <c r="I513" s="332"/>
      <c r="J513" s="332"/>
      <c r="K513" s="270"/>
    </row>
    <row r="514" spans="1:12" ht="43.2" x14ac:dyDescent="0.3">
      <c r="A514" s="266">
        <f>A512+1</f>
        <v>248</v>
      </c>
      <c r="B514" s="272" t="str">
        <f>'MERGED HEAVY IND'!B2802</f>
        <v>7782 &amp; 7783</v>
      </c>
      <c r="C514" s="323">
        <v>23778300</v>
      </c>
      <c r="D514" s="268" t="str">
        <f>'MERGED HEAVY IND'!F2802</f>
        <v>ORIGINAL HAULAGE</v>
      </c>
      <c r="E514" s="268" t="str">
        <f>'MERGED HEAVY IND'!C2802</f>
        <v>7782 &amp; 7783 LONGBRIDGE ROAD NYAKAMETE</v>
      </c>
      <c r="F514" s="268" t="s">
        <v>1928</v>
      </c>
      <c r="G514" s="267" t="s">
        <v>1277</v>
      </c>
      <c r="H514" s="271">
        <f>'MERGED HEAVY IND'!D2805</f>
        <v>7994</v>
      </c>
      <c r="I514" s="332">
        <f>'MERGED HEAVY IND'!H2805</f>
        <v>39970</v>
      </c>
      <c r="J514" s="332">
        <f>'MERGED HEAVY IND'!H2804</f>
        <v>0</v>
      </c>
      <c r="K514" s="270">
        <f>'MERGED HEAVY IND'!H2806</f>
        <v>39970</v>
      </c>
      <c r="L514" s="340" t="s">
        <v>1223</v>
      </c>
    </row>
    <row r="515" spans="1:12" x14ac:dyDescent="0.3">
      <c r="A515" s="266"/>
      <c r="B515" s="266"/>
      <c r="C515" s="323"/>
      <c r="D515" s="268"/>
      <c r="E515" s="268"/>
      <c r="F515" s="268"/>
      <c r="G515" s="297"/>
      <c r="H515" s="271"/>
      <c r="I515" s="332"/>
      <c r="J515" s="332"/>
      <c r="K515" s="270"/>
    </row>
    <row r="516" spans="1:12" ht="28.8" x14ac:dyDescent="0.3">
      <c r="A516" s="266">
        <f>A514+1</f>
        <v>249</v>
      </c>
      <c r="B516" s="296">
        <f>'MERGED HEAVY IND'!B2807</f>
        <v>7785</v>
      </c>
      <c r="C516" s="323">
        <v>23778500</v>
      </c>
      <c r="D516" s="268" t="str">
        <f>'MERGED HEAVY IND'!F2807</f>
        <v>WORDCROFT INV. PVT LTD</v>
      </c>
      <c r="E516" s="268" t="str">
        <f>'MERGED HEAVY IND'!C2807</f>
        <v>7785 LONGBRIDGE ROAD</v>
      </c>
      <c r="F516" s="268" t="s">
        <v>1928</v>
      </c>
      <c r="G516" s="268" t="s">
        <v>1252</v>
      </c>
      <c r="H516" s="271">
        <f>'MERGED HEAVY IND'!D2814</f>
        <v>2263</v>
      </c>
      <c r="I516" s="332">
        <f>'MERGED HEAVY IND'!H2814</f>
        <v>11315</v>
      </c>
      <c r="J516" s="332">
        <f>'MERGED HEAVY IND'!H2813</f>
        <v>64360.450000000004</v>
      </c>
      <c r="K516" s="270">
        <f>'MERGED HEAVY IND'!H2815</f>
        <v>75675.450000000012</v>
      </c>
      <c r="L516" s="341">
        <v>7785</v>
      </c>
    </row>
    <row r="517" spans="1:12" x14ac:dyDescent="0.3">
      <c r="A517" s="266"/>
      <c r="B517" s="266"/>
      <c r="C517" s="323"/>
      <c r="D517" s="268"/>
      <c r="E517" s="268"/>
      <c r="F517" s="268"/>
      <c r="G517" s="297"/>
      <c r="H517" s="271"/>
      <c r="I517" s="332"/>
      <c r="J517" s="332"/>
      <c r="K517" s="270"/>
    </row>
    <row r="518" spans="1:12" ht="28.8" x14ac:dyDescent="0.3">
      <c r="A518" s="266">
        <f>A516+1</f>
        <v>250</v>
      </c>
      <c r="B518" s="266">
        <f>'MERGED HEAVY IND'!B2817</f>
        <v>10246</v>
      </c>
      <c r="C518" s="323">
        <v>23050300</v>
      </c>
      <c r="D518" s="267" t="str">
        <f>'MERGED HEAVY IND'!F2817</f>
        <v>MUKUSHU AGRIPPA</v>
      </c>
      <c r="E518" s="268" t="str">
        <f>'MERGED HEAVY IND'!C2817</f>
        <v>LONGBRIDGE ROAD NYAKAMETE</v>
      </c>
      <c r="F518" s="268" t="s">
        <v>1928</v>
      </c>
      <c r="G518" s="268" t="s">
        <v>1252</v>
      </c>
      <c r="H518" s="271">
        <f>'MERGED HEAVY IND'!D2822</f>
        <v>1921</v>
      </c>
      <c r="I518" s="332">
        <f>'MERGED HEAVY IND'!H2822</f>
        <v>9605</v>
      </c>
      <c r="J518" s="332">
        <f>'MERGED HEAVY IND'!H2821</f>
        <v>13440.48</v>
      </c>
      <c r="K518" s="270">
        <f>'MERGED HEAVY IND'!H2822</f>
        <v>9605</v>
      </c>
      <c r="L518">
        <v>10246</v>
      </c>
    </row>
    <row r="519" spans="1:12" x14ac:dyDescent="0.3">
      <c r="A519" s="266"/>
      <c r="B519" s="266"/>
      <c r="C519" s="323"/>
      <c r="D519" s="268"/>
      <c r="E519" s="268"/>
      <c r="F519" s="268"/>
      <c r="G519" s="297"/>
      <c r="H519" s="271"/>
      <c r="I519" s="332"/>
      <c r="J519" s="332"/>
      <c r="K519" s="270"/>
    </row>
    <row r="520" spans="1:12" ht="28.8" x14ac:dyDescent="0.3">
      <c r="A520" s="266">
        <f>A518+1</f>
        <v>251</v>
      </c>
      <c r="B520" s="278" t="str">
        <f>'MERGED HEAVY IND'!B2824</f>
        <v>10247 &amp;  7784</v>
      </c>
      <c r="C520" s="319"/>
      <c r="D520" s="268" t="str">
        <f>'MERGED HEAVY IND'!E2824</f>
        <v>WORDCROFT INV. PVT LTD.</v>
      </c>
      <c r="E520" s="268" t="str">
        <f>'MERGED HEAVY IND'!C2824</f>
        <v xml:space="preserve">7784 LONGBRIDGE ROAD </v>
      </c>
      <c r="F520" s="268" t="s">
        <v>1928</v>
      </c>
      <c r="G520" s="268" t="s">
        <v>1252</v>
      </c>
      <c r="H520" s="271">
        <f>'MERGED HEAVY IND'!D2828</f>
        <v>2534</v>
      </c>
      <c r="I520" s="332">
        <f>'MERGED HEAVY IND'!H2828</f>
        <v>12670</v>
      </c>
      <c r="J520" s="332">
        <f>'MERGED HEAVY IND'!H2827</f>
        <v>4020</v>
      </c>
      <c r="K520" s="270">
        <f>'MERGED HEAVY IND'!H2829</f>
        <v>16690</v>
      </c>
      <c r="L520" s="340" t="s">
        <v>1226</v>
      </c>
    </row>
    <row r="521" spans="1:12" x14ac:dyDescent="0.3">
      <c r="A521" s="266"/>
      <c r="B521" s="277"/>
      <c r="C521" s="319"/>
      <c r="D521" s="268"/>
      <c r="E521" s="268"/>
      <c r="F521" s="268"/>
      <c r="G521" s="268"/>
      <c r="H521" s="271"/>
      <c r="I521" s="332"/>
      <c r="J521" s="332"/>
      <c r="K521" s="270"/>
    </row>
    <row r="522" spans="1:12" ht="28.8" x14ac:dyDescent="0.3">
      <c r="A522" s="266">
        <f>A520+1</f>
        <v>252</v>
      </c>
      <c r="B522" s="277" t="str">
        <f>'MERGED HEAVY IND'!B2831</f>
        <v>10289 S/D OF 6006</v>
      </c>
      <c r="C522" s="319"/>
      <c r="D522" s="267" t="str">
        <f>'MERGED HEAVY IND'!E2831</f>
        <v>CITY OF MUTARE</v>
      </c>
      <c r="E522" s="268" t="str">
        <f>'MERGED HEAVY IND'!C2831</f>
        <v>MUDUMA CRESCENT</v>
      </c>
      <c r="F522" s="268" t="s">
        <v>1928</v>
      </c>
      <c r="G522" s="267" t="s">
        <v>1277</v>
      </c>
      <c r="H522" s="271">
        <f>'MERGED HEAVY IND'!D2834</f>
        <v>900</v>
      </c>
      <c r="I522" s="332">
        <f>'MERGED HEAVY IND'!H2834</f>
        <v>4500</v>
      </c>
      <c r="J522" s="332">
        <f>'MERGED HEAVY IND'!H2833</f>
        <v>0</v>
      </c>
      <c r="K522" s="270">
        <f>'MERGED HEAVY IND'!H2835</f>
        <v>4500</v>
      </c>
      <c r="L522" t="s">
        <v>1051</v>
      </c>
    </row>
    <row r="523" spans="1:12" x14ac:dyDescent="0.3">
      <c r="A523" s="266"/>
      <c r="B523" s="277"/>
      <c r="C523" s="319"/>
      <c r="D523" s="268"/>
      <c r="E523" s="268"/>
      <c r="F523" s="268"/>
      <c r="G523" s="268"/>
      <c r="H523" s="271"/>
      <c r="I523" s="332"/>
      <c r="J523" s="332"/>
      <c r="K523" s="270"/>
    </row>
    <row r="524" spans="1:12" ht="28.8" x14ac:dyDescent="0.3">
      <c r="A524" s="266">
        <f>A522+1</f>
        <v>253</v>
      </c>
      <c r="B524" s="277" t="str">
        <f>'MERGED HEAVY IND'!B2836</f>
        <v>10290 S/D OF 6006</v>
      </c>
      <c r="C524" s="319"/>
      <c r="D524" s="267" t="str">
        <f>'MERGED HEAVY IND'!E2836</f>
        <v>MAKAHANANA OTTO. T</v>
      </c>
      <c r="E524" s="268" t="str">
        <f>'MERGED HEAVY IND'!C2836</f>
        <v>MUDUMA CRESCENT</v>
      </c>
      <c r="F524" s="268" t="s">
        <v>1928</v>
      </c>
      <c r="G524" s="267" t="s">
        <v>1277</v>
      </c>
      <c r="H524" s="300">
        <f>'MERGED HEAVY IND'!D2839</f>
        <v>3890</v>
      </c>
      <c r="I524" s="332">
        <f>'MERGED HEAVY IND'!H2839</f>
        <v>19450</v>
      </c>
      <c r="J524" s="332">
        <f>'MERGED HEAVY IND'!H2838</f>
        <v>0</v>
      </c>
      <c r="K524" s="270">
        <f>'MERGED HEAVY IND'!H2840</f>
        <v>19450</v>
      </c>
      <c r="L524" t="s">
        <v>1052</v>
      </c>
    </row>
    <row r="525" spans="1:12" x14ac:dyDescent="0.3">
      <c r="A525" s="266"/>
      <c r="B525" s="277"/>
      <c r="C525" s="319"/>
      <c r="D525" s="268"/>
      <c r="E525" s="268"/>
      <c r="F525" s="268"/>
      <c r="G525" s="268"/>
      <c r="H525" s="271"/>
      <c r="I525" s="332"/>
      <c r="J525" s="332"/>
      <c r="K525" s="270"/>
    </row>
    <row r="526" spans="1:12" x14ac:dyDescent="0.3">
      <c r="A526" s="266">
        <f>A524+1</f>
        <v>254</v>
      </c>
      <c r="B526" s="277">
        <f>'MERGED HEAVY IND'!B2842</f>
        <v>10291</v>
      </c>
      <c r="C526" s="319"/>
      <c r="D526" s="268" t="str">
        <f>'MERGED HEAVY IND'!E2842</f>
        <v>TENDA BUSES</v>
      </c>
      <c r="E526" s="268" t="str">
        <f>'MERGED HEAVY IND'!C2842</f>
        <v>MUDUMA CRESCENT</v>
      </c>
      <c r="F526" s="268" t="s">
        <v>1928</v>
      </c>
      <c r="G526" s="268" t="s">
        <v>1252</v>
      </c>
      <c r="H526" s="271">
        <f>'MERGED HEAVY IND'!D2848</f>
        <v>5000</v>
      </c>
      <c r="I526" s="332">
        <f>'MERGED HEAVY IND'!H2848</f>
        <v>25000</v>
      </c>
      <c r="J526" s="332">
        <f>'MERGED HEAVY IND'!H2847</f>
        <v>106418.34</v>
      </c>
      <c r="K526" s="270">
        <f>'MERGED HEAVY IND'!H2849</f>
        <v>131418.34</v>
      </c>
      <c r="L526">
        <v>10291</v>
      </c>
    </row>
    <row r="527" spans="1:12" x14ac:dyDescent="0.3">
      <c r="A527" s="266"/>
      <c r="B527" s="277"/>
      <c r="C527" s="319"/>
      <c r="D527" s="268"/>
      <c r="E527" s="268"/>
      <c r="F527" s="268"/>
      <c r="G527" s="268"/>
      <c r="H527" s="271"/>
      <c r="I527" s="332"/>
      <c r="J527" s="332"/>
      <c r="K527" s="270"/>
    </row>
    <row r="528" spans="1:12" ht="28.8" x14ac:dyDescent="0.3">
      <c r="A528" s="266">
        <f>A526+1</f>
        <v>255</v>
      </c>
      <c r="B528" s="277">
        <f>'MERGED HEAVY IND'!B2851</f>
        <v>10761</v>
      </c>
      <c r="C528" s="319">
        <v>23255300</v>
      </c>
      <c r="D528" s="268" t="str">
        <f>'MERGED HEAVY IND'!E2851</f>
        <v>CBZ (MANYUCHI COMPLEX)</v>
      </c>
      <c r="E528" s="268" t="str">
        <f>'MERGED HEAVY IND'!C2851</f>
        <v>LIVERPOOL ROAD</v>
      </c>
      <c r="F528" s="268" t="s">
        <v>1928</v>
      </c>
      <c r="G528" s="268" t="s">
        <v>1300</v>
      </c>
      <c r="H528" s="271">
        <f>'MERGED HEAVY IND'!D2861</f>
        <v>29560</v>
      </c>
      <c r="I528" s="332">
        <f>'MERGED HEAVY IND'!H2861</f>
        <v>111400</v>
      </c>
      <c r="J528" s="332">
        <f>'MERGED HEAVY IND'!H2860</f>
        <v>851415</v>
      </c>
      <c r="K528" s="270">
        <f>'MERGED HEAVY IND'!H2862</f>
        <v>962815</v>
      </c>
      <c r="L528">
        <v>10761</v>
      </c>
    </row>
    <row r="529" spans="1:12" x14ac:dyDescent="0.3">
      <c r="A529" s="266"/>
      <c r="B529" s="277"/>
      <c r="C529" s="319"/>
      <c r="D529" s="268"/>
      <c r="E529" s="268"/>
      <c r="F529" s="268"/>
      <c r="G529" s="268"/>
      <c r="H529" s="271"/>
      <c r="I529" s="332"/>
      <c r="J529" s="332"/>
      <c r="K529" s="270"/>
    </row>
    <row r="530" spans="1:12" ht="28.8" x14ac:dyDescent="0.3">
      <c r="A530" s="266">
        <f>A528+1</f>
        <v>256</v>
      </c>
      <c r="B530" s="277">
        <f>'MERGED HEAVY IND'!B2864</f>
        <v>10773</v>
      </c>
      <c r="C530" s="319">
        <v>23040000</v>
      </c>
      <c r="D530" s="268" t="str">
        <f>'MERGED HEAVY IND'!E2864</f>
        <v>MUKUMBA BROTHERS</v>
      </c>
      <c r="E530" s="268" t="str">
        <f>'MERGED HEAVY IND'!C2864</f>
        <v>10773 ST HELEN DRIVE</v>
      </c>
      <c r="F530" s="268" t="s">
        <v>1928</v>
      </c>
      <c r="G530" s="268" t="s">
        <v>1252</v>
      </c>
      <c r="H530" s="271">
        <f>'MERGED HEAVY IND'!D2871</f>
        <v>5325</v>
      </c>
      <c r="I530" s="332">
        <f>'MERGED HEAVY IND'!H2871</f>
        <v>26625</v>
      </c>
      <c r="J530" s="332">
        <f>'MERGED HEAVY IND'!H2870</f>
        <v>73186.149999999994</v>
      </c>
      <c r="K530" s="270">
        <f>'MERGED HEAVY IND'!H2872</f>
        <v>99811.15</v>
      </c>
      <c r="L530">
        <v>10773</v>
      </c>
    </row>
    <row r="531" spans="1:12" x14ac:dyDescent="0.3">
      <c r="A531" s="266"/>
      <c r="B531" s="277"/>
      <c r="C531" s="319"/>
      <c r="D531" s="268"/>
      <c r="E531" s="268"/>
      <c r="F531" s="268"/>
      <c r="G531" s="268"/>
      <c r="H531" s="271"/>
      <c r="I531" s="332"/>
      <c r="J531" s="332"/>
      <c r="K531" s="270"/>
    </row>
    <row r="532" spans="1:12" ht="28.8" x14ac:dyDescent="0.3">
      <c r="A532" s="266">
        <f>A530+1</f>
        <v>257</v>
      </c>
      <c r="B532" s="277">
        <f>'MERGED HEAVY IND'!B2873</f>
        <v>10774</v>
      </c>
      <c r="C532" s="319">
        <v>23040300</v>
      </c>
      <c r="D532" s="268" t="str">
        <f>'MERGED HEAVY IND'!E2873</f>
        <v>SKYLOOM ENTERPRISES</v>
      </c>
      <c r="E532" s="268" t="str">
        <f>'MERGED HEAVY IND'!C2873</f>
        <v>10774 ST HELEN DRIVE</v>
      </c>
      <c r="F532" s="268" t="s">
        <v>1928</v>
      </c>
      <c r="G532" s="268" t="s">
        <v>1252</v>
      </c>
      <c r="H532" s="271">
        <f>'MERGED HEAVY IND'!D2879</f>
        <v>4125</v>
      </c>
      <c r="I532" s="332">
        <f>'MERGED HEAVY IND'!H2879</f>
        <v>20625</v>
      </c>
      <c r="J532" s="332">
        <f>'MERGED HEAVY IND'!H2878</f>
        <v>73472.149999999994</v>
      </c>
      <c r="K532" s="270">
        <f>'MERGED HEAVY IND'!H2880</f>
        <v>94097.15</v>
      </c>
      <c r="L532">
        <v>10774</v>
      </c>
    </row>
    <row r="533" spans="1:12" x14ac:dyDescent="0.3">
      <c r="A533" s="266"/>
      <c r="B533" s="277"/>
      <c r="C533" s="319"/>
      <c r="D533" s="268"/>
      <c r="E533" s="268"/>
      <c r="F533" s="268"/>
      <c r="G533" s="268"/>
      <c r="H533" s="271"/>
      <c r="I533" s="332"/>
      <c r="J533" s="332"/>
      <c r="K533" s="270"/>
    </row>
    <row r="534" spans="1:12" x14ac:dyDescent="0.3">
      <c r="A534" s="266">
        <f>A532+1</f>
        <v>258</v>
      </c>
      <c r="B534" s="277">
        <f>'MERGED HEAVY IND'!B2882</f>
        <v>10777</v>
      </c>
      <c r="C534" s="319">
        <v>23049000</v>
      </c>
      <c r="D534" s="268" t="str">
        <f>'MERGED HEAVY IND'!E2882</f>
        <v>OBERT MASOMERA</v>
      </c>
      <c r="E534" s="268" t="str">
        <f>'MERGED HEAVY IND'!C2882</f>
        <v>ST HELENS DRIVE</v>
      </c>
      <c r="F534" s="268" t="s">
        <v>1928</v>
      </c>
      <c r="G534" s="268" t="s">
        <v>1252</v>
      </c>
      <c r="H534" s="271">
        <f>'MERGED HEAVY IND'!D2888</f>
        <v>5440</v>
      </c>
      <c r="I534" s="332">
        <f>'MERGED HEAVY IND'!H2888</f>
        <v>27200</v>
      </c>
      <c r="J534" s="332">
        <f>'MERGED HEAVY IND'!H2887</f>
        <v>21500.000000000004</v>
      </c>
      <c r="K534" s="270">
        <f>'MERGED HEAVY IND'!H2889</f>
        <v>48700</v>
      </c>
      <c r="L534">
        <v>10777</v>
      </c>
    </row>
    <row r="535" spans="1:12" x14ac:dyDescent="0.3">
      <c r="A535" s="266"/>
      <c r="B535" s="277"/>
      <c r="C535" s="319"/>
      <c r="D535" s="268"/>
      <c r="E535" s="268"/>
      <c r="F535" s="268"/>
      <c r="G535" s="268"/>
      <c r="H535" s="271"/>
      <c r="I535" s="332"/>
      <c r="J535" s="332"/>
      <c r="K535" s="270"/>
    </row>
    <row r="536" spans="1:12" x14ac:dyDescent="0.3">
      <c r="A536" s="266">
        <f>A534+1</f>
        <v>259</v>
      </c>
      <c r="B536" s="277">
        <f>'MERGED HEAVY IND'!B2891</f>
        <v>11210</v>
      </c>
      <c r="C536" s="319"/>
      <c r="D536" s="268" t="str">
        <f>'MERGED HEAVY IND'!E2891</f>
        <v>CHIHAMBA</v>
      </c>
      <c r="E536" s="268" t="str">
        <f>'MERGED HEAVY IND'!C2891</f>
        <v>MUDUMO CRESCENT</v>
      </c>
      <c r="F536" s="268" t="s">
        <v>1928</v>
      </c>
      <c r="G536" s="268" t="s">
        <v>1252</v>
      </c>
      <c r="H536" s="269">
        <f>'MERGED HEAVY IND'!D2897</f>
        <v>6000</v>
      </c>
      <c r="I536" s="332">
        <f>'MERGED HEAVY IND'!H2897</f>
        <v>30000</v>
      </c>
      <c r="J536" s="332">
        <f>'MERGED HEAVY IND'!H2896</f>
        <v>52258</v>
      </c>
      <c r="K536" s="270">
        <f>'MERGED HEAVY IND'!H2898</f>
        <v>82258</v>
      </c>
      <c r="L536">
        <v>11210</v>
      </c>
    </row>
    <row r="537" spans="1:12" x14ac:dyDescent="0.3">
      <c r="A537" s="266"/>
      <c r="B537" s="277"/>
      <c r="C537" s="319"/>
      <c r="D537" s="268"/>
      <c r="E537" s="268"/>
      <c r="F537" s="268"/>
      <c r="G537" s="268"/>
      <c r="H537" s="271"/>
      <c r="I537" s="332"/>
      <c r="J537" s="332"/>
      <c r="K537" s="270"/>
    </row>
    <row r="538" spans="1:12" x14ac:dyDescent="0.3">
      <c r="A538" s="266">
        <f>A536+1</f>
        <v>260</v>
      </c>
      <c r="B538" s="277">
        <f>'MERGED HEAVY IND'!B2899</f>
        <v>11211</v>
      </c>
      <c r="C538" s="319">
        <v>23002300</v>
      </c>
      <c r="D538" s="268" t="str">
        <f>'MERGED HEAVY IND'!E2899</f>
        <v>A. ZIMUNYA</v>
      </c>
      <c r="E538" s="268" t="str">
        <f>'MERGED HEAVY IND'!C2899</f>
        <v>MUDUMO CRESCENT</v>
      </c>
      <c r="F538" s="268" t="s">
        <v>1928</v>
      </c>
      <c r="G538" s="268" t="s">
        <v>1252</v>
      </c>
      <c r="H538" s="271">
        <f>'MERGED HEAVY IND'!D2905</f>
        <v>4540</v>
      </c>
      <c r="I538" s="332">
        <f>'MERGED HEAVY IND'!H2905</f>
        <v>22700</v>
      </c>
      <c r="J538" s="332">
        <f>'MERGED HEAVY IND'!H2904</f>
        <v>6167.8</v>
      </c>
      <c r="K538" s="270">
        <f>'MERGED HEAVY IND'!H2906</f>
        <v>28867.8</v>
      </c>
      <c r="L538">
        <v>11211</v>
      </c>
    </row>
    <row r="539" spans="1:12" x14ac:dyDescent="0.3">
      <c r="A539" s="266"/>
      <c r="B539" s="277"/>
      <c r="C539" s="319"/>
      <c r="D539" s="268"/>
      <c r="E539" s="268"/>
      <c r="F539" s="268"/>
      <c r="G539" s="268"/>
      <c r="H539" s="271"/>
      <c r="I539" s="332"/>
      <c r="J539" s="332"/>
      <c r="K539" s="270"/>
    </row>
    <row r="540" spans="1:12" x14ac:dyDescent="0.3">
      <c r="A540" s="266">
        <f>A538+1</f>
        <v>261</v>
      </c>
      <c r="B540" s="277">
        <f>'MERGED HEAVY IND'!B2907</f>
        <v>11212</v>
      </c>
      <c r="C540" s="319">
        <v>23601305</v>
      </c>
      <c r="D540" s="268" t="str">
        <f>'MERGED HEAVY IND'!E2907</f>
        <v>KIRAN SOMA</v>
      </c>
      <c r="E540" s="268" t="str">
        <f>'MERGED HEAVY IND'!C2907</f>
        <v>MUDUMO CRESCENT</v>
      </c>
      <c r="F540" s="268" t="s">
        <v>1928</v>
      </c>
      <c r="G540" s="268" t="s">
        <v>1252</v>
      </c>
      <c r="H540" s="271">
        <f>'MERGED HEAVY IND'!D2912</f>
        <v>4400</v>
      </c>
      <c r="I540" s="332">
        <f>'MERGED HEAVY IND'!H2912</f>
        <v>22000</v>
      </c>
      <c r="J540" s="332">
        <f>'MERGED HEAVY IND'!H2911</f>
        <v>4417.2</v>
      </c>
      <c r="K540" s="270">
        <f>'MERGED HEAVY IND'!H2913</f>
        <v>26417.200000000001</v>
      </c>
      <c r="L540">
        <v>11212</v>
      </c>
    </row>
    <row r="541" spans="1:12" x14ac:dyDescent="0.3">
      <c r="A541" s="266"/>
      <c r="B541" s="277"/>
      <c r="C541" s="319"/>
      <c r="D541" s="268"/>
      <c r="E541" s="268"/>
      <c r="F541" s="268"/>
      <c r="G541" s="268"/>
      <c r="H541" s="271"/>
      <c r="I541" s="332"/>
      <c r="J541" s="332"/>
      <c r="K541" s="270"/>
    </row>
    <row r="542" spans="1:12" x14ac:dyDescent="0.3">
      <c r="A542" s="266">
        <f>A540+1</f>
        <v>262</v>
      </c>
      <c r="B542" s="277">
        <f>'MERGED HEAVY IND'!B2914</f>
        <v>11213</v>
      </c>
      <c r="C542" s="319"/>
      <c r="D542" s="268" t="str">
        <f>'MERGED HEAVY IND'!E2914</f>
        <v>SIYABONGA</v>
      </c>
      <c r="E542" s="268" t="str">
        <f>'MERGED HEAVY IND'!C2914</f>
        <v>MUDUMO CRESCENT</v>
      </c>
      <c r="F542" s="268" t="s">
        <v>1928</v>
      </c>
      <c r="G542" s="267" t="s">
        <v>1277</v>
      </c>
      <c r="H542" s="271">
        <f>'MERGED HEAVY IND'!D2918</f>
        <v>4250</v>
      </c>
      <c r="I542" s="332">
        <f>'MERGED HEAVY IND'!H2918</f>
        <v>21250</v>
      </c>
      <c r="J542" s="332">
        <f>'MERGED HEAVY IND'!H2917</f>
        <v>0</v>
      </c>
      <c r="K542" s="270">
        <f>'MERGED HEAVY IND'!H2919</f>
        <v>21250</v>
      </c>
      <c r="L542">
        <v>11213</v>
      </c>
    </row>
    <row r="543" spans="1:12" x14ac:dyDescent="0.3">
      <c r="A543" s="266"/>
      <c r="B543" s="277"/>
      <c r="C543" s="319"/>
      <c r="D543" s="268"/>
      <c r="E543" s="268"/>
      <c r="F543" s="268"/>
      <c r="G543" s="268"/>
      <c r="H543" s="271"/>
      <c r="I543" s="332"/>
      <c r="J543" s="332"/>
      <c r="K543" s="270"/>
    </row>
    <row r="544" spans="1:12" x14ac:dyDescent="0.3">
      <c r="A544" s="266">
        <f>A542+1</f>
        <v>263</v>
      </c>
      <c r="B544" s="277">
        <f>'MERGED HEAVY IND'!B2920</f>
        <v>11214</v>
      </c>
      <c r="C544" s="319"/>
      <c r="D544" s="267" t="str">
        <f>'MERGED HEAVY IND'!E2920</f>
        <v>CITY OF MUTARE</v>
      </c>
      <c r="E544" s="268" t="str">
        <f>'MERGED HEAVY IND'!C2920</f>
        <v>MUDUMO CRESCENT</v>
      </c>
      <c r="F544" s="268" t="s">
        <v>1928</v>
      </c>
      <c r="G544" s="267" t="s">
        <v>1277</v>
      </c>
      <c r="H544" s="271">
        <f>'MERGED HEAVY IND'!D2924</f>
        <v>4135</v>
      </c>
      <c r="I544" s="332">
        <f>'MERGED HEAVY IND'!H2924</f>
        <v>20675</v>
      </c>
      <c r="J544" s="332">
        <f>'MERGED HEAVY IND'!H2923</f>
        <v>0</v>
      </c>
      <c r="K544" s="270">
        <f>'MERGED HEAVY IND'!H2925</f>
        <v>20675</v>
      </c>
      <c r="L544">
        <v>11214</v>
      </c>
    </row>
    <row r="545" spans="1:12" x14ac:dyDescent="0.3">
      <c r="A545" s="266"/>
      <c r="B545" s="277"/>
      <c r="C545" s="319"/>
      <c r="D545" s="268"/>
      <c r="E545" s="268"/>
      <c r="F545" s="268"/>
      <c r="G545" s="268"/>
      <c r="H545" s="271"/>
      <c r="I545" s="332"/>
      <c r="J545" s="332"/>
      <c r="K545" s="270"/>
    </row>
    <row r="546" spans="1:12" ht="28.8" x14ac:dyDescent="0.3">
      <c r="A546" s="266">
        <f>A544+1</f>
        <v>264</v>
      </c>
      <c r="B546" s="277" t="str">
        <f>'MERGED HEAVY IND'!B2927</f>
        <v>11349 OF 5641</v>
      </c>
      <c r="C546" s="319"/>
      <c r="D546" s="268" t="str">
        <f>'MERGED HEAVY IND'!E2927</f>
        <v>TAGUTA</v>
      </c>
      <c r="E546" s="268" t="str">
        <f>'MERGED HEAVY IND'!C2927</f>
        <v xml:space="preserve"> LONGBRIDGE PAULINGTON</v>
      </c>
      <c r="F546" s="268" t="s">
        <v>1928</v>
      </c>
      <c r="G546" s="268" t="s">
        <v>1252</v>
      </c>
      <c r="H546" s="271">
        <f>'MERGED HEAVY IND'!D2936</f>
        <v>5000</v>
      </c>
      <c r="I546" s="332">
        <f>'MERGED HEAVY IND'!H2936</f>
        <v>25000</v>
      </c>
      <c r="J546" s="332">
        <f>'MERGED HEAVY IND'!H2935</f>
        <v>28819.200000000001</v>
      </c>
      <c r="K546" s="270">
        <f>'MERGED HEAVY IND'!H2937</f>
        <v>53819.199999999997</v>
      </c>
      <c r="L546" t="s">
        <v>1967</v>
      </c>
    </row>
    <row r="547" spans="1:12" x14ac:dyDescent="0.3">
      <c r="A547" s="266"/>
      <c r="B547" s="277"/>
      <c r="C547" s="319"/>
      <c r="D547" s="268"/>
      <c r="E547" s="268"/>
      <c r="F547" s="268"/>
      <c r="G547" s="268"/>
      <c r="H547" s="271"/>
      <c r="I547" s="332"/>
      <c r="J547" s="332"/>
      <c r="K547" s="270"/>
    </row>
    <row r="548" spans="1:12" ht="28.8" x14ac:dyDescent="0.3">
      <c r="A548" s="266">
        <f>A546+1</f>
        <v>265</v>
      </c>
      <c r="B548" s="277" t="str">
        <f>'MERGED HEAVY IND'!B2939</f>
        <v>11358 OF 5641</v>
      </c>
      <c r="C548" s="319">
        <v>23085400</v>
      </c>
      <c r="D548" s="268" t="str">
        <f>'MERGED HEAVY IND'!E2939</f>
        <v>TAVONGA</v>
      </c>
      <c r="E548" s="268" t="str">
        <f>'MERGED HEAVY IND'!C2939</f>
        <v xml:space="preserve"> LONGBRIDGE PAULINGTON</v>
      </c>
      <c r="F548" s="268" t="s">
        <v>1928</v>
      </c>
      <c r="G548" s="268" t="s">
        <v>1252</v>
      </c>
      <c r="H548" s="271">
        <f>'MERGED HEAVY IND'!D2944</f>
        <v>8000</v>
      </c>
      <c r="I548" s="332">
        <f>'MERGED HEAVY IND'!H2944</f>
        <v>40000</v>
      </c>
      <c r="J548" s="332">
        <f>'MERGED HEAVY IND'!H2943</f>
        <v>12664.5</v>
      </c>
      <c r="K548" s="270">
        <f>'MERGED HEAVY IND'!H2945</f>
        <v>52664.5</v>
      </c>
      <c r="L548" t="s">
        <v>1968</v>
      </c>
    </row>
    <row r="549" spans="1:12" x14ac:dyDescent="0.3">
      <c r="A549" s="266"/>
      <c r="B549" s="277"/>
      <c r="C549" s="319"/>
      <c r="D549" s="268"/>
      <c r="E549" s="268"/>
      <c r="F549" s="268"/>
      <c r="G549" s="268"/>
      <c r="H549" s="271"/>
      <c r="I549" s="332"/>
      <c r="J549" s="332"/>
      <c r="K549" s="270"/>
    </row>
    <row r="550" spans="1:12" x14ac:dyDescent="0.3">
      <c r="A550" s="266">
        <f>A548+1</f>
        <v>266</v>
      </c>
      <c r="B550" s="277" t="str">
        <f>'MERGED HEAVY IND'!B2947</f>
        <v>SUB OF 11394</v>
      </c>
      <c r="C550" s="319">
        <v>23596100</v>
      </c>
      <c r="D550" s="268" t="str">
        <f>'MERGED HEAVY IND'!E2947</f>
        <v>CITY OF MUTARE</v>
      </c>
      <c r="E550" s="268" t="str">
        <f>'MERGED HEAVY IND'!C2947</f>
        <v>KARIBA ROAD</v>
      </c>
      <c r="F550" s="268" t="s">
        <v>1928</v>
      </c>
      <c r="G550" s="268" t="s">
        <v>1252</v>
      </c>
      <c r="H550" s="271">
        <f>'MERGED HEAVY IND'!D2952</f>
        <v>6000</v>
      </c>
      <c r="I550" s="332">
        <f>'MERGED HEAVY IND'!H2952</f>
        <v>30000</v>
      </c>
      <c r="J550" s="332">
        <f>'MERGED HEAVY IND'!H2951</f>
        <v>11202.235000000001</v>
      </c>
      <c r="K550" s="270">
        <f>'MERGED HEAVY IND'!H2953</f>
        <v>41202.235000000001</v>
      </c>
      <c r="L550" t="s">
        <v>1301</v>
      </c>
    </row>
    <row r="551" spans="1:12" x14ac:dyDescent="0.3">
      <c r="A551" s="266"/>
      <c r="B551" s="277"/>
      <c r="C551" s="319"/>
      <c r="D551" s="268"/>
      <c r="E551" s="268"/>
      <c r="F551" s="268"/>
      <c r="G551" s="268"/>
      <c r="H551" s="271"/>
      <c r="I551" s="332"/>
      <c r="J551" s="332"/>
      <c r="K551" s="270"/>
    </row>
    <row r="552" spans="1:12" ht="43.2" x14ac:dyDescent="0.3">
      <c r="A552" s="266">
        <f>A550+1</f>
        <v>267</v>
      </c>
      <c r="B552" s="277" t="str">
        <f>'MERGED HEAVY IND'!B2956</f>
        <v>RAILWAY RESERVE</v>
      </c>
      <c r="C552" s="319">
        <v>24002003</v>
      </c>
      <c r="D552" s="268" t="str">
        <f>'MERGED HEAVY IND'!E2956</f>
        <v>NRZ MUTARE</v>
      </c>
      <c r="E552" s="268"/>
      <c r="F552" s="268" t="s">
        <v>1928</v>
      </c>
      <c r="G552" s="268" t="s">
        <v>1302</v>
      </c>
      <c r="H552" s="293">
        <f>'MERGED HEAVY IND'!D3021</f>
        <v>622600</v>
      </c>
      <c r="I552" s="332">
        <f>'MERGED HEAVY IND'!H3021</f>
        <v>828250</v>
      </c>
      <c r="J552" s="332">
        <f>'MERGED HEAVY IND'!H3020</f>
        <v>4541517.95</v>
      </c>
      <c r="K552" s="270">
        <f>'MERGED HEAVY IND'!H3022</f>
        <v>5369767.9500000002</v>
      </c>
      <c r="L552" t="s">
        <v>181</v>
      </c>
    </row>
    <row r="553" spans="1:12" x14ac:dyDescent="0.3">
      <c r="A553" s="266"/>
      <c r="B553" s="277"/>
      <c r="C553" s="319"/>
      <c r="D553" s="268"/>
      <c r="E553" s="268"/>
      <c r="F553" s="268"/>
      <c r="G553" s="268"/>
      <c r="H553" s="293"/>
      <c r="I553" s="332"/>
      <c r="J553" s="332"/>
      <c r="K553" s="270"/>
    </row>
    <row r="554" spans="1:12" x14ac:dyDescent="0.3">
      <c r="A554" s="301" t="s">
        <v>874</v>
      </c>
      <c r="B554" s="277"/>
      <c r="C554" s="319"/>
      <c r="D554" s="268"/>
      <c r="E554" s="297"/>
      <c r="F554" s="268"/>
      <c r="G554" s="268"/>
      <c r="H554" s="271"/>
      <c r="I554" s="332"/>
      <c r="J554" s="332"/>
      <c r="K554" s="270"/>
    </row>
    <row r="555" spans="1:12" x14ac:dyDescent="0.3">
      <c r="A555" s="266"/>
      <c r="B555" s="302"/>
      <c r="C555" s="319"/>
      <c r="D555" s="292"/>
      <c r="E555" s="268"/>
      <c r="F555" s="268"/>
      <c r="G555" s="268"/>
      <c r="H555" s="271"/>
      <c r="I555" s="332"/>
      <c r="J555" s="332"/>
      <c r="K555" s="270"/>
    </row>
    <row r="556" spans="1:12" ht="28.8" x14ac:dyDescent="0.3">
      <c r="A556" s="266">
        <v>268</v>
      </c>
      <c r="B556" s="277">
        <f>'MERGED HEAVY IND'!B3025</f>
        <v>5643</v>
      </c>
      <c r="C556" s="319"/>
      <c r="D556" s="267" t="s">
        <v>1988</v>
      </c>
      <c r="E556" s="268" t="str">
        <f>'MERGED HEAVY IND'!C3025</f>
        <v>NATVEST INDUSTRIAL PARK</v>
      </c>
      <c r="F556" s="268" t="s">
        <v>1928</v>
      </c>
      <c r="G556" s="267" t="s">
        <v>1277</v>
      </c>
      <c r="H556" s="271">
        <f>'MERGED HEAVY IND'!D3029</f>
        <v>9000</v>
      </c>
      <c r="I556" s="332">
        <f>'MERGED HEAVY IND'!H3029</f>
        <v>45000</v>
      </c>
      <c r="J556" s="332">
        <f>'MERGED HEAVY IND'!H3028</f>
        <v>0</v>
      </c>
      <c r="K556" s="270">
        <f>'MERGED HEAVY IND'!H3030</f>
        <v>45000</v>
      </c>
      <c r="L556">
        <v>5643</v>
      </c>
    </row>
    <row r="557" spans="1:12" x14ac:dyDescent="0.3">
      <c r="A557" s="266"/>
      <c r="B557" s="277"/>
      <c r="C557" s="319"/>
      <c r="D557" s="267"/>
      <c r="E557" s="268"/>
      <c r="F557" s="268"/>
      <c r="G557" s="268"/>
      <c r="H557" s="271"/>
      <c r="I557" s="332"/>
      <c r="J557" s="332"/>
      <c r="K557" s="270"/>
    </row>
    <row r="558" spans="1:12" ht="28.8" x14ac:dyDescent="0.3">
      <c r="A558" s="266">
        <f>A556+1</f>
        <v>269</v>
      </c>
      <c r="B558" s="277">
        <f>'MERGED HEAVY IND'!B3031</f>
        <v>5644</v>
      </c>
      <c r="C558" s="319"/>
      <c r="D558" s="267" t="s">
        <v>1988</v>
      </c>
      <c r="E558" s="268" t="str">
        <f>'MERGED HEAVY IND'!C3031</f>
        <v>NATVEST INDUSTRIAL PARK</v>
      </c>
      <c r="F558" s="268" t="s">
        <v>1928</v>
      </c>
      <c r="G558" s="267" t="s">
        <v>1277</v>
      </c>
      <c r="H558" s="271">
        <f>'MERGED HEAVY IND'!D3035</f>
        <v>11262</v>
      </c>
      <c r="I558" s="332">
        <f>'MERGED HEAVY IND'!H3035</f>
        <v>54732.5</v>
      </c>
      <c r="J558" s="332">
        <f>'MERGED HEAVY IND'!H3034</f>
        <v>0</v>
      </c>
      <c r="K558" s="270">
        <f>'MERGED HEAVY IND'!H3036</f>
        <v>54732.5</v>
      </c>
      <c r="L558">
        <v>5644</v>
      </c>
    </row>
    <row r="559" spans="1:12" x14ac:dyDescent="0.3">
      <c r="A559" s="266"/>
      <c r="B559" s="277"/>
      <c r="C559" s="319"/>
      <c r="D559" s="267"/>
      <c r="E559" s="268"/>
      <c r="F559" s="268"/>
      <c r="G559" s="268"/>
      <c r="H559" s="271"/>
      <c r="I559" s="332"/>
      <c r="J559" s="332"/>
      <c r="K559" s="270"/>
    </row>
    <row r="560" spans="1:12" ht="28.8" x14ac:dyDescent="0.3">
      <c r="A560" s="266">
        <f>A558+1</f>
        <v>270</v>
      </c>
      <c r="B560" s="277">
        <f>'MERGED HEAVY IND'!B3037</f>
        <v>5645</v>
      </c>
      <c r="C560" s="319"/>
      <c r="D560" s="267" t="s">
        <v>1988</v>
      </c>
      <c r="E560" s="268" t="str">
        <f>'MERGED HEAVY IND'!C3037</f>
        <v>NATVEST INDUSTRIAL PARK</v>
      </c>
      <c r="F560" s="268" t="s">
        <v>1928</v>
      </c>
      <c r="G560" s="267" t="s">
        <v>1277</v>
      </c>
      <c r="H560" s="271">
        <f>'MERGED HEAVY IND'!D3041</f>
        <v>9800</v>
      </c>
      <c r="I560" s="332">
        <f>'MERGED HEAVY IND'!H3041</f>
        <v>49000</v>
      </c>
      <c r="J560" s="332">
        <f>'MERGED HEAVY IND'!H3040</f>
        <v>0</v>
      </c>
      <c r="K560" s="270">
        <f>'MERGED HEAVY IND'!H3042</f>
        <v>49000</v>
      </c>
      <c r="L560">
        <v>5645</v>
      </c>
    </row>
    <row r="561" spans="1:12" x14ac:dyDescent="0.3">
      <c r="A561" s="266"/>
      <c r="B561" s="277"/>
      <c r="C561" s="319"/>
      <c r="D561" s="267"/>
      <c r="E561" s="268"/>
      <c r="F561" s="268"/>
      <c r="G561" s="268"/>
      <c r="H561" s="271"/>
      <c r="I561" s="332"/>
      <c r="J561" s="332"/>
      <c r="K561" s="270"/>
    </row>
    <row r="562" spans="1:12" ht="28.8" x14ac:dyDescent="0.3">
      <c r="A562" s="266">
        <f>A560+1</f>
        <v>271</v>
      </c>
      <c r="B562" s="277">
        <f>'MERGED HEAVY IND'!B3043</f>
        <v>5646</v>
      </c>
      <c r="C562" s="319"/>
      <c r="D562" s="267" t="s">
        <v>1988</v>
      </c>
      <c r="E562" s="268" t="str">
        <f>'MERGED HEAVY IND'!C3043</f>
        <v>NATVEST INDUSTRIAL PARK</v>
      </c>
      <c r="F562" s="268" t="s">
        <v>1928</v>
      </c>
      <c r="G562" s="268" t="s">
        <v>1252</v>
      </c>
      <c r="H562" s="271">
        <f>'MERGED HEAVY IND'!D3048</f>
        <v>6158</v>
      </c>
      <c r="I562" s="332">
        <f>'MERGED HEAVY IND'!H3048</f>
        <v>30790</v>
      </c>
      <c r="J562" s="332">
        <f>'MERGED HEAVY IND'!H3047</f>
        <v>126030.40000000001</v>
      </c>
      <c r="K562" s="270">
        <f>'MERGED HEAVY IND'!H3049</f>
        <v>156820.40000000002</v>
      </c>
      <c r="L562">
        <v>5646</v>
      </c>
    </row>
    <row r="563" spans="1:12" x14ac:dyDescent="0.3">
      <c r="A563" s="266"/>
      <c r="B563" s="277"/>
      <c r="C563" s="319"/>
      <c r="D563" s="267"/>
      <c r="E563" s="268"/>
      <c r="F563" s="268"/>
      <c r="G563" s="268"/>
      <c r="H563" s="271"/>
      <c r="I563" s="332"/>
      <c r="J563" s="332"/>
      <c r="K563" s="270"/>
    </row>
    <row r="564" spans="1:12" ht="28.8" x14ac:dyDescent="0.3">
      <c r="A564" s="266">
        <f>A562+1</f>
        <v>272</v>
      </c>
      <c r="B564" s="277">
        <f>'MERGED HEAVY IND'!B3050</f>
        <v>5647</v>
      </c>
      <c r="C564" s="319"/>
      <c r="D564" s="267" t="s">
        <v>1988</v>
      </c>
      <c r="E564" s="268" t="str">
        <f>'MERGED HEAVY IND'!C3050</f>
        <v>NATVEST INDUSTRIAL PARK</v>
      </c>
      <c r="F564" s="268" t="s">
        <v>1928</v>
      </c>
      <c r="G564" s="267" t="s">
        <v>1277</v>
      </c>
      <c r="H564" s="271">
        <f>'MERGED HEAVY IND'!D3054</f>
        <v>14300</v>
      </c>
      <c r="I564" s="332">
        <f>'MERGED HEAVY IND'!H3054</f>
        <v>66125</v>
      </c>
      <c r="J564" s="332">
        <f>'MERGED HEAVY IND'!H3053</f>
        <v>0</v>
      </c>
      <c r="K564" s="270">
        <f>'MERGED HEAVY IND'!H3055</f>
        <v>66125</v>
      </c>
      <c r="L564">
        <v>5647</v>
      </c>
    </row>
    <row r="565" spans="1:12" x14ac:dyDescent="0.3">
      <c r="A565" s="266"/>
      <c r="B565" s="277"/>
      <c r="C565" s="319"/>
      <c r="D565" s="267"/>
      <c r="E565" s="268"/>
      <c r="F565" s="268"/>
      <c r="G565" s="268"/>
      <c r="H565" s="271"/>
      <c r="I565" s="332"/>
      <c r="J565" s="332"/>
      <c r="K565" s="270"/>
    </row>
    <row r="566" spans="1:12" ht="28.8" x14ac:dyDescent="0.3">
      <c r="A566" s="266">
        <f>A564+1</f>
        <v>273</v>
      </c>
      <c r="B566" s="277">
        <f>'MERGED HEAVY IND'!B3056</f>
        <v>5725</v>
      </c>
      <c r="C566" s="319">
        <v>205157250</v>
      </c>
      <c r="D566" s="267" t="s">
        <v>1988</v>
      </c>
      <c r="E566" s="268" t="str">
        <f>'MERGED HEAVY IND'!C3056</f>
        <v>NATVEST INDUSTRIAL PARK</v>
      </c>
      <c r="F566" s="268" t="s">
        <v>1928</v>
      </c>
      <c r="G566" s="268" t="s">
        <v>1252</v>
      </c>
      <c r="H566" s="271">
        <f>'MERGED HEAVY IND'!D3061</f>
        <v>4450</v>
      </c>
      <c r="I566" s="332">
        <f>'MERGED HEAVY IND'!H3061</f>
        <v>22250</v>
      </c>
      <c r="J566" s="332">
        <f>'MERGED HEAVY IND'!H3059</f>
        <v>2372.8000000000002</v>
      </c>
      <c r="K566" s="270">
        <f>'MERGED HEAVY IND'!H3062</f>
        <v>148280.40000000002</v>
      </c>
      <c r="L566">
        <v>5725</v>
      </c>
    </row>
    <row r="567" spans="1:12" x14ac:dyDescent="0.3">
      <c r="A567" s="266"/>
      <c r="B567" s="277"/>
      <c r="C567" s="319"/>
      <c r="D567" s="267"/>
      <c r="E567" s="268"/>
      <c r="F567" s="268"/>
      <c r="G567" s="268"/>
      <c r="H567" s="271"/>
      <c r="I567" s="332"/>
      <c r="J567" s="332"/>
      <c r="K567" s="270"/>
    </row>
    <row r="568" spans="1:12" ht="28.8" x14ac:dyDescent="0.3">
      <c r="A568" s="266">
        <f>A566+1</f>
        <v>274</v>
      </c>
      <c r="B568" s="277">
        <f>'MERGED HEAVY IND'!B3063</f>
        <v>5726</v>
      </c>
      <c r="C568" s="319">
        <v>2051572600</v>
      </c>
      <c r="D568" s="267" t="s">
        <v>1988</v>
      </c>
      <c r="E568" s="268" t="str">
        <f>'MERGED HEAVY IND'!C3063</f>
        <v>NATVEST INDUSTRIAL PARK</v>
      </c>
      <c r="F568" s="268" t="s">
        <v>1928</v>
      </c>
      <c r="G568" s="268" t="s">
        <v>1252</v>
      </c>
      <c r="H568" s="271">
        <f>'MERGED HEAVY IND'!D3068</f>
        <v>6158</v>
      </c>
      <c r="I568" s="332">
        <f>'MERGED HEAVY IND'!H3068</f>
        <v>30790</v>
      </c>
      <c r="J568" s="332">
        <f>'MERGED HEAVY IND'!H3067</f>
        <v>126030.40000000001</v>
      </c>
      <c r="K568" s="270">
        <f>'MERGED HEAVY IND'!H3069</f>
        <v>156820.40000000002</v>
      </c>
      <c r="L568">
        <v>5726</v>
      </c>
    </row>
    <row r="569" spans="1:12" x14ac:dyDescent="0.3">
      <c r="A569" s="266"/>
      <c r="B569" s="277"/>
      <c r="C569" s="319"/>
      <c r="D569" s="267"/>
      <c r="E569" s="268"/>
      <c r="F569" s="268"/>
      <c r="G569" s="268"/>
      <c r="H569" s="271"/>
      <c r="I569" s="332"/>
      <c r="J569" s="332"/>
      <c r="K569" s="270"/>
    </row>
    <row r="570" spans="1:12" ht="28.8" x14ac:dyDescent="0.3">
      <c r="A570" s="266">
        <f>A568+1</f>
        <v>275</v>
      </c>
      <c r="B570" s="277">
        <f>'MERGED HEAVY IND'!B3070</f>
        <v>5727</v>
      </c>
      <c r="C570" s="319">
        <v>2051572700</v>
      </c>
      <c r="D570" s="267" t="s">
        <v>1988</v>
      </c>
      <c r="E570" s="268" t="str">
        <f>'MERGED HEAVY IND'!C3070</f>
        <v>NATVEST INDUSTRIAL PARK</v>
      </c>
      <c r="F570" s="268" t="s">
        <v>1928</v>
      </c>
      <c r="G570" s="268" t="s">
        <v>1252</v>
      </c>
      <c r="H570" s="271">
        <f>'MERGED HEAVY IND'!D3075</f>
        <v>4706</v>
      </c>
      <c r="I570" s="332">
        <f>'MERGED HEAVY IND'!H3075</f>
        <v>23530</v>
      </c>
      <c r="J570" s="332">
        <f>'MERGED HEAVY IND'!H3074</f>
        <v>126030.40000000001</v>
      </c>
      <c r="K570" s="270">
        <f>'MERGED HEAVY IND'!H3076</f>
        <v>149560.40000000002</v>
      </c>
      <c r="L570">
        <v>5727</v>
      </c>
    </row>
    <row r="571" spans="1:12" x14ac:dyDescent="0.3">
      <c r="A571" s="266"/>
      <c r="B571" s="277"/>
      <c r="C571" s="319"/>
      <c r="D571" s="267"/>
      <c r="E571" s="268"/>
      <c r="F571" s="268"/>
      <c r="G571" s="268"/>
      <c r="H571" s="271"/>
      <c r="I571" s="332"/>
      <c r="J571" s="332"/>
      <c r="K571" s="270"/>
    </row>
    <row r="572" spans="1:12" ht="28.8" x14ac:dyDescent="0.3">
      <c r="A572" s="266">
        <f>A570+1</f>
        <v>276</v>
      </c>
      <c r="B572" s="277">
        <f>'MERGED HEAVY IND'!B3077</f>
        <v>5728</v>
      </c>
      <c r="C572" s="319">
        <v>2051572800</v>
      </c>
      <c r="D572" s="267" t="s">
        <v>1988</v>
      </c>
      <c r="E572" s="268" t="str">
        <f>'MERGED HEAVY IND'!C3077</f>
        <v>NATVEST INDUSTRIAL PARK</v>
      </c>
      <c r="F572" s="268" t="s">
        <v>1928</v>
      </c>
      <c r="G572" s="268" t="s">
        <v>1252</v>
      </c>
      <c r="H572" s="271">
        <f>'MERGED HEAVY IND'!D3082</f>
        <v>5869</v>
      </c>
      <c r="I572" s="332">
        <f>'MERGED HEAVY IND'!H3082</f>
        <v>29345</v>
      </c>
      <c r="J572" s="332">
        <f>'MERGED HEAVY IND'!H3081</f>
        <v>126030.40000000001</v>
      </c>
      <c r="K572" s="270">
        <f>'MERGED HEAVY IND'!H3083</f>
        <v>155375.40000000002</v>
      </c>
      <c r="L572">
        <v>5728</v>
      </c>
    </row>
    <row r="573" spans="1:12" x14ac:dyDescent="0.3">
      <c r="A573" s="266"/>
      <c r="B573" s="277"/>
      <c r="C573" s="319"/>
      <c r="D573" s="267"/>
      <c r="E573" s="268"/>
      <c r="F573" s="268"/>
      <c r="G573" s="268"/>
      <c r="H573" s="271"/>
      <c r="I573" s="332"/>
      <c r="J573" s="332"/>
      <c r="K573" s="270"/>
    </row>
    <row r="574" spans="1:12" ht="28.8" x14ac:dyDescent="0.3">
      <c r="A574" s="266">
        <f>A572+1</f>
        <v>277</v>
      </c>
      <c r="B574" s="277">
        <f>'MERGED HEAVY IND'!B3084</f>
        <v>5729</v>
      </c>
      <c r="C574" s="319">
        <v>2051572900</v>
      </c>
      <c r="D574" s="267" t="s">
        <v>1988</v>
      </c>
      <c r="E574" s="268" t="str">
        <f>'MERGED HEAVY IND'!C3084</f>
        <v>NATVEST INDUSTRIAL PARK</v>
      </c>
      <c r="F574" s="268" t="s">
        <v>1928</v>
      </c>
      <c r="G574" s="268" t="s">
        <v>1252</v>
      </c>
      <c r="H574" s="271">
        <f>'MERGED HEAVY IND'!D3089</f>
        <v>5119</v>
      </c>
      <c r="I574" s="332">
        <f>'MERGED HEAVY IND'!H3089</f>
        <v>25595</v>
      </c>
      <c r="J574" s="332">
        <f>'MERGED HEAVY IND'!H3088</f>
        <v>126030.40000000001</v>
      </c>
      <c r="K574" s="270">
        <f>'MERGED HEAVY IND'!H3090</f>
        <v>151625.40000000002</v>
      </c>
      <c r="L574">
        <v>5729</v>
      </c>
    </row>
    <row r="575" spans="1:12" x14ac:dyDescent="0.3">
      <c r="A575" s="266"/>
      <c r="B575" s="277"/>
      <c r="C575" s="319"/>
      <c r="D575" s="267"/>
      <c r="E575" s="268"/>
      <c r="F575" s="268"/>
      <c r="G575" s="268"/>
      <c r="H575" s="271"/>
      <c r="I575" s="332"/>
      <c r="J575" s="332"/>
      <c r="K575" s="270"/>
    </row>
    <row r="576" spans="1:12" ht="28.8" x14ac:dyDescent="0.3">
      <c r="A576" s="266">
        <f>A574+1</f>
        <v>278</v>
      </c>
      <c r="B576" s="277">
        <f>'MERGED HEAVY IND'!B3091</f>
        <v>5730</v>
      </c>
      <c r="C576" s="319">
        <v>2051573000</v>
      </c>
      <c r="D576" s="267" t="s">
        <v>1988</v>
      </c>
      <c r="E576" s="268" t="str">
        <f>'MERGED HEAVY IND'!C3091</f>
        <v>NATVEST INDUSTRIAL PARK</v>
      </c>
      <c r="F576" s="268" t="s">
        <v>1928</v>
      </c>
      <c r="G576" s="268" t="s">
        <v>1252</v>
      </c>
      <c r="H576" s="271">
        <f>'MERGED HEAVY IND'!D3096</f>
        <v>4500</v>
      </c>
      <c r="I576" s="332">
        <f>'MERGED HEAVY IND'!H3096</f>
        <v>22500</v>
      </c>
      <c r="J576" s="332">
        <f>'MERGED HEAVY IND'!H3095</f>
        <v>126030.40000000001</v>
      </c>
      <c r="K576" s="270">
        <f>'MERGED HEAVY IND'!H3097</f>
        <v>148530.40000000002</v>
      </c>
      <c r="L576">
        <v>5730</v>
      </c>
    </row>
    <row r="577" spans="1:12" x14ac:dyDescent="0.3">
      <c r="A577" s="266"/>
      <c r="B577" s="277"/>
      <c r="C577" s="319"/>
      <c r="D577" s="267"/>
      <c r="E577" s="268"/>
      <c r="F577" s="268"/>
      <c r="G577" s="268"/>
      <c r="H577" s="271"/>
      <c r="I577" s="332"/>
      <c r="J577" s="332"/>
      <c r="K577" s="270"/>
    </row>
    <row r="578" spans="1:12" ht="28.8" x14ac:dyDescent="0.3">
      <c r="A578" s="266">
        <f>A576+1</f>
        <v>279</v>
      </c>
      <c r="B578" s="277">
        <f>'MERGED HEAVY IND'!B3098</f>
        <v>5731</v>
      </c>
      <c r="C578" s="319">
        <v>2051573100</v>
      </c>
      <c r="D578" s="267" t="s">
        <v>1988</v>
      </c>
      <c r="E578" s="268" t="str">
        <f>'MERGED HEAVY IND'!C3098</f>
        <v>NATVEST INDUSTRIAL PARK</v>
      </c>
      <c r="F578" s="268" t="s">
        <v>1928</v>
      </c>
      <c r="G578" s="268" t="s">
        <v>1252</v>
      </c>
      <c r="H578" s="271">
        <f>'MERGED HEAVY IND'!D3103</f>
        <v>4500</v>
      </c>
      <c r="I578" s="332">
        <f>'MERGED HEAVY IND'!H3103</f>
        <v>22500</v>
      </c>
      <c r="J578" s="332">
        <f>'MERGED HEAVY IND'!H3102</f>
        <v>126030.40000000001</v>
      </c>
      <c r="K578" s="270">
        <f>'MERGED HEAVY IND'!H3104</f>
        <v>148530.40000000002</v>
      </c>
      <c r="L578">
        <v>5731</v>
      </c>
    </row>
    <row r="579" spans="1:12" x14ac:dyDescent="0.3">
      <c r="A579" s="266"/>
      <c r="B579" s="277"/>
      <c r="C579" s="319"/>
      <c r="D579" s="267"/>
      <c r="E579" s="268"/>
      <c r="F579" s="268"/>
      <c r="G579" s="268"/>
      <c r="H579" s="271"/>
      <c r="I579" s="332"/>
      <c r="J579" s="332"/>
      <c r="K579" s="270"/>
    </row>
    <row r="580" spans="1:12" ht="28.8" x14ac:dyDescent="0.3">
      <c r="A580" s="266">
        <f>A578+1</f>
        <v>280</v>
      </c>
      <c r="B580" s="277">
        <f>'MERGED HEAVY IND'!B3105</f>
        <v>5732</v>
      </c>
      <c r="C580" s="319">
        <v>2051573200</v>
      </c>
      <c r="D580" s="267" t="s">
        <v>1988</v>
      </c>
      <c r="E580" s="268" t="str">
        <f>'MERGED HEAVY IND'!C3105</f>
        <v>NATVEST INDUSTRIAL PARK</v>
      </c>
      <c r="F580" s="268" t="s">
        <v>1928</v>
      </c>
      <c r="G580" s="268" t="s">
        <v>1252</v>
      </c>
      <c r="H580" s="271">
        <f>'MERGED HEAVY IND'!D3110</f>
        <v>4798</v>
      </c>
      <c r="I580" s="332">
        <f>'MERGED HEAVY IND'!H3110</f>
        <v>23990</v>
      </c>
      <c r="J580" s="332">
        <f>'MERGED HEAVY IND'!H3109</f>
        <v>126030.40000000001</v>
      </c>
      <c r="K580" s="270">
        <f>'MERGED HEAVY IND'!H3111</f>
        <v>150020.40000000002</v>
      </c>
      <c r="L580">
        <v>5732</v>
      </c>
    </row>
    <row r="581" spans="1:12" x14ac:dyDescent="0.3">
      <c r="A581" s="266"/>
      <c r="B581" s="277"/>
      <c r="C581" s="319"/>
      <c r="D581" s="267"/>
      <c r="E581" s="268"/>
      <c r="F581" s="268"/>
      <c r="G581" s="268"/>
      <c r="H581" s="271"/>
      <c r="I581" s="332"/>
      <c r="J581" s="332"/>
      <c r="K581" s="270"/>
    </row>
    <row r="582" spans="1:12" ht="28.8" x14ac:dyDescent="0.3">
      <c r="A582" s="266">
        <f>A580+1</f>
        <v>281</v>
      </c>
      <c r="B582" s="277">
        <f>'MERGED HEAVY IND'!B3112</f>
        <v>5733</v>
      </c>
      <c r="C582" s="319"/>
      <c r="D582" s="267" t="s">
        <v>1988</v>
      </c>
      <c r="E582" s="268" t="str">
        <f>'MERGED HEAVY IND'!C3112</f>
        <v>NATVEST INDUSTRIAL PARK</v>
      </c>
      <c r="F582" s="268" t="s">
        <v>1928</v>
      </c>
      <c r="G582" s="267" t="s">
        <v>1277</v>
      </c>
      <c r="H582" s="271">
        <f>'MERGED HEAVY IND'!D3116</f>
        <v>6390</v>
      </c>
      <c r="I582" s="332">
        <f>'MERGED HEAVY IND'!H3116</f>
        <v>31950</v>
      </c>
      <c r="J582" s="332">
        <f>'MERGED HEAVY IND'!H3115</f>
        <v>0</v>
      </c>
      <c r="K582" s="270">
        <f>'MERGED HEAVY IND'!H3117</f>
        <v>31950</v>
      </c>
      <c r="L582">
        <v>5733</v>
      </c>
    </row>
    <row r="583" spans="1:12" x14ac:dyDescent="0.3">
      <c r="A583" s="266"/>
      <c r="B583" s="277"/>
      <c r="C583" s="319"/>
      <c r="D583" s="267"/>
      <c r="E583" s="268"/>
      <c r="F583" s="268"/>
      <c r="G583" s="268"/>
      <c r="H583" s="271"/>
      <c r="I583" s="332"/>
      <c r="J583" s="332"/>
      <c r="K583" s="270"/>
    </row>
    <row r="584" spans="1:12" ht="28.8" x14ac:dyDescent="0.3">
      <c r="A584" s="266">
        <f>A582+1</f>
        <v>282</v>
      </c>
      <c r="B584" s="277">
        <f>'MERGED HEAVY IND'!B3118</f>
        <v>5734</v>
      </c>
      <c r="C584" s="319"/>
      <c r="D584" s="267" t="s">
        <v>1988</v>
      </c>
      <c r="E584" s="268" t="str">
        <f>'MERGED HEAVY IND'!C3118</f>
        <v>NATVEST INDUSTRIAL PARK</v>
      </c>
      <c r="F584" s="268" t="s">
        <v>1928</v>
      </c>
      <c r="G584" s="267" t="s">
        <v>1277</v>
      </c>
      <c r="H584" s="271">
        <f>'MERGED HEAVY IND'!D3122</f>
        <v>4500</v>
      </c>
      <c r="I584" s="332">
        <f>'MERGED HEAVY IND'!H3122</f>
        <v>22500</v>
      </c>
      <c r="J584" s="332">
        <f>'MERGED HEAVY IND'!H3121</f>
        <v>0</v>
      </c>
      <c r="K584" s="270">
        <f>'MERGED HEAVY IND'!H3123</f>
        <v>22500</v>
      </c>
      <c r="L584">
        <v>5734</v>
      </c>
    </row>
    <row r="585" spans="1:12" x14ac:dyDescent="0.3">
      <c r="A585" s="266"/>
      <c r="B585" s="277"/>
      <c r="C585" s="319"/>
      <c r="D585" s="267"/>
      <c r="E585" s="268"/>
      <c r="F585" s="268"/>
      <c r="G585" s="268"/>
      <c r="H585" s="271"/>
      <c r="I585" s="332"/>
      <c r="J585" s="332"/>
      <c r="K585" s="270"/>
    </row>
    <row r="586" spans="1:12" ht="28.8" x14ac:dyDescent="0.3">
      <c r="A586" s="266">
        <f>A584+1</f>
        <v>283</v>
      </c>
      <c r="B586" s="277">
        <f>'MERGED HEAVY IND'!B3130</f>
        <v>5735</v>
      </c>
      <c r="C586" s="319"/>
      <c r="D586" s="267" t="s">
        <v>1988</v>
      </c>
      <c r="E586" s="268" t="str">
        <f>'MERGED HEAVY IND'!C3130</f>
        <v>NATVEST INDUSTRIAL PARK</v>
      </c>
      <c r="F586" s="268" t="s">
        <v>1928</v>
      </c>
      <c r="G586" s="297" t="s">
        <v>1277</v>
      </c>
      <c r="H586" s="271">
        <f>'MERGED HEAVY IND'!D3134</f>
        <v>6881</v>
      </c>
      <c r="I586" s="332">
        <f>'MERGED HEAVY IND'!H3134</f>
        <v>34405</v>
      </c>
      <c r="J586" s="332">
        <f>'MERGED HEAVY IND'!H3133</f>
        <v>0</v>
      </c>
      <c r="K586" s="270">
        <f>'MERGED HEAVY IND'!H3135</f>
        <v>34405</v>
      </c>
      <c r="L586">
        <v>5735</v>
      </c>
    </row>
    <row r="587" spans="1:12" x14ac:dyDescent="0.3">
      <c r="A587" s="266"/>
      <c r="B587" s="277"/>
      <c r="C587" s="319"/>
      <c r="D587" s="267"/>
      <c r="E587" s="268"/>
      <c r="F587" s="268"/>
      <c r="G587" s="297"/>
      <c r="H587" s="271"/>
      <c r="I587" s="332"/>
      <c r="J587" s="332"/>
      <c r="K587" s="270"/>
    </row>
    <row r="588" spans="1:12" ht="28.8" x14ac:dyDescent="0.3">
      <c r="A588" s="266">
        <f>A586+1</f>
        <v>284</v>
      </c>
      <c r="B588" s="277">
        <f>'MERGED HEAVY IND'!B3136</f>
        <v>5736</v>
      </c>
      <c r="C588" s="319"/>
      <c r="D588" s="267" t="s">
        <v>1988</v>
      </c>
      <c r="E588" s="268" t="str">
        <f>'MERGED HEAVY IND'!C3136</f>
        <v>NATVEST INDUSTRIAL PARK</v>
      </c>
      <c r="F588" s="268" t="s">
        <v>1928</v>
      </c>
      <c r="G588" s="297" t="s">
        <v>1277</v>
      </c>
      <c r="H588" s="271">
        <f>'MERGED HEAVY IND'!D3140</f>
        <v>5002</v>
      </c>
      <c r="I588" s="332">
        <f>'MERGED HEAVY IND'!H3140</f>
        <v>25010</v>
      </c>
      <c r="J588" s="332">
        <f>'MERGED HEAVY IND'!H3139</f>
        <v>0</v>
      </c>
      <c r="K588" s="270">
        <f>'MERGED HEAVY IND'!H3141</f>
        <v>25010</v>
      </c>
      <c r="L588">
        <v>5736</v>
      </c>
    </row>
    <row r="589" spans="1:12" x14ac:dyDescent="0.3">
      <c r="A589" s="266"/>
      <c r="B589" s="277"/>
      <c r="C589" s="319"/>
      <c r="D589" s="267"/>
      <c r="E589" s="268"/>
      <c r="F589" s="268"/>
      <c r="G589" s="297"/>
      <c r="H589" s="271"/>
      <c r="I589" s="332"/>
      <c r="J589" s="332"/>
      <c r="K589" s="270"/>
    </row>
    <row r="590" spans="1:12" ht="28.8" x14ac:dyDescent="0.3">
      <c r="A590" s="266">
        <f>A588+1</f>
        <v>285</v>
      </c>
      <c r="B590" s="277">
        <f>'MERGED HEAVY IND'!B3142</f>
        <v>5738</v>
      </c>
      <c r="C590" s="319"/>
      <c r="D590" s="267" t="s">
        <v>1988</v>
      </c>
      <c r="E590" s="268" t="str">
        <f>'MERGED HEAVY IND'!C3142</f>
        <v>NATVEST INDUSTRIAL PARK</v>
      </c>
      <c r="F590" s="268" t="s">
        <v>1928</v>
      </c>
      <c r="G590" s="297" t="s">
        <v>1277</v>
      </c>
      <c r="H590" s="290">
        <f>'MERGED HEAVY IND'!D3146</f>
        <v>6533</v>
      </c>
      <c r="I590" s="332">
        <f>'MERGED HEAVY IND'!H3146</f>
        <v>32665</v>
      </c>
      <c r="J590" s="332">
        <f>'MERGED HEAVY IND'!H3145</f>
        <v>0</v>
      </c>
      <c r="K590" s="270">
        <f>'MERGED HEAVY IND'!H3147</f>
        <v>32665</v>
      </c>
      <c r="L590">
        <v>5738</v>
      </c>
    </row>
    <row r="591" spans="1:12" x14ac:dyDescent="0.3">
      <c r="A591" s="266"/>
      <c r="B591" s="277"/>
      <c r="C591" s="319"/>
      <c r="D591" s="267"/>
      <c r="E591" s="268"/>
      <c r="F591" s="268"/>
      <c r="G591" s="297"/>
      <c r="H591" s="271"/>
      <c r="I591" s="332"/>
      <c r="J591" s="332"/>
      <c r="K591" s="270"/>
    </row>
    <row r="592" spans="1:12" ht="28.8" x14ac:dyDescent="0.3">
      <c r="A592" s="266">
        <f>A590+1</f>
        <v>286</v>
      </c>
      <c r="B592" s="277">
        <f>'MERGED HEAVY IND'!B3148</f>
        <v>5739</v>
      </c>
      <c r="C592" s="319"/>
      <c r="D592" s="267" t="s">
        <v>1988</v>
      </c>
      <c r="E592" s="268" t="str">
        <f>'MERGED HEAVY IND'!C3148</f>
        <v>NATVEST INDUSTRIAL PARK</v>
      </c>
      <c r="F592" s="268" t="s">
        <v>1928</v>
      </c>
      <c r="G592" s="297" t="s">
        <v>1277</v>
      </c>
      <c r="H592" s="271">
        <f>'MERGED HEAVY IND'!D3152</f>
        <v>4216</v>
      </c>
      <c r="I592" s="332">
        <f>'MERGED HEAVY IND'!H3152</f>
        <v>21080</v>
      </c>
      <c r="J592" s="332">
        <f>'MERGED HEAVY IND'!H3151</f>
        <v>0</v>
      </c>
      <c r="K592" s="270">
        <f>'MERGED HEAVY IND'!H3153</f>
        <v>21080</v>
      </c>
      <c r="L592">
        <v>5739</v>
      </c>
    </row>
    <row r="593" spans="1:12" x14ac:dyDescent="0.3">
      <c r="A593" s="266"/>
      <c r="B593" s="277"/>
      <c r="C593" s="319"/>
      <c r="D593" s="267"/>
      <c r="E593" s="268"/>
      <c r="F593" s="268"/>
      <c r="G593" s="297"/>
      <c r="H593" s="271"/>
      <c r="I593" s="332"/>
      <c r="J593" s="332"/>
      <c r="K593" s="270"/>
    </row>
    <row r="594" spans="1:12" ht="28.8" x14ac:dyDescent="0.3">
      <c r="A594" s="266">
        <f>A592+1</f>
        <v>287</v>
      </c>
      <c r="B594" s="277">
        <f>'MERGED HEAVY IND'!B3154</f>
        <v>5740</v>
      </c>
      <c r="C594" s="319"/>
      <c r="D594" s="267" t="s">
        <v>1988</v>
      </c>
      <c r="E594" s="268" t="str">
        <f>'MERGED HEAVY IND'!C3154</f>
        <v>NATVEST INDUSTRIAL PARK</v>
      </c>
      <c r="F594" s="268" t="s">
        <v>1928</v>
      </c>
      <c r="G594" s="297" t="s">
        <v>1277</v>
      </c>
      <c r="H594" s="271">
        <f>'MERGED HEAVY IND'!D3158</f>
        <v>4500</v>
      </c>
      <c r="I594" s="332">
        <f>'MERGED HEAVY IND'!H3158</f>
        <v>22500</v>
      </c>
      <c r="J594" s="332">
        <f>'MERGED HEAVY IND'!H3157</f>
        <v>0</v>
      </c>
      <c r="K594" s="270">
        <f>'MERGED HEAVY IND'!H3159</f>
        <v>22500</v>
      </c>
      <c r="L594">
        <v>5740</v>
      </c>
    </row>
    <row r="595" spans="1:12" x14ac:dyDescent="0.3">
      <c r="A595" s="266"/>
      <c r="B595" s="277"/>
      <c r="C595" s="319"/>
      <c r="D595" s="267"/>
      <c r="E595" s="268"/>
      <c r="F595" s="268"/>
      <c r="G595" s="268"/>
      <c r="H595" s="271"/>
      <c r="I595" s="332"/>
      <c r="J595" s="332"/>
      <c r="K595" s="270"/>
    </row>
    <row r="596" spans="1:12" ht="28.8" x14ac:dyDescent="0.3">
      <c r="A596" s="266">
        <f>A594+1</f>
        <v>288</v>
      </c>
      <c r="B596" s="277">
        <f>'MERGED HEAVY IND'!B3160</f>
        <v>5741</v>
      </c>
      <c r="C596" s="319"/>
      <c r="D596" s="267" t="s">
        <v>1988</v>
      </c>
      <c r="E596" s="268" t="str">
        <f>'MERGED HEAVY IND'!C3160</f>
        <v>NATVEST INDUSTRIAL PARK</v>
      </c>
      <c r="F596" s="268" t="s">
        <v>1928</v>
      </c>
      <c r="G596" s="297" t="s">
        <v>1277</v>
      </c>
      <c r="H596" s="271">
        <f>'MERGED HEAVY IND'!D3164</f>
        <v>6323</v>
      </c>
      <c r="I596" s="332">
        <f>'MERGED HEAVY IND'!H3164</f>
        <v>31615</v>
      </c>
      <c r="J596" s="332">
        <f>'MERGED HEAVY IND'!H3163</f>
        <v>0</v>
      </c>
      <c r="K596" s="270">
        <f>'MERGED HEAVY IND'!H3165</f>
        <v>31615</v>
      </c>
      <c r="L596">
        <v>5741</v>
      </c>
    </row>
    <row r="597" spans="1:12" x14ac:dyDescent="0.3">
      <c r="A597" s="266"/>
      <c r="B597" s="277"/>
      <c r="C597" s="319"/>
      <c r="D597" s="267"/>
      <c r="E597" s="268"/>
      <c r="F597" s="268"/>
      <c r="G597" s="268"/>
      <c r="H597" s="271"/>
      <c r="I597" s="332"/>
      <c r="J597" s="332"/>
      <c r="K597" s="270"/>
    </row>
    <row r="598" spans="1:12" ht="28.8" x14ac:dyDescent="0.3">
      <c r="A598" s="266">
        <f>A596+1</f>
        <v>289</v>
      </c>
      <c r="B598" s="277">
        <f>'MERGED HEAVY IND'!B3167</f>
        <v>6154</v>
      </c>
      <c r="C598" s="319"/>
      <c r="D598" s="267" t="s">
        <v>1988</v>
      </c>
      <c r="E598" s="268" t="str">
        <f>'MERGED HEAVY IND'!C3167</f>
        <v>NATVEST INDUSTRIAL PARK</v>
      </c>
      <c r="F598" s="268" t="s">
        <v>1928</v>
      </c>
      <c r="G598" s="268" t="s">
        <v>1252</v>
      </c>
      <c r="H598" s="271">
        <f>'MERGED HEAVY IND'!D3172</f>
        <v>3220</v>
      </c>
      <c r="I598" s="332">
        <f>'MERGED HEAVY IND'!H3172</f>
        <v>16100</v>
      </c>
      <c r="J598" s="332">
        <f>'MERGED HEAVY IND'!H3171</f>
        <v>126030.40000000001</v>
      </c>
      <c r="K598" s="270">
        <f>'MERGED HEAVY IND'!H3173</f>
        <v>142130.40000000002</v>
      </c>
      <c r="L598">
        <v>6154</v>
      </c>
    </row>
    <row r="599" spans="1:12" x14ac:dyDescent="0.3">
      <c r="A599" s="266"/>
      <c r="B599" s="277"/>
      <c r="C599" s="319"/>
      <c r="D599" s="267"/>
      <c r="E599" s="268"/>
      <c r="F599" s="268"/>
      <c r="G599" s="268"/>
      <c r="H599" s="271"/>
      <c r="I599" s="332"/>
      <c r="J599" s="332"/>
      <c r="K599" s="270"/>
    </row>
    <row r="600" spans="1:12" ht="28.8" x14ac:dyDescent="0.3">
      <c r="A600" s="266">
        <f>A598+1</f>
        <v>290</v>
      </c>
      <c r="B600" s="277">
        <f>'MERGED HEAVY IND'!B3174</f>
        <v>6155</v>
      </c>
      <c r="C600" s="319">
        <v>2051615500</v>
      </c>
      <c r="D600" s="267" t="s">
        <v>1988</v>
      </c>
      <c r="E600" s="268" t="str">
        <f>'MERGED HEAVY IND'!C3174</f>
        <v>NATVEST INDUSTRIAL PARK</v>
      </c>
      <c r="F600" s="268" t="s">
        <v>1928</v>
      </c>
      <c r="G600" s="268" t="s">
        <v>1252</v>
      </c>
      <c r="H600" s="271">
        <f>'MERGED HEAVY IND'!D3179</f>
        <v>4084</v>
      </c>
      <c r="I600" s="332">
        <f>'MERGED HEAVY IND'!H3179</f>
        <v>20420</v>
      </c>
      <c r="J600" s="332">
        <f>'MERGED HEAVY IND'!H3178</f>
        <v>126030.40000000001</v>
      </c>
      <c r="K600" s="270">
        <f>'MERGED HEAVY IND'!H3180</f>
        <v>146450.40000000002</v>
      </c>
      <c r="L600">
        <v>6155</v>
      </c>
    </row>
    <row r="601" spans="1:12" x14ac:dyDescent="0.3">
      <c r="A601" s="266"/>
      <c r="B601" s="277"/>
      <c r="C601" s="319"/>
      <c r="D601" s="267"/>
      <c r="E601" s="268"/>
      <c r="F601" s="268"/>
      <c r="G601" s="268"/>
      <c r="H601" s="271"/>
      <c r="I601" s="332"/>
      <c r="J601" s="332"/>
      <c r="K601" s="270"/>
    </row>
    <row r="602" spans="1:12" x14ac:dyDescent="0.3">
      <c r="A602" s="303"/>
      <c r="B602" s="304" t="s">
        <v>1992</v>
      </c>
      <c r="C602" s="320"/>
      <c r="D602" s="305"/>
      <c r="E602" s="306"/>
      <c r="F602" s="306"/>
      <c r="G602" s="306"/>
      <c r="H602" s="307"/>
      <c r="I602" s="335"/>
      <c r="J602" s="335"/>
      <c r="K602" s="308">
        <f>SUM(K7:K601)</f>
        <v>129838709.45750013</v>
      </c>
      <c r="L602" t="s">
        <v>1992</v>
      </c>
    </row>
    <row r="603" spans="1:12" x14ac:dyDescent="0.3">
      <c r="B603" s="13"/>
      <c r="C603" s="327"/>
      <c r="D603" s="14"/>
      <c r="E603" s="8"/>
      <c r="F603" s="8"/>
      <c r="G603" s="8"/>
      <c r="H603" s="9"/>
    </row>
    <row r="604" spans="1:12" x14ac:dyDescent="0.3">
      <c r="B604" s="13"/>
      <c r="C604" s="327"/>
      <c r="D604" s="14"/>
      <c r="E604" s="8"/>
      <c r="F604" s="8"/>
      <c r="G604" s="8"/>
    </row>
    <row r="605" spans="1:12" x14ac:dyDescent="0.3">
      <c r="B605" s="13"/>
      <c r="C605" s="327"/>
      <c r="D605" s="14"/>
      <c r="E605" s="8"/>
      <c r="F605" s="8"/>
      <c r="G605" s="8"/>
    </row>
    <row r="606" spans="1:12" x14ac:dyDescent="0.3">
      <c r="B606" s="13"/>
      <c r="C606" s="327"/>
      <c r="D606" s="14"/>
      <c r="E606" s="8"/>
      <c r="F606" s="8"/>
      <c r="G606" s="8"/>
    </row>
    <row r="607" spans="1:12" x14ac:dyDescent="0.3">
      <c r="B607" s="13"/>
      <c r="C607" s="327"/>
      <c r="D607" s="14"/>
      <c r="E607" s="8"/>
      <c r="F607" s="8"/>
      <c r="G607" s="8"/>
    </row>
    <row r="608" spans="1:12" x14ac:dyDescent="0.3">
      <c r="B608" s="13"/>
      <c r="C608" s="327"/>
      <c r="D608" s="14"/>
      <c r="E608" s="8"/>
      <c r="F608" s="8"/>
      <c r="G608" s="8"/>
    </row>
    <row r="609" spans="2:7" x14ac:dyDescent="0.3">
      <c r="B609" s="13"/>
      <c r="C609" s="327"/>
      <c r="D609" s="14"/>
      <c r="E609" s="8"/>
      <c r="F609" s="8"/>
      <c r="G609" s="8"/>
    </row>
    <row r="610" spans="2:7" x14ac:dyDescent="0.3">
      <c r="B610" s="13"/>
      <c r="C610" s="327"/>
      <c r="D610" s="14"/>
      <c r="E610" s="8"/>
      <c r="F610" s="8"/>
      <c r="G610" s="8"/>
    </row>
    <row r="611" spans="2:7" x14ac:dyDescent="0.3">
      <c r="B611" s="13"/>
      <c r="C611" s="327"/>
      <c r="D611" s="14"/>
      <c r="E611" s="8"/>
      <c r="F611" s="8"/>
      <c r="G611" s="8"/>
    </row>
    <row r="612" spans="2:7" x14ac:dyDescent="0.3">
      <c r="B612" s="13"/>
      <c r="C612" s="327"/>
      <c r="D612" s="14"/>
      <c r="E612" s="8"/>
      <c r="F612" s="8"/>
      <c r="G612" s="8"/>
    </row>
    <row r="613" spans="2:7" x14ac:dyDescent="0.3">
      <c r="B613" s="13"/>
      <c r="C613" s="327"/>
      <c r="D613" s="14"/>
      <c r="E613" s="8"/>
      <c r="F613" s="8"/>
      <c r="G613" s="8"/>
    </row>
    <row r="614" spans="2:7" x14ac:dyDescent="0.3">
      <c r="B614" s="13"/>
      <c r="C614" s="327"/>
      <c r="D614" s="14"/>
      <c r="E614" s="8"/>
      <c r="F614" s="8"/>
      <c r="G614" s="8"/>
    </row>
    <row r="615" spans="2:7" x14ac:dyDescent="0.3">
      <c r="B615" s="13"/>
      <c r="C615" s="327"/>
      <c r="D615" s="14"/>
      <c r="E615" s="8"/>
      <c r="F615" s="8"/>
      <c r="G615" s="8"/>
    </row>
    <row r="616" spans="2:7" x14ac:dyDescent="0.3">
      <c r="B616" s="13"/>
      <c r="C616" s="327"/>
      <c r="D616" s="14"/>
      <c r="E616" s="8"/>
      <c r="F616" s="8"/>
      <c r="G616" s="8"/>
    </row>
    <row r="617" spans="2:7" x14ac:dyDescent="0.3">
      <c r="B617" s="13"/>
      <c r="C617" s="327"/>
      <c r="D617" s="14"/>
      <c r="E617" s="8"/>
      <c r="F617" s="8"/>
      <c r="G617" s="8"/>
    </row>
    <row r="618" spans="2:7" x14ac:dyDescent="0.3">
      <c r="B618" s="13"/>
      <c r="C618" s="327"/>
      <c r="D618" s="14"/>
      <c r="E618" s="8"/>
      <c r="F618" s="8"/>
      <c r="G618" s="8"/>
    </row>
    <row r="619" spans="2:7" x14ac:dyDescent="0.3">
      <c r="B619" s="13"/>
      <c r="C619" s="327"/>
      <c r="D619" s="14"/>
      <c r="E619" s="8"/>
      <c r="F619" s="8"/>
      <c r="G619" s="8"/>
    </row>
    <row r="620" spans="2:7" x14ac:dyDescent="0.3">
      <c r="B620" s="13"/>
      <c r="C620" s="327"/>
      <c r="D620" s="14"/>
      <c r="E620" s="8"/>
      <c r="F620" s="8"/>
      <c r="G620" s="8"/>
    </row>
    <row r="621" spans="2:7" x14ac:dyDescent="0.3">
      <c r="B621" s="13"/>
      <c r="C621" s="327"/>
      <c r="D621" s="14"/>
      <c r="E621" s="8"/>
      <c r="F621" s="8"/>
      <c r="G621" s="8"/>
    </row>
    <row r="622" spans="2:7" x14ac:dyDescent="0.3">
      <c r="B622" s="13"/>
      <c r="C622" s="327"/>
      <c r="D622" s="14"/>
      <c r="E622" s="8"/>
      <c r="F622" s="8"/>
      <c r="G622" s="8"/>
    </row>
    <row r="623" spans="2:7" x14ac:dyDescent="0.3">
      <c r="B623" s="13"/>
      <c r="C623" s="327"/>
      <c r="D623" s="14"/>
      <c r="E623" s="8"/>
      <c r="F623" s="8"/>
      <c r="G623" s="8"/>
    </row>
    <row r="624" spans="2:7" x14ac:dyDescent="0.3">
      <c r="B624" s="13"/>
      <c r="C624" s="327"/>
      <c r="D624" s="14"/>
      <c r="E624" s="8"/>
      <c r="F624" s="8"/>
      <c r="G624" s="8"/>
    </row>
    <row r="625" spans="2:7" x14ac:dyDescent="0.3">
      <c r="B625" s="13"/>
      <c r="C625" s="327"/>
      <c r="D625" s="14"/>
      <c r="E625" s="8"/>
      <c r="F625" s="8"/>
      <c r="G625" s="8"/>
    </row>
    <row r="626" spans="2:7" x14ac:dyDescent="0.3">
      <c r="B626" s="13"/>
      <c r="C626" s="327"/>
      <c r="D626" s="14"/>
      <c r="E626" s="8"/>
      <c r="F626" s="8"/>
      <c r="G626" s="8"/>
    </row>
    <row r="627" spans="2:7" x14ac:dyDescent="0.3">
      <c r="B627" s="13"/>
      <c r="C627" s="327"/>
      <c r="D627" s="14"/>
      <c r="E627" s="8"/>
      <c r="F627" s="8"/>
      <c r="G627" s="8"/>
    </row>
    <row r="628" spans="2:7" x14ac:dyDescent="0.3">
      <c r="B628" s="13"/>
      <c r="C628" s="327"/>
      <c r="D628" s="14"/>
      <c r="E628" s="8"/>
      <c r="F628" s="8"/>
      <c r="G628" s="8"/>
    </row>
    <row r="629" spans="2:7" x14ac:dyDescent="0.3">
      <c r="B629" s="13"/>
      <c r="C629" s="327"/>
      <c r="D629" s="14"/>
      <c r="E629" s="8"/>
      <c r="F629" s="8"/>
      <c r="G629" s="8"/>
    </row>
    <row r="630" spans="2:7" x14ac:dyDescent="0.3">
      <c r="B630" s="13"/>
      <c r="C630" s="327"/>
      <c r="D630" s="14"/>
      <c r="E630" s="8"/>
      <c r="F630" s="8"/>
      <c r="G630" s="8"/>
    </row>
    <row r="631" spans="2:7" x14ac:dyDescent="0.3">
      <c r="B631" s="13"/>
      <c r="C631" s="327"/>
      <c r="D631" s="14"/>
      <c r="E631" s="8"/>
      <c r="F631" s="8"/>
      <c r="G631" s="8"/>
    </row>
    <row r="632" spans="2:7" x14ac:dyDescent="0.3">
      <c r="B632" s="13"/>
      <c r="C632" s="327"/>
      <c r="D632" s="14"/>
      <c r="E632" s="8"/>
      <c r="F632" s="8"/>
      <c r="G632" s="8"/>
    </row>
    <row r="633" spans="2:7" x14ac:dyDescent="0.3">
      <c r="B633" s="13"/>
      <c r="C633" s="327"/>
      <c r="D633" s="14"/>
      <c r="E633" s="8"/>
      <c r="F633" s="8"/>
      <c r="G633" s="8"/>
    </row>
    <row r="634" spans="2:7" x14ac:dyDescent="0.3">
      <c r="B634" s="13"/>
      <c r="C634" s="327"/>
      <c r="D634" s="14"/>
      <c r="E634" s="8"/>
      <c r="F634" s="8"/>
      <c r="G634" s="8"/>
    </row>
    <row r="635" spans="2:7" x14ac:dyDescent="0.3">
      <c r="B635" s="13"/>
      <c r="C635" s="327"/>
      <c r="D635" s="14"/>
      <c r="E635" s="8"/>
      <c r="F635" s="8"/>
      <c r="G635" s="8"/>
    </row>
    <row r="636" spans="2:7" x14ac:dyDescent="0.3">
      <c r="B636" s="13"/>
      <c r="C636" s="327"/>
      <c r="D636" s="14"/>
      <c r="E636" s="8"/>
      <c r="F636" s="8"/>
      <c r="G636" s="8"/>
    </row>
    <row r="637" spans="2:7" x14ac:dyDescent="0.3">
      <c r="B637" s="13"/>
      <c r="C637" s="327"/>
      <c r="D637" s="14"/>
      <c r="E637" s="8"/>
      <c r="F637" s="8"/>
      <c r="G637" s="8"/>
    </row>
    <row r="638" spans="2:7" x14ac:dyDescent="0.3">
      <c r="B638" s="13"/>
      <c r="C638" s="327"/>
      <c r="D638" s="14"/>
      <c r="E638" s="8"/>
      <c r="F638" s="8"/>
      <c r="G638" s="8"/>
    </row>
    <row r="639" spans="2:7" x14ac:dyDescent="0.3">
      <c r="B639" s="13"/>
      <c r="C639" s="327"/>
      <c r="D639" s="14"/>
      <c r="E639" s="8"/>
      <c r="F639" s="8"/>
      <c r="G639" s="8"/>
    </row>
    <row r="640" spans="2:7" x14ac:dyDescent="0.3">
      <c r="B640" s="13"/>
      <c r="C640" s="327"/>
      <c r="D640" s="14"/>
      <c r="E640" s="8"/>
      <c r="F640" s="8"/>
      <c r="G640" s="8"/>
    </row>
    <row r="641" spans="2:7" x14ac:dyDescent="0.3">
      <c r="B641" s="13"/>
      <c r="C641" s="327"/>
      <c r="D641" s="14"/>
      <c r="E641" s="8"/>
      <c r="F641" s="8"/>
      <c r="G641" s="8"/>
    </row>
    <row r="642" spans="2:7" x14ac:dyDescent="0.3">
      <c r="B642" s="13"/>
      <c r="C642" s="327"/>
      <c r="D642" s="14"/>
      <c r="E642" s="8"/>
      <c r="F642" s="8"/>
      <c r="G642" s="8"/>
    </row>
    <row r="643" spans="2:7" x14ac:dyDescent="0.3">
      <c r="B643" s="13"/>
      <c r="C643" s="327"/>
      <c r="D643" s="14"/>
      <c r="E643" s="8"/>
      <c r="F643" s="8"/>
      <c r="G643" s="8"/>
    </row>
    <row r="644" spans="2:7" x14ac:dyDescent="0.3">
      <c r="B644" s="13"/>
      <c r="C644" s="327"/>
      <c r="D644" s="14"/>
      <c r="E644" s="8"/>
      <c r="F644" s="8"/>
      <c r="G644" s="8"/>
    </row>
    <row r="645" spans="2:7" x14ac:dyDescent="0.3">
      <c r="B645" s="13"/>
      <c r="C645" s="327"/>
      <c r="D645" s="14"/>
      <c r="E645" s="8"/>
      <c r="F645" s="8"/>
      <c r="G645" s="8"/>
    </row>
    <row r="646" spans="2:7" x14ac:dyDescent="0.3">
      <c r="B646" s="13"/>
      <c r="C646" s="327"/>
      <c r="D646" s="14"/>
      <c r="E646" s="8"/>
      <c r="F646" s="8"/>
      <c r="G646" s="8"/>
    </row>
    <row r="647" spans="2:7" x14ac:dyDescent="0.3">
      <c r="B647" s="13"/>
      <c r="C647" s="327"/>
      <c r="D647" s="14"/>
      <c r="E647" s="8"/>
      <c r="F647" s="8"/>
      <c r="G647" s="8"/>
    </row>
    <row r="648" spans="2:7" x14ac:dyDescent="0.3">
      <c r="B648" s="13"/>
      <c r="C648" s="327"/>
      <c r="D648" s="14"/>
      <c r="E648" s="8"/>
      <c r="F648" s="8"/>
      <c r="G648" s="8"/>
    </row>
    <row r="649" spans="2:7" x14ac:dyDescent="0.3">
      <c r="B649" s="13"/>
      <c r="C649" s="327"/>
      <c r="D649" s="14"/>
      <c r="E649" s="8"/>
      <c r="F649" s="8"/>
      <c r="G649" s="8"/>
    </row>
    <row r="650" spans="2:7" x14ac:dyDescent="0.3">
      <c r="B650" s="13"/>
      <c r="C650" s="327"/>
      <c r="D650" s="14"/>
      <c r="E650" s="8"/>
      <c r="F650" s="8"/>
      <c r="G650" s="8"/>
    </row>
    <row r="651" spans="2:7" x14ac:dyDescent="0.3">
      <c r="B651" s="13"/>
      <c r="C651" s="327"/>
      <c r="D651" s="14"/>
      <c r="E651" s="8"/>
      <c r="F651" s="8"/>
      <c r="G651" s="8"/>
    </row>
    <row r="652" spans="2:7" x14ac:dyDescent="0.3">
      <c r="B652" s="13"/>
      <c r="C652" s="327"/>
      <c r="D652" s="14"/>
      <c r="E652" s="8"/>
      <c r="F652" s="8"/>
      <c r="G652" s="8"/>
    </row>
    <row r="653" spans="2:7" x14ac:dyDescent="0.3">
      <c r="B653" s="13"/>
      <c r="C653" s="327"/>
      <c r="D653" s="14"/>
      <c r="E653" s="8"/>
      <c r="F653" s="8"/>
      <c r="G653" s="8"/>
    </row>
    <row r="654" spans="2:7" x14ac:dyDescent="0.3">
      <c r="B654" s="13"/>
      <c r="C654" s="327"/>
      <c r="D654" s="14"/>
      <c r="E654" s="8"/>
      <c r="F654" s="8"/>
      <c r="G654" s="8"/>
    </row>
    <row r="655" spans="2:7" x14ac:dyDescent="0.3">
      <c r="B655" s="13"/>
      <c r="C655" s="327"/>
      <c r="D655" s="14"/>
      <c r="E655" s="8"/>
      <c r="F655" s="8"/>
      <c r="G655" s="8"/>
    </row>
    <row r="656" spans="2:7" x14ac:dyDescent="0.3">
      <c r="B656" s="13"/>
      <c r="C656" s="327"/>
      <c r="D656" s="14"/>
      <c r="E656" s="8"/>
      <c r="F656" s="8"/>
      <c r="G656" s="8"/>
    </row>
    <row r="657" spans="2:7" x14ac:dyDescent="0.3">
      <c r="B657" s="13"/>
      <c r="C657" s="327"/>
      <c r="D657" s="14"/>
      <c r="E657" s="8"/>
      <c r="F657" s="8"/>
      <c r="G657" s="8"/>
    </row>
    <row r="658" spans="2:7" x14ac:dyDescent="0.3">
      <c r="B658" s="13"/>
      <c r="C658" s="327"/>
      <c r="D658" s="14"/>
      <c r="E658" s="8"/>
      <c r="F658" s="8"/>
      <c r="G658" s="8"/>
    </row>
    <row r="659" spans="2:7" x14ac:dyDescent="0.3">
      <c r="B659" s="13"/>
      <c r="C659" s="327"/>
      <c r="D659" s="14"/>
      <c r="E659" s="8"/>
      <c r="F659" s="8"/>
      <c r="G659" s="8"/>
    </row>
    <row r="660" spans="2:7" x14ac:dyDescent="0.3">
      <c r="B660" s="13"/>
      <c r="C660" s="327"/>
      <c r="D660" s="14"/>
      <c r="E660" s="8"/>
      <c r="F660" s="8"/>
      <c r="G660" s="8"/>
    </row>
    <row r="661" spans="2:7" x14ac:dyDescent="0.3">
      <c r="B661" s="13"/>
      <c r="C661" s="327"/>
      <c r="D661" s="14"/>
      <c r="E661" s="8"/>
      <c r="F661" s="8"/>
      <c r="G661" s="8"/>
    </row>
    <row r="662" spans="2:7" x14ac:dyDescent="0.3">
      <c r="B662" s="13"/>
      <c r="C662" s="327"/>
      <c r="D662" s="14"/>
      <c r="E662" s="8"/>
      <c r="F662" s="8"/>
      <c r="G662" s="8"/>
    </row>
    <row r="663" spans="2:7" x14ac:dyDescent="0.3">
      <c r="B663" s="13"/>
      <c r="C663" s="327"/>
      <c r="D663" s="14"/>
      <c r="E663" s="8"/>
      <c r="F663" s="8"/>
      <c r="G663" s="8"/>
    </row>
    <row r="664" spans="2:7" x14ac:dyDescent="0.3">
      <c r="B664" s="13"/>
      <c r="C664" s="327"/>
      <c r="D664" s="14"/>
      <c r="E664" s="8"/>
      <c r="F664" s="8"/>
      <c r="G664" s="8"/>
    </row>
    <row r="665" spans="2:7" x14ac:dyDescent="0.3">
      <c r="B665" s="13"/>
      <c r="C665" s="327"/>
      <c r="D665" s="14"/>
      <c r="E665" s="8"/>
      <c r="F665" s="8"/>
      <c r="G665" s="8"/>
    </row>
    <row r="666" spans="2:7" x14ac:dyDescent="0.3">
      <c r="B666" s="13"/>
      <c r="C666" s="327"/>
      <c r="D666" s="14"/>
      <c r="E666" s="8"/>
      <c r="F666" s="8"/>
      <c r="G666" s="8"/>
    </row>
    <row r="667" spans="2:7" x14ac:dyDescent="0.3">
      <c r="B667" s="13"/>
      <c r="C667" s="327"/>
      <c r="D667" s="14"/>
      <c r="E667" s="8"/>
      <c r="F667" s="8"/>
      <c r="G667" s="8"/>
    </row>
    <row r="668" spans="2:7" x14ac:dyDescent="0.3">
      <c r="B668" s="13"/>
      <c r="C668" s="327"/>
      <c r="D668" s="14"/>
      <c r="E668" s="8"/>
      <c r="F668" s="8"/>
      <c r="G668" s="8"/>
    </row>
    <row r="669" spans="2:7" x14ac:dyDescent="0.3">
      <c r="B669" s="13"/>
      <c r="C669" s="327"/>
      <c r="D669" s="14"/>
      <c r="E669" s="8"/>
      <c r="F669" s="8"/>
      <c r="G669" s="8"/>
    </row>
    <row r="670" spans="2:7" x14ac:dyDescent="0.3">
      <c r="B670" s="13"/>
      <c r="C670" s="327"/>
      <c r="D670" s="14"/>
      <c r="E670" s="8"/>
      <c r="F670" s="8"/>
      <c r="G670" s="8"/>
    </row>
    <row r="671" spans="2:7" x14ac:dyDescent="0.3">
      <c r="B671" s="13"/>
      <c r="C671" s="327"/>
      <c r="D671" s="14"/>
      <c r="E671" s="8"/>
      <c r="F671" s="8"/>
      <c r="G671" s="8"/>
    </row>
    <row r="672" spans="2:7" x14ac:dyDescent="0.3">
      <c r="B672" s="13"/>
      <c r="C672" s="327"/>
      <c r="D672" s="14"/>
      <c r="E672" s="8"/>
      <c r="F672" s="8"/>
      <c r="G672" s="8"/>
    </row>
    <row r="673" spans="2:7" x14ac:dyDescent="0.3">
      <c r="B673" s="13"/>
      <c r="C673" s="327"/>
      <c r="D673" s="14"/>
      <c r="E673" s="8"/>
      <c r="F673" s="8"/>
      <c r="G673" s="8"/>
    </row>
    <row r="674" spans="2:7" x14ac:dyDescent="0.3">
      <c r="B674" s="13"/>
      <c r="C674" s="327"/>
      <c r="D674" s="8"/>
      <c r="E674" s="8"/>
      <c r="F674" s="8"/>
      <c r="G674" s="8"/>
    </row>
    <row r="675" spans="2:7" x14ac:dyDescent="0.3">
      <c r="B675" s="13"/>
      <c r="C675" s="327"/>
      <c r="D675" s="8"/>
      <c r="E675" s="8"/>
      <c r="F675" s="8"/>
      <c r="G675" s="8"/>
    </row>
    <row r="676" spans="2:7" x14ac:dyDescent="0.3">
      <c r="B676" s="13"/>
      <c r="C676" s="327"/>
      <c r="D676" s="8"/>
      <c r="E676" s="8"/>
      <c r="F676" s="8"/>
      <c r="G676" s="8"/>
    </row>
    <row r="677" spans="2:7" x14ac:dyDescent="0.3">
      <c r="B677" s="13"/>
      <c r="C677" s="327"/>
      <c r="D677" s="8"/>
      <c r="E677" s="8"/>
      <c r="F677" s="8"/>
      <c r="G677" s="8"/>
    </row>
    <row r="678" spans="2:7" x14ac:dyDescent="0.3">
      <c r="B678" s="13"/>
      <c r="C678" s="327"/>
      <c r="D678" s="8"/>
      <c r="E678" s="8"/>
      <c r="F678" s="8"/>
      <c r="G678" s="8"/>
    </row>
    <row r="679" spans="2:7" x14ac:dyDescent="0.3">
      <c r="B679" s="13"/>
      <c r="C679" s="327"/>
      <c r="D679" s="8"/>
      <c r="E679" s="8"/>
      <c r="F679" s="8"/>
      <c r="G679" s="8"/>
    </row>
    <row r="680" spans="2:7" x14ac:dyDescent="0.3">
      <c r="B680" s="13"/>
      <c r="C680" s="327"/>
      <c r="D680" s="8"/>
      <c r="E680" s="8"/>
      <c r="F680" s="8"/>
      <c r="G680" s="8"/>
    </row>
    <row r="681" spans="2:7" x14ac:dyDescent="0.3">
      <c r="B681" s="13"/>
      <c r="C681" s="327"/>
      <c r="D681" s="8"/>
      <c r="E681" s="8"/>
      <c r="F681" s="8"/>
      <c r="G681" s="8"/>
    </row>
    <row r="682" spans="2:7" x14ac:dyDescent="0.3">
      <c r="B682" s="13"/>
      <c r="C682" s="327"/>
      <c r="D682" s="8"/>
      <c r="E682" s="8"/>
      <c r="F682" s="8"/>
      <c r="G682" s="8"/>
    </row>
    <row r="683" spans="2:7" x14ac:dyDescent="0.3">
      <c r="B683" s="13"/>
      <c r="C683" s="327"/>
      <c r="D683" s="8"/>
      <c r="E683" s="8"/>
      <c r="F683" s="8"/>
      <c r="G683" s="8"/>
    </row>
    <row r="684" spans="2:7" x14ac:dyDescent="0.3">
      <c r="B684" s="13"/>
      <c r="C684" s="327"/>
      <c r="D684" s="8"/>
      <c r="E684" s="8"/>
      <c r="F684" s="8"/>
      <c r="G684" s="8"/>
    </row>
    <row r="685" spans="2:7" x14ac:dyDescent="0.3">
      <c r="B685" s="13"/>
      <c r="C685" s="327"/>
      <c r="D685" s="8"/>
      <c r="E685" s="8"/>
      <c r="F685" s="8"/>
      <c r="G685" s="8"/>
    </row>
    <row r="686" spans="2:7" x14ac:dyDescent="0.3">
      <c r="B686" s="13"/>
      <c r="C686" s="327"/>
      <c r="D686" s="8"/>
      <c r="E686" s="8"/>
      <c r="F686" s="8"/>
      <c r="G686" s="8"/>
    </row>
    <row r="687" spans="2:7" x14ac:dyDescent="0.3">
      <c r="B687" s="13"/>
      <c r="C687" s="327"/>
      <c r="D687" s="8"/>
      <c r="E687" s="8"/>
      <c r="F687" s="8"/>
      <c r="G687" s="8"/>
    </row>
    <row r="688" spans="2:7" x14ac:dyDescent="0.3">
      <c r="B688" s="13"/>
      <c r="C688" s="327"/>
      <c r="D688" s="8"/>
      <c r="E688" s="8"/>
      <c r="F688" s="8"/>
      <c r="G688" s="8"/>
    </row>
    <row r="689" spans="2:7" x14ac:dyDescent="0.3">
      <c r="B689" s="13"/>
      <c r="C689" s="327"/>
      <c r="D689" s="8"/>
      <c r="E689" s="8"/>
      <c r="F689" s="8"/>
      <c r="G689" s="8"/>
    </row>
    <row r="690" spans="2:7" x14ac:dyDescent="0.3">
      <c r="B690" s="13"/>
      <c r="C690" s="327"/>
      <c r="D690" s="8"/>
      <c r="E690" s="8"/>
      <c r="F690" s="8"/>
      <c r="G690" s="8"/>
    </row>
    <row r="691" spans="2:7" x14ac:dyDescent="0.3">
      <c r="B691" s="13"/>
      <c r="C691" s="327"/>
      <c r="D691" s="8"/>
      <c r="E691" s="8"/>
      <c r="F691" s="8"/>
      <c r="G691" s="8"/>
    </row>
    <row r="692" spans="2:7" x14ac:dyDescent="0.3">
      <c r="B692" s="13"/>
      <c r="C692" s="327"/>
      <c r="D692" s="8"/>
      <c r="E692" s="8"/>
      <c r="F692" s="8"/>
      <c r="G692" s="8"/>
    </row>
    <row r="693" spans="2:7" x14ac:dyDescent="0.3">
      <c r="B693" s="13"/>
      <c r="C693" s="327"/>
      <c r="D693" s="8"/>
      <c r="E693" s="8"/>
      <c r="F693" s="8"/>
      <c r="G693" s="8"/>
    </row>
    <row r="694" spans="2:7" x14ac:dyDescent="0.3">
      <c r="B694" s="13"/>
      <c r="C694" s="327"/>
      <c r="D694" s="8"/>
      <c r="E694" s="8"/>
      <c r="F694" s="8"/>
      <c r="G694" s="8"/>
    </row>
    <row r="695" spans="2:7" x14ac:dyDescent="0.3">
      <c r="B695" s="13"/>
      <c r="C695" s="327"/>
      <c r="D695" s="8"/>
      <c r="E695" s="8"/>
      <c r="F695" s="8"/>
      <c r="G695" s="8"/>
    </row>
    <row r="696" spans="2:7" x14ac:dyDescent="0.3">
      <c r="B696" s="13"/>
      <c r="C696" s="327"/>
      <c r="D696" s="8"/>
      <c r="E696" s="8"/>
      <c r="F696" s="8"/>
      <c r="G696" s="8"/>
    </row>
    <row r="697" spans="2:7" x14ac:dyDescent="0.3">
      <c r="B697" s="13"/>
      <c r="C697" s="327"/>
      <c r="D697" s="8"/>
      <c r="E697" s="8"/>
      <c r="F697" s="8"/>
      <c r="G697" s="8"/>
    </row>
    <row r="698" spans="2:7" x14ac:dyDescent="0.3">
      <c r="B698" s="13"/>
      <c r="C698" s="327"/>
      <c r="D698" s="8"/>
      <c r="E698" s="8"/>
      <c r="F698" s="8"/>
      <c r="G698" s="8"/>
    </row>
    <row r="699" spans="2:7" x14ac:dyDescent="0.3">
      <c r="B699" s="13"/>
      <c r="C699" s="327"/>
      <c r="D699" s="8"/>
      <c r="E699" s="8"/>
      <c r="F699" s="8"/>
      <c r="G699" s="8"/>
    </row>
    <row r="700" spans="2:7" x14ac:dyDescent="0.3">
      <c r="B700" s="13"/>
      <c r="C700" s="327"/>
      <c r="D700" s="8"/>
      <c r="E700" s="8"/>
      <c r="F700" s="8"/>
      <c r="G700" s="8"/>
    </row>
    <row r="701" spans="2:7" x14ac:dyDescent="0.3">
      <c r="B701" s="13"/>
      <c r="C701" s="327"/>
      <c r="D701" s="8"/>
      <c r="E701" s="8"/>
      <c r="F701" s="8"/>
      <c r="G701" s="8"/>
    </row>
    <row r="702" spans="2:7" x14ac:dyDescent="0.3">
      <c r="B702" s="13"/>
      <c r="C702" s="327"/>
      <c r="D702" s="8"/>
      <c r="E702" s="8"/>
      <c r="F702" s="8"/>
      <c r="G702" s="8"/>
    </row>
    <row r="703" spans="2:7" x14ac:dyDescent="0.3">
      <c r="B703" s="13"/>
      <c r="C703" s="327"/>
      <c r="D703" s="8"/>
      <c r="E703" s="8"/>
      <c r="F703" s="8"/>
      <c r="G703" s="8"/>
    </row>
    <row r="704" spans="2:7" x14ac:dyDescent="0.3">
      <c r="B704" s="13"/>
      <c r="C704" s="327"/>
      <c r="D704" s="8"/>
      <c r="E704" s="8"/>
      <c r="F704" s="8"/>
      <c r="G704" s="8"/>
    </row>
    <row r="705" spans="2:7" x14ac:dyDescent="0.3">
      <c r="B705" s="13"/>
      <c r="C705" s="327"/>
      <c r="D705" s="8"/>
      <c r="E705" s="8"/>
      <c r="F705" s="8"/>
      <c r="G705" s="8"/>
    </row>
    <row r="706" spans="2:7" x14ac:dyDescent="0.3">
      <c r="B706" s="13"/>
      <c r="C706" s="327"/>
      <c r="D706" s="8"/>
      <c r="E706" s="8"/>
      <c r="F706" s="8"/>
      <c r="G706" s="8"/>
    </row>
    <row r="707" spans="2:7" x14ac:dyDescent="0.3">
      <c r="B707" s="13"/>
      <c r="C707" s="327"/>
      <c r="D707" s="8"/>
      <c r="E707" s="8"/>
      <c r="F707" s="8"/>
      <c r="G707" s="8"/>
    </row>
    <row r="708" spans="2:7" x14ac:dyDescent="0.3">
      <c r="B708" s="13"/>
      <c r="C708" s="327"/>
      <c r="D708" s="8"/>
      <c r="E708" s="8"/>
      <c r="F708" s="8"/>
      <c r="G708" s="8"/>
    </row>
    <row r="709" spans="2:7" x14ac:dyDescent="0.3">
      <c r="B709" s="13"/>
      <c r="C709" s="327"/>
      <c r="D709" s="8"/>
      <c r="E709" s="8"/>
      <c r="F709" s="8"/>
      <c r="G709" s="8"/>
    </row>
    <row r="710" spans="2:7" x14ac:dyDescent="0.3">
      <c r="B710" s="13"/>
      <c r="C710" s="327"/>
      <c r="D710" s="8"/>
      <c r="E710" s="8"/>
      <c r="F710" s="8"/>
      <c r="G710" s="8"/>
    </row>
    <row r="711" spans="2:7" x14ac:dyDescent="0.3">
      <c r="B711" s="13"/>
      <c r="C711" s="327"/>
      <c r="D711" s="8"/>
      <c r="E711" s="8"/>
      <c r="F711" s="8"/>
      <c r="G711" s="8"/>
    </row>
    <row r="712" spans="2:7" x14ac:dyDescent="0.3">
      <c r="B712" s="13"/>
      <c r="C712" s="327"/>
      <c r="D712" s="8"/>
      <c r="E712" s="8"/>
      <c r="F712" s="8"/>
      <c r="G712" s="8"/>
    </row>
    <row r="713" spans="2:7" x14ac:dyDescent="0.3">
      <c r="B713" s="13"/>
      <c r="C713" s="327"/>
      <c r="D713" s="8"/>
      <c r="E713" s="8"/>
      <c r="F713" s="8"/>
      <c r="G713" s="8"/>
    </row>
    <row r="714" spans="2:7" x14ac:dyDescent="0.3">
      <c r="B714" s="13"/>
      <c r="C714" s="327"/>
      <c r="D714" s="8"/>
      <c r="E714" s="8"/>
      <c r="F714" s="8"/>
      <c r="G714" s="8"/>
    </row>
    <row r="715" spans="2:7" x14ac:dyDescent="0.3">
      <c r="B715" s="13"/>
      <c r="C715" s="327"/>
      <c r="D715" s="8"/>
      <c r="E715" s="8"/>
      <c r="F715" s="8"/>
      <c r="G715" s="8"/>
    </row>
    <row r="716" spans="2:7" x14ac:dyDescent="0.3">
      <c r="B716" s="13"/>
      <c r="C716" s="327"/>
      <c r="D716" s="8"/>
      <c r="E716" s="8"/>
      <c r="F716" s="8"/>
      <c r="G716" s="8"/>
    </row>
    <row r="717" spans="2:7" x14ac:dyDescent="0.3">
      <c r="B717" s="13"/>
      <c r="C717" s="327"/>
      <c r="D717" s="8"/>
      <c r="E717" s="8"/>
      <c r="F717" s="8"/>
      <c r="G717" s="8"/>
    </row>
    <row r="718" spans="2:7" x14ac:dyDescent="0.3">
      <c r="B718" s="13"/>
      <c r="C718" s="327"/>
      <c r="D718" s="8"/>
      <c r="E718" s="8"/>
      <c r="F718" s="8"/>
      <c r="G718" s="8"/>
    </row>
    <row r="719" spans="2:7" x14ac:dyDescent="0.3">
      <c r="B719" s="13"/>
      <c r="C719" s="327"/>
      <c r="D719" s="8"/>
      <c r="E719" s="8"/>
      <c r="F719" s="8"/>
      <c r="G719" s="8"/>
    </row>
    <row r="720" spans="2:7" x14ac:dyDescent="0.3">
      <c r="B720" s="13"/>
      <c r="C720" s="327"/>
      <c r="D720" s="8"/>
      <c r="E720" s="8"/>
      <c r="F720" s="8"/>
      <c r="G720" s="8"/>
    </row>
    <row r="721" spans="2:7" x14ac:dyDescent="0.3">
      <c r="B721" s="13"/>
      <c r="C721" s="327"/>
      <c r="D721" s="8"/>
      <c r="E721" s="8"/>
      <c r="F721" s="8"/>
      <c r="G721" s="8"/>
    </row>
    <row r="722" spans="2:7" x14ac:dyDescent="0.3">
      <c r="B722" s="13"/>
      <c r="C722" s="327"/>
      <c r="D722" s="8"/>
      <c r="E722" s="8"/>
      <c r="F722" s="8"/>
      <c r="G722" s="8"/>
    </row>
    <row r="723" spans="2:7" x14ac:dyDescent="0.3">
      <c r="B723" s="13"/>
      <c r="C723" s="327"/>
      <c r="D723" s="8"/>
      <c r="E723" s="8"/>
      <c r="F723" s="8"/>
      <c r="G723" s="8"/>
    </row>
    <row r="724" spans="2:7" x14ac:dyDescent="0.3">
      <c r="B724" s="13"/>
      <c r="C724" s="327"/>
      <c r="D724" s="8"/>
      <c r="E724" s="8"/>
      <c r="F724" s="8"/>
      <c r="G724" s="8"/>
    </row>
    <row r="725" spans="2:7" x14ac:dyDescent="0.3">
      <c r="B725" s="13"/>
      <c r="C725" s="327"/>
      <c r="D725" s="8"/>
      <c r="E725" s="8"/>
      <c r="F725" s="8"/>
      <c r="G725" s="8"/>
    </row>
    <row r="726" spans="2:7" x14ac:dyDescent="0.3">
      <c r="B726" s="13"/>
      <c r="C726" s="327"/>
      <c r="D726" s="8"/>
      <c r="E726" s="8"/>
      <c r="F726" s="8"/>
      <c r="G726" s="8"/>
    </row>
    <row r="727" spans="2:7" x14ac:dyDescent="0.3">
      <c r="B727" s="13"/>
      <c r="C727" s="327"/>
      <c r="D727" s="8"/>
      <c r="E727" s="8"/>
      <c r="F727" s="8"/>
      <c r="G727" s="8"/>
    </row>
    <row r="728" spans="2:7" x14ac:dyDescent="0.3">
      <c r="B728" s="13"/>
      <c r="C728" s="327"/>
      <c r="D728" s="8"/>
      <c r="E728" s="8"/>
      <c r="F728" s="8"/>
      <c r="G728" s="8"/>
    </row>
    <row r="729" spans="2:7" x14ac:dyDescent="0.3">
      <c r="B729" s="13"/>
      <c r="C729" s="327"/>
      <c r="D729" s="8"/>
      <c r="E729" s="8"/>
      <c r="F729" s="8"/>
      <c r="G729" s="8"/>
    </row>
    <row r="730" spans="2:7" x14ac:dyDescent="0.3">
      <c r="B730" s="13"/>
      <c r="C730" s="327"/>
      <c r="D730" s="8"/>
      <c r="E730" s="8"/>
      <c r="F730" s="8"/>
      <c r="G730" s="8"/>
    </row>
    <row r="731" spans="2:7" x14ac:dyDescent="0.3">
      <c r="B731" s="13"/>
      <c r="C731" s="327"/>
      <c r="D731" s="8"/>
      <c r="E731" s="8"/>
      <c r="F731" s="8"/>
      <c r="G731" s="8"/>
    </row>
    <row r="732" spans="2:7" x14ac:dyDescent="0.3">
      <c r="B732" s="13"/>
      <c r="C732" s="327"/>
      <c r="D732" s="8"/>
      <c r="E732" s="8"/>
      <c r="F732" s="8"/>
      <c r="G732" s="8"/>
    </row>
    <row r="733" spans="2:7" x14ac:dyDescent="0.3">
      <c r="B733" s="13"/>
      <c r="C733" s="327"/>
      <c r="D733" s="8"/>
      <c r="E733" s="8"/>
      <c r="F733" s="8"/>
      <c r="G733" s="8"/>
    </row>
    <row r="734" spans="2:7" x14ac:dyDescent="0.3">
      <c r="B734" s="13"/>
      <c r="C734" s="327"/>
      <c r="D734" s="8"/>
      <c r="E734" s="8"/>
      <c r="F734" s="8"/>
      <c r="G734" s="8"/>
    </row>
    <row r="735" spans="2:7" x14ac:dyDescent="0.3">
      <c r="B735" s="13"/>
      <c r="C735" s="327"/>
      <c r="D735" s="8"/>
      <c r="E735" s="8"/>
      <c r="F735" s="8"/>
      <c r="G735" s="8"/>
    </row>
    <row r="736" spans="2:7" x14ac:dyDescent="0.3">
      <c r="B736" s="13"/>
      <c r="C736" s="327"/>
      <c r="D736" s="8"/>
      <c r="E736" s="8"/>
      <c r="F736" s="8"/>
      <c r="G736" s="8"/>
    </row>
    <row r="737" spans="2:7" x14ac:dyDescent="0.3">
      <c r="B737" s="13"/>
      <c r="C737" s="327"/>
      <c r="D737" s="8"/>
      <c r="E737" s="8"/>
      <c r="F737" s="8"/>
      <c r="G737" s="8"/>
    </row>
    <row r="738" spans="2:7" x14ac:dyDescent="0.3">
      <c r="B738" s="13"/>
      <c r="C738" s="327"/>
      <c r="D738" s="8"/>
      <c r="E738" s="8"/>
      <c r="F738" s="8"/>
      <c r="G738" s="8"/>
    </row>
    <row r="739" spans="2:7" x14ac:dyDescent="0.3">
      <c r="B739" s="13"/>
      <c r="C739" s="327"/>
      <c r="D739" s="8"/>
      <c r="E739" s="8"/>
      <c r="F739" s="8"/>
      <c r="G739" s="8"/>
    </row>
    <row r="740" spans="2:7" x14ac:dyDescent="0.3">
      <c r="B740" s="13"/>
      <c r="C740" s="327"/>
      <c r="D740" s="8"/>
      <c r="E740" s="8"/>
      <c r="F740" s="8"/>
      <c r="G740" s="8"/>
    </row>
    <row r="741" spans="2:7" x14ac:dyDescent="0.3">
      <c r="B741" s="13"/>
      <c r="C741" s="327"/>
      <c r="D741" s="8"/>
      <c r="E741" s="8"/>
      <c r="F741" s="8"/>
      <c r="G741" s="8"/>
    </row>
    <row r="742" spans="2:7" x14ac:dyDescent="0.3">
      <c r="B742" s="13"/>
      <c r="C742" s="327"/>
      <c r="D742" s="8"/>
      <c r="E742" s="8"/>
      <c r="F742" s="8"/>
      <c r="G742" s="8"/>
    </row>
    <row r="743" spans="2:7" x14ac:dyDescent="0.3">
      <c r="B743" s="13"/>
      <c r="C743" s="327"/>
      <c r="D743" s="8"/>
      <c r="E743" s="8"/>
      <c r="F743" s="8"/>
      <c r="G743" s="8"/>
    </row>
    <row r="744" spans="2:7" x14ac:dyDescent="0.3">
      <c r="B744" s="13"/>
      <c r="C744" s="327"/>
      <c r="D744" s="8"/>
      <c r="E744" s="8"/>
      <c r="F744" s="8"/>
      <c r="G744" s="8"/>
    </row>
    <row r="745" spans="2:7" x14ac:dyDescent="0.3">
      <c r="B745" s="13"/>
      <c r="C745" s="327"/>
      <c r="D745" s="8"/>
      <c r="E745" s="8"/>
      <c r="F745" s="8"/>
      <c r="G745" s="8"/>
    </row>
    <row r="746" spans="2:7" x14ac:dyDescent="0.3">
      <c r="B746" s="13"/>
      <c r="C746" s="327"/>
      <c r="D746" s="8"/>
      <c r="E746" s="8"/>
      <c r="F746" s="8"/>
      <c r="G746" s="8"/>
    </row>
    <row r="747" spans="2:7" x14ac:dyDescent="0.3">
      <c r="B747" s="13"/>
      <c r="C747" s="327"/>
      <c r="D747" s="8"/>
      <c r="E747" s="8"/>
      <c r="F747" s="8"/>
      <c r="G747" s="8"/>
    </row>
    <row r="748" spans="2:7" x14ac:dyDescent="0.3">
      <c r="B748" s="13"/>
      <c r="C748" s="327"/>
      <c r="D748" s="8"/>
      <c r="E748" s="8"/>
      <c r="F748" s="8"/>
      <c r="G748" s="8"/>
    </row>
    <row r="749" spans="2:7" x14ac:dyDescent="0.3">
      <c r="B749" s="13"/>
      <c r="C749" s="327"/>
      <c r="D749" s="8"/>
      <c r="E749" s="8"/>
      <c r="F749" s="8"/>
      <c r="G749" s="8"/>
    </row>
    <row r="750" spans="2:7" x14ac:dyDescent="0.3">
      <c r="B750" s="13"/>
      <c r="C750" s="327"/>
      <c r="D750" s="8"/>
      <c r="E750" s="8"/>
      <c r="F750" s="8"/>
      <c r="G750" s="8"/>
    </row>
    <row r="751" spans="2:7" x14ac:dyDescent="0.3">
      <c r="B751" s="13"/>
      <c r="C751" s="327"/>
      <c r="D751" s="8"/>
      <c r="E751" s="8"/>
      <c r="F751" s="8"/>
      <c r="G751" s="8"/>
    </row>
    <row r="752" spans="2:7" x14ac:dyDescent="0.3">
      <c r="B752" s="13"/>
      <c r="C752" s="327"/>
      <c r="D752" s="8"/>
      <c r="E752" s="8"/>
      <c r="F752" s="8"/>
      <c r="G752" s="8"/>
    </row>
    <row r="753" spans="2:7" x14ac:dyDescent="0.3">
      <c r="B753" s="13"/>
      <c r="C753" s="327"/>
      <c r="D753" s="8"/>
      <c r="E753" s="8"/>
      <c r="F753" s="8"/>
      <c r="G753" s="8"/>
    </row>
    <row r="754" spans="2:7" x14ac:dyDescent="0.3">
      <c r="B754" s="13"/>
      <c r="C754" s="327"/>
      <c r="D754" s="8"/>
      <c r="E754" s="8"/>
      <c r="F754" s="8"/>
      <c r="G754" s="8"/>
    </row>
    <row r="755" spans="2:7" x14ac:dyDescent="0.3">
      <c r="B755" s="13"/>
      <c r="C755" s="327"/>
      <c r="D755" s="8"/>
      <c r="E755" s="8"/>
      <c r="F755" s="8"/>
      <c r="G755" s="8"/>
    </row>
    <row r="756" spans="2:7" x14ac:dyDescent="0.3">
      <c r="B756" s="13"/>
      <c r="C756" s="327"/>
      <c r="D756" s="8"/>
      <c r="E756" s="8"/>
      <c r="F756" s="8"/>
      <c r="G756" s="8"/>
    </row>
    <row r="757" spans="2:7" x14ac:dyDescent="0.3">
      <c r="B757" s="13"/>
      <c r="C757" s="327"/>
      <c r="D757" s="8"/>
      <c r="E757" s="8"/>
      <c r="F757" s="8"/>
      <c r="G757" s="8"/>
    </row>
    <row r="758" spans="2:7" x14ac:dyDescent="0.3">
      <c r="B758" s="13"/>
      <c r="C758" s="327"/>
      <c r="D758" s="8"/>
      <c r="E758" s="8"/>
      <c r="F758" s="8"/>
      <c r="G758" s="8"/>
    </row>
    <row r="759" spans="2:7" x14ac:dyDescent="0.3">
      <c r="B759" s="13"/>
      <c r="C759" s="327"/>
      <c r="D759" s="8"/>
      <c r="E759" s="8"/>
      <c r="F759" s="8"/>
      <c r="G759" s="8"/>
    </row>
    <row r="760" spans="2:7" x14ac:dyDescent="0.3">
      <c r="B760" s="13"/>
      <c r="C760" s="327"/>
      <c r="D760" s="8"/>
      <c r="E760" s="8"/>
      <c r="F760" s="8"/>
      <c r="G760" s="8"/>
    </row>
    <row r="761" spans="2:7" x14ac:dyDescent="0.3">
      <c r="B761" s="13"/>
      <c r="C761" s="327"/>
      <c r="D761" s="8"/>
      <c r="E761" s="8"/>
      <c r="F761" s="8"/>
      <c r="G761" s="8"/>
    </row>
    <row r="762" spans="2:7" x14ac:dyDescent="0.3">
      <c r="B762" s="13"/>
      <c r="C762" s="327"/>
      <c r="D762" s="8"/>
      <c r="E762" s="8"/>
      <c r="F762" s="8"/>
      <c r="G762" s="8"/>
    </row>
    <row r="763" spans="2:7" x14ac:dyDescent="0.3">
      <c r="B763" s="13"/>
      <c r="C763" s="327"/>
      <c r="D763" s="8"/>
      <c r="E763" s="8"/>
      <c r="F763" s="8"/>
      <c r="G763" s="8"/>
    </row>
    <row r="764" spans="2:7" x14ac:dyDescent="0.3">
      <c r="B764" s="13"/>
      <c r="C764" s="327"/>
      <c r="D764" s="8"/>
      <c r="E764" s="8"/>
      <c r="F764" s="8"/>
      <c r="G764" s="8"/>
    </row>
    <row r="765" spans="2:7" x14ac:dyDescent="0.3">
      <c r="B765" s="13"/>
      <c r="C765" s="327"/>
      <c r="D765" s="8"/>
      <c r="E765" s="8"/>
      <c r="F765" s="8"/>
      <c r="G765" s="8"/>
    </row>
    <row r="766" spans="2:7" x14ac:dyDescent="0.3">
      <c r="B766" s="13"/>
      <c r="C766" s="327"/>
      <c r="D766" s="8"/>
      <c r="E766" s="8"/>
      <c r="F766" s="8"/>
      <c r="G766" s="8"/>
    </row>
    <row r="767" spans="2:7" x14ac:dyDescent="0.3">
      <c r="B767" s="13"/>
      <c r="C767" s="327"/>
      <c r="D767" s="8"/>
      <c r="E767" s="8"/>
      <c r="F767" s="8"/>
      <c r="G767" s="8"/>
    </row>
    <row r="768" spans="2:7" x14ac:dyDescent="0.3">
      <c r="B768" s="13"/>
      <c r="C768" s="327"/>
      <c r="D768" s="8"/>
      <c r="E768" s="8"/>
      <c r="F768" s="8"/>
      <c r="G768" s="8"/>
    </row>
    <row r="769" spans="2:7" x14ac:dyDescent="0.3">
      <c r="B769" s="13"/>
      <c r="C769" s="327"/>
      <c r="D769" s="8"/>
      <c r="E769" s="8"/>
      <c r="F769" s="8"/>
      <c r="G769" s="8"/>
    </row>
    <row r="770" spans="2:7" x14ac:dyDescent="0.3">
      <c r="B770" s="13"/>
      <c r="C770" s="327"/>
      <c r="D770" s="8"/>
      <c r="E770" s="8"/>
      <c r="F770" s="8"/>
      <c r="G770" s="8"/>
    </row>
    <row r="771" spans="2:7" x14ac:dyDescent="0.3">
      <c r="B771" s="13"/>
      <c r="C771" s="327"/>
      <c r="D771" s="8"/>
      <c r="E771" s="8"/>
      <c r="F771" s="8"/>
      <c r="G771" s="8"/>
    </row>
    <row r="772" spans="2:7" x14ac:dyDescent="0.3">
      <c r="B772" s="13"/>
      <c r="C772" s="327"/>
      <c r="D772" s="8"/>
      <c r="E772" s="8"/>
      <c r="F772" s="8"/>
      <c r="G772" s="8"/>
    </row>
    <row r="773" spans="2:7" x14ac:dyDescent="0.3">
      <c r="B773" s="13"/>
      <c r="C773" s="327"/>
      <c r="D773" s="8"/>
      <c r="E773" s="8"/>
      <c r="F773" s="8"/>
      <c r="G773" s="8"/>
    </row>
    <row r="774" spans="2:7" x14ac:dyDescent="0.3">
      <c r="B774" s="13"/>
      <c r="C774" s="327"/>
      <c r="D774" s="8"/>
      <c r="E774" s="8"/>
      <c r="F774" s="8"/>
      <c r="G774" s="8"/>
    </row>
    <row r="775" spans="2:7" x14ac:dyDescent="0.3">
      <c r="B775" s="13"/>
      <c r="C775" s="327"/>
      <c r="D775" s="8"/>
      <c r="E775" s="8"/>
      <c r="F775" s="8"/>
      <c r="G775" s="8"/>
    </row>
    <row r="776" spans="2:7" x14ac:dyDescent="0.3">
      <c r="B776" s="13"/>
      <c r="C776" s="327"/>
      <c r="D776" s="8"/>
      <c r="E776" s="8"/>
      <c r="F776" s="8"/>
      <c r="G776" s="8"/>
    </row>
    <row r="777" spans="2:7" x14ac:dyDescent="0.3">
      <c r="B777" s="13"/>
      <c r="C777" s="327"/>
      <c r="D777" s="8"/>
      <c r="E777" s="8"/>
      <c r="F777" s="8"/>
      <c r="G777" s="8"/>
    </row>
    <row r="778" spans="2:7" x14ac:dyDescent="0.3">
      <c r="B778" s="13"/>
      <c r="C778" s="327"/>
      <c r="D778" s="8"/>
      <c r="E778" s="8"/>
      <c r="F778" s="8"/>
      <c r="G778" s="8"/>
    </row>
    <row r="779" spans="2:7" x14ac:dyDescent="0.3">
      <c r="B779" s="13"/>
      <c r="C779" s="327"/>
      <c r="D779" s="8"/>
      <c r="E779" s="8"/>
      <c r="F779" s="8"/>
      <c r="G779" s="8"/>
    </row>
    <row r="780" spans="2:7" x14ac:dyDescent="0.3">
      <c r="B780" s="13"/>
      <c r="C780" s="327"/>
      <c r="D780" s="8"/>
      <c r="E780" s="8"/>
      <c r="F780" s="8"/>
      <c r="G780" s="8"/>
    </row>
    <row r="781" spans="2:7" x14ac:dyDescent="0.3">
      <c r="B781" s="13"/>
      <c r="C781" s="327"/>
      <c r="D781" s="8"/>
      <c r="E781" s="8"/>
      <c r="F781" s="8"/>
      <c r="G781" s="8"/>
    </row>
    <row r="782" spans="2:7" x14ac:dyDescent="0.3">
      <c r="B782" s="13"/>
      <c r="C782" s="327"/>
      <c r="D782" s="8"/>
      <c r="E782" s="8"/>
      <c r="F782" s="8"/>
      <c r="G782" s="8"/>
    </row>
    <row r="783" spans="2:7" x14ac:dyDescent="0.3">
      <c r="B783" s="13"/>
      <c r="C783" s="327"/>
      <c r="D783" s="8"/>
      <c r="E783" s="8"/>
      <c r="F783" s="8"/>
      <c r="G783" s="8"/>
    </row>
    <row r="784" spans="2:7" x14ac:dyDescent="0.3">
      <c r="B784" s="13"/>
      <c r="C784" s="327"/>
      <c r="D784" s="8"/>
      <c r="E784" s="8"/>
      <c r="F784" s="8"/>
      <c r="G784" s="8"/>
    </row>
    <row r="785" spans="2:7" x14ac:dyDescent="0.3">
      <c r="B785" s="13"/>
      <c r="C785" s="327"/>
      <c r="D785" s="8"/>
      <c r="E785" s="8"/>
      <c r="F785" s="8"/>
      <c r="G785" s="8"/>
    </row>
    <row r="786" spans="2:7" x14ac:dyDescent="0.3">
      <c r="B786" s="13"/>
      <c r="C786" s="327"/>
      <c r="D786" s="8"/>
      <c r="E786" s="8"/>
      <c r="F786" s="8"/>
      <c r="G786" s="8"/>
    </row>
    <row r="787" spans="2:7" x14ac:dyDescent="0.3">
      <c r="B787" s="13"/>
      <c r="C787" s="327"/>
      <c r="D787" s="8"/>
      <c r="E787" s="8"/>
      <c r="F787" s="8"/>
      <c r="G787" s="8"/>
    </row>
    <row r="788" spans="2:7" x14ac:dyDescent="0.3">
      <c r="B788" s="13"/>
      <c r="C788" s="327"/>
      <c r="D788" s="8"/>
      <c r="E788" s="8"/>
      <c r="F788" s="8"/>
      <c r="G788" s="8"/>
    </row>
    <row r="789" spans="2:7" x14ac:dyDescent="0.3">
      <c r="B789" s="13"/>
      <c r="C789" s="327"/>
      <c r="D789" s="8"/>
      <c r="E789" s="8"/>
      <c r="F789" s="8"/>
      <c r="G789" s="8"/>
    </row>
    <row r="790" spans="2:7" x14ac:dyDescent="0.3">
      <c r="B790" s="13"/>
      <c r="C790" s="327"/>
      <c r="D790" s="8"/>
      <c r="E790" s="8"/>
      <c r="F790" s="8"/>
      <c r="G790" s="8"/>
    </row>
    <row r="791" spans="2:7" x14ac:dyDescent="0.3">
      <c r="B791" s="13"/>
      <c r="C791" s="327"/>
      <c r="D791" s="8"/>
      <c r="E791" s="8"/>
      <c r="F791" s="8"/>
      <c r="G791" s="8"/>
    </row>
    <row r="792" spans="2:7" x14ac:dyDescent="0.3">
      <c r="B792" s="13"/>
      <c r="C792" s="327"/>
      <c r="D792" s="8"/>
      <c r="E792" s="8"/>
      <c r="F792" s="8"/>
      <c r="G792" s="8"/>
    </row>
    <row r="793" spans="2:7" x14ac:dyDescent="0.3">
      <c r="B793" s="13"/>
      <c r="C793" s="327"/>
      <c r="D793" s="8"/>
      <c r="E793" s="8"/>
      <c r="F793" s="8"/>
      <c r="G793" s="8"/>
    </row>
    <row r="794" spans="2:7" x14ac:dyDescent="0.3">
      <c r="B794" s="13"/>
      <c r="C794" s="327"/>
      <c r="D794" s="8"/>
      <c r="E794" s="8"/>
      <c r="F794" s="8"/>
      <c r="G794" s="8"/>
    </row>
    <row r="795" spans="2:7" x14ac:dyDescent="0.3">
      <c r="B795" s="13"/>
      <c r="C795" s="327"/>
      <c r="D795" s="8"/>
      <c r="E795" s="8"/>
      <c r="F795" s="8"/>
      <c r="G795" s="8"/>
    </row>
    <row r="796" spans="2:7" x14ac:dyDescent="0.3">
      <c r="B796" s="13"/>
      <c r="C796" s="327"/>
      <c r="D796" s="8"/>
      <c r="E796" s="8"/>
      <c r="F796" s="8"/>
      <c r="G796" s="8"/>
    </row>
    <row r="797" spans="2:7" x14ac:dyDescent="0.3">
      <c r="B797" s="13"/>
      <c r="C797" s="327"/>
      <c r="D797" s="8"/>
      <c r="E797" s="8"/>
      <c r="F797" s="8"/>
      <c r="G797" s="8"/>
    </row>
    <row r="798" spans="2:7" x14ac:dyDescent="0.3">
      <c r="B798" s="13"/>
      <c r="C798" s="327"/>
      <c r="D798" s="8"/>
      <c r="E798" s="8"/>
      <c r="F798" s="8"/>
      <c r="G798" s="8"/>
    </row>
    <row r="799" spans="2:7" x14ac:dyDescent="0.3">
      <c r="B799" s="13"/>
      <c r="C799" s="327"/>
      <c r="D799" s="8"/>
      <c r="E799" s="8"/>
      <c r="F799" s="8"/>
      <c r="G799" s="8"/>
    </row>
    <row r="800" spans="2:7" x14ac:dyDescent="0.3">
      <c r="B800" s="13"/>
      <c r="C800" s="327"/>
      <c r="D800" s="8"/>
      <c r="E800" s="8"/>
      <c r="F800" s="8"/>
      <c r="G800" s="8"/>
    </row>
    <row r="801" spans="2:7" x14ac:dyDescent="0.3">
      <c r="B801" s="13"/>
      <c r="C801" s="327"/>
      <c r="D801" s="8"/>
      <c r="E801" s="8"/>
      <c r="F801" s="8"/>
      <c r="G801" s="8"/>
    </row>
    <row r="802" spans="2:7" x14ac:dyDescent="0.3">
      <c r="B802" s="13"/>
      <c r="C802" s="327"/>
      <c r="D802" s="8"/>
      <c r="E802" s="8"/>
      <c r="F802" s="8"/>
      <c r="G802" s="8"/>
    </row>
    <row r="803" spans="2:7" x14ac:dyDescent="0.3">
      <c r="B803" s="13"/>
      <c r="C803" s="327"/>
      <c r="D803" s="8"/>
      <c r="E803" s="8"/>
      <c r="F803" s="8"/>
      <c r="G803" s="8"/>
    </row>
    <row r="804" spans="2:7" x14ac:dyDescent="0.3">
      <c r="B804" s="13"/>
      <c r="C804" s="327"/>
      <c r="D804" s="8"/>
      <c r="E804" s="8"/>
      <c r="F804" s="8"/>
      <c r="G804" s="8"/>
    </row>
    <row r="805" spans="2:7" x14ac:dyDescent="0.3">
      <c r="B805" s="13"/>
      <c r="C805" s="327"/>
      <c r="D805" s="8"/>
      <c r="E805" s="8"/>
      <c r="F805" s="8"/>
      <c r="G805" s="8"/>
    </row>
    <row r="806" spans="2:7" x14ac:dyDescent="0.3">
      <c r="B806" s="13"/>
      <c r="C806" s="327"/>
      <c r="D806" s="8"/>
      <c r="E806" s="8"/>
      <c r="F806" s="8"/>
      <c r="G806" s="8"/>
    </row>
    <row r="807" spans="2:7" x14ac:dyDescent="0.3">
      <c r="B807" s="13"/>
      <c r="C807" s="327"/>
      <c r="D807" s="8"/>
      <c r="E807" s="8"/>
      <c r="F807" s="8"/>
      <c r="G807" s="8"/>
    </row>
    <row r="808" spans="2:7" x14ac:dyDescent="0.3">
      <c r="B808" s="13"/>
      <c r="C808" s="327"/>
      <c r="D808" s="8"/>
      <c r="E808" s="8"/>
      <c r="F808" s="8"/>
      <c r="G808" s="8"/>
    </row>
    <row r="809" spans="2:7" x14ac:dyDescent="0.3">
      <c r="B809" s="13"/>
      <c r="C809" s="327"/>
      <c r="D809" s="8"/>
      <c r="E809" s="8"/>
      <c r="F809" s="8"/>
      <c r="G809" s="8"/>
    </row>
    <row r="810" spans="2:7" x14ac:dyDescent="0.3">
      <c r="B810" s="13"/>
      <c r="C810" s="327"/>
      <c r="D810" s="8"/>
      <c r="E810" s="8"/>
      <c r="F810" s="8"/>
      <c r="G810" s="8"/>
    </row>
    <row r="811" spans="2:7" x14ac:dyDescent="0.3">
      <c r="B811" s="13"/>
      <c r="C811" s="327"/>
      <c r="D811" s="8"/>
      <c r="E811" s="8"/>
      <c r="F811" s="8"/>
      <c r="G811" s="8"/>
    </row>
    <row r="812" spans="2:7" x14ac:dyDescent="0.3">
      <c r="B812" s="13"/>
      <c r="C812" s="327"/>
      <c r="D812" s="8"/>
      <c r="E812" s="8"/>
      <c r="F812" s="8"/>
      <c r="G812" s="8"/>
    </row>
    <row r="813" spans="2:7" x14ac:dyDescent="0.3">
      <c r="B813" s="13"/>
      <c r="C813" s="327"/>
      <c r="D813" s="8"/>
      <c r="E813" s="8"/>
      <c r="F813" s="8"/>
      <c r="G813" s="8"/>
    </row>
    <row r="814" spans="2:7" x14ac:dyDescent="0.3">
      <c r="B814" s="13"/>
      <c r="C814" s="327"/>
      <c r="D814" s="8"/>
      <c r="E814" s="8"/>
      <c r="F814" s="8"/>
      <c r="G814" s="8"/>
    </row>
    <row r="815" spans="2:7" x14ac:dyDescent="0.3">
      <c r="B815" s="13"/>
      <c r="C815" s="327"/>
      <c r="D815" s="8"/>
      <c r="E815" s="8"/>
      <c r="F815" s="8"/>
      <c r="G815" s="8"/>
    </row>
    <row r="816" spans="2:7" x14ac:dyDescent="0.3">
      <c r="B816" s="13"/>
      <c r="C816" s="327"/>
      <c r="D816" s="8"/>
      <c r="E816" s="8"/>
      <c r="F816" s="8"/>
      <c r="G816" s="8"/>
    </row>
    <row r="817" spans="2:7" x14ac:dyDescent="0.3">
      <c r="B817" s="13"/>
      <c r="C817" s="327"/>
      <c r="D817" s="8"/>
      <c r="E817" s="8"/>
      <c r="F817" s="8"/>
      <c r="G817" s="8"/>
    </row>
    <row r="818" spans="2:7" x14ac:dyDescent="0.3">
      <c r="B818" s="13"/>
      <c r="C818" s="327"/>
      <c r="D818" s="8"/>
      <c r="E818" s="8"/>
      <c r="F818" s="8"/>
      <c r="G818" s="8"/>
    </row>
    <row r="819" spans="2:7" x14ac:dyDescent="0.3">
      <c r="B819" s="13"/>
      <c r="C819" s="327"/>
      <c r="D819" s="8"/>
      <c r="E819" s="8"/>
      <c r="F819" s="8"/>
      <c r="G819" s="8"/>
    </row>
    <row r="820" spans="2:7" x14ac:dyDescent="0.3">
      <c r="B820" s="13"/>
      <c r="C820" s="327"/>
      <c r="D820" s="8"/>
      <c r="E820" s="8"/>
      <c r="F820" s="8"/>
      <c r="G820" s="8"/>
    </row>
    <row r="821" spans="2:7" x14ac:dyDescent="0.3">
      <c r="B821" s="13"/>
      <c r="C821" s="327"/>
      <c r="D821" s="8"/>
      <c r="E821" s="8"/>
      <c r="F821" s="8"/>
      <c r="G821" s="8"/>
    </row>
    <row r="822" spans="2:7" x14ac:dyDescent="0.3">
      <c r="B822" s="13"/>
      <c r="C822" s="327"/>
      <c r="D822" s="8"/>
      <c r="E822" s="8"/>
      <c r="F822" s="8"/>
      <c r="G822" s="8"/>
    </row>
    <row r="823" spans="2:7" x14ac:dyDescent="0.3">
      <c r="D823" s="8"/>
      <c r="E823" s="8"/>
      <c r="F823" s="8"/>
    </row>
    <row r="824" spans="2:7" x14ac:dyDescent="0.3">
      <c r="D824" s="8"/>
      <c r="E824" s="8"/>
      <c r="F824" s="8"/>
    </row>
    <row r="825" spans="2:7" x14ac:dyDescent="0.3">
      <c r="D825" s="8"/>
      <c r="E825" s="8"/>
      <c r="F825" s="8"/>
    </row>
    <row r="826" spans="2:7" x14ac:dyDescent="0.3">
      <c r="D826" s="8"/>
      <c r="E826" s="8"/>
      <c r="F826" s="8"/>
    </row>
    <row r="827" spans="2:7" x14ac:dyDescent="0.3">
      <c r="D827" s="8"/>
      <c r="E827" s="8"/>
      <c r="F827" s="8"/>
    </row>
    <row r="828" spans="2:7" x14ac:dyDescent="0.3">
      <c r="D828" s="8"/>
      <c r="E828" s="8"/>
      <c r="F828" s="8"/>
    </row>
  </sheetData>
  <printOptions gridLines="1"/>
  <pageMargins left="0.5" right="0" top="0.75" bottom="0.75" header="0.3" footer="0.3"/>
  <pageSetup paperSize="9" orientation="landscape" r:id="rId1"/>
  <headerFooter>
    <oddHeader>&amp;LMUTARE CITY COUNCIL GENERAL VALUATION ROLL 2019</oddHeader>
    <oddFooter>&amp;CPage &amp;P of &amp;N&amp;RHEAVY INDUSTRIAL PROPERTIES</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4"/>
  <sheetViews>
    <sheetView topLeftCell="A231" workbookViewId="0">
      <selection activeCell="E256" sqref="E256"/>
    </sheetView>
  </sheetViews>
  <sheetFormatPr defaultRowHeight="14.4" x14ac:dyDescent="0.3"/>
  <cols>
    <col min="1" max="1" width="7.88671875" customWidth="1"/>
    <col min="2" max="2" width="16.44140625" customWidth="1"/>
    <col min="3" max="3" width="16.44140625" style="339" customWidth="1"/>
    <col min="4" max="4" width="20.21875" customWidth="1"/>
    <col min="5" max="5" width="29.5546875" customWidth="1"/>
    <col min="6" max="6" width="13.6640625" customWidth="1"/>
    <col min="7" max="7" width="14" customWidth="1"/>
    <col min="8" max="8" width="11.88671875" hidden="1" customWidth="1"/>
    <col min="9" max="9" width="15.88671875" customWidth="1"/>
  </cols>
  <sheetData>
    <row r="1" spans="1:10" ht="15.6" x14ac:dyDescent="0.3">
      <c r="A1" s="22" t="s">
        <v>1977</v>
      </c>
      <c r="B1" s="23"/>
      <c r="C1" s="22"/>
      <c r="D1" s="23"/>
    </row>
    <row r="2" spans="1:10" ht="15.6" x14ac:dyDescent="0.3">
      <c r="A2" s="22" t="s">
        <v>1978</v>
      </c>
      <c r="B2" s="23"/>
      <c r="C2" s="22"/>
      <c r="D2" s="23"/>
      <c r="E2" s="23"/>
      <c r="F2" s="23"/>
    </row>
    <row r="3" spans="1:10" ht="16.2" thickBot="1" x14ac:dyDescent="0.35">
      <c r="A3" s="22"/>
      <c r="B3" s="23"/>
      <c r="C3" s="22"/>
      <c r="D3" s="23"/>
      <c r="E3" s="23"/>
      <c r="F3" s="23"/>
    </row>
    <row r="4" spans="1:10" ht="31.8" thickTop="1" x14ac:dyDescent="0.3">
      <c r="A4" s="257" t="s">
        <v>1059</v>
      </c>
      <c r="B4" s="258" t="s">
        <v>1060</v>
      </c>
      <c r="C4" s="258" t="s">
        <v>1993</v>
      </c>
      <c r="D4" s="258" t="s">
        <v>1061</v>
      </c>
      <c r="E4" s="258" t="s">
        <v>1062</v>
      </c>
      <c r="F4" s="258" t="s">
        <v>1063</v>
      </c>
      <c r="G4" s="259" t="s">
        <v>1065</v>
      </c>
      <c r="H4" s="259" t="s">
        <v>1976</v>
      </c>
      <c r="I4" s="310" t="s">
        <v>1066</v>
      </c>
      <c r="J4" s="24"/>
    </row>
    <row r="5" spans="1:10" x14ac:dyDescent="0.3">
      <c r="A5" s="263"/>
      <c r="B5" s="263"/>
      <c r="C5" s="337"/>
      <c r="D5" s="263"/>
      <c r="E5" s="263"/>
      <c r="F5" s="263"/>
      <c r="G5" s="263"/>
      <c r="H5" s="263"/>
      <c r="I5" s="263"/>
    </row>
    <row r="6" spans="1:10" x14ac:dyDescent="0.3">
      <c r="A6" s="297">
        <v>1</v>
      </c>
      <c r="B6" s="297">
        <v>6024</v>
      </c>
      <c r="C6" s="338"/>
      <c r="D6" s="297" t="s">
        <v>1974</v>
      </c>
      <c r="E6" s="268" t="s">
        <v>1975</v>
      </c>
      <c r="F6" s="297" t="s">
        <v>1928</v>
      </c>
      <c r="G6" s="297">
        <v>432</v>
      </c>
      <c r="H6" s="297">
        <v>5</v>
      </c>
      <c r="I6" s="297">
        <f>G6*H6</f>
        <v>2160</v>
      </c>
    </row>
    <row r="7" spans="1:10" x14ac:dyDescent="0.3">
      <c r="A7" s="297"/>
      <c r="B7" s="297"/>
      <c r="C7" s="338"/>
      <c r="D7" s="297"/>
      <c r="E7" s="268"/>
      <c r="F7" s="297"/>
      <c r="G7" s="297"/>
      <c r="H7" s="297"/>
      <c r="I7" s="297"/>
    </row>
    <row r="8" spans="1:10" x14ac:dyDescent="0.3">
      <c r="A8" s="297">
        <f>A6+1</f>
        <v>2</v>
      </c>
      <c r="B8" s="297">
        <v>6039</v>
      </c>
      <c r="C8" s="338"/>
      <c r="D8" s="297" t="s">
        <v>1974</v>
      </c>
      <c r="E8" s="268" t="s">
        <v>1975</v>
      </c>
      <c r="F8" s="297" t="s">
        <v>1928</v>
      </c>
      <c r="G8" s="297">
        <v>205345</v>
      </c>
      <c r="H8" s="297">
        <v>5</v>
      </c>
      <c r="I8" s="311">
        <f>(10000*5)+(10000*0.75*H8)+(10000*0.5*H8)+(175345*0.25*H8)</f>
        <v>331681.25</v>
      </c>
    </row>
    <row r="9" spans="1:10" x14ac:dyDescent="0.3">
      <c r="A9" s="297"/>
      <c r="B9" s="297"/>
      <c r="C9" s="338"/>
      <c r="D9" s="297"/>
      <c r="E9" s="268"/>
      <c r="F9" s="297"/>
      <c r="G9" s="297"/>
      <c r="H9" s="297"/>
      <c r="I9" s="297"/>
    </row>
    <row r="10" spans="1:10" x14ac:dyDescent="0.3">
      <c r="A10" s="297">
        <f t="shared" ref="A10:A72" si="0">A8+1</f>
        <v>3</v>
      </c>
      <c r="B10" s="297">
        <f>B8+1</f>
        <v>6040</v>
      </c>
      <c r="C10" s="338"/>
      <c r="D10" s="297" t="s">
        <v>1974</v>
      </c>
      <c r="E10" s="268" t="s">
        <v>1975</v>
      </c>
      <c r="F10" s="297" t="s">
        <v>1928</v>
      </c>
      <c r="G10" s="297">
        <v>19020</v>
      </c>
      <c r="H10" s="297">
        <v>5</v>
      </c>
      <c r="I10" s="297">
        <f>(10000*H10)+(9020*0.75*H10)</f>
        <v>83825</v>
      </c>
    </row>
    <row r="11" spans="1:10" x14ac:dyDescent="0.3">
      <c r="A11" s="297"/>
      <c r="B11" s="297"/>
      <c r="C11" s="338"/>
      <c r="D11" s="297"/>
      <c r="E11" s="268"/>
      <c r="F11" s="297"/>
      <c r="G11" s="297"/>
      <c r="H11" s="297"/>
      <c r="I11" s="297"/>
    </row>
    <row r="12" spans="1:10" x14ac:dyDescent="0.3">
      <c r="A12" s="297">
        <f t="shared" si="0"/>
        <v>4</v>
      </c>
      <c r="B12" s="297">
        <f t="shared" ref="B12:B74" si="1">B10+1</f>
        <v>6041</v>
      </c>
      <c r="C12" s="338"/>
      <c r="D12" s="297" t="s">
        <v>1974</v>
      </c>
      <c r="E12" s="268" t="s">
        <v>1975</v>
      </c>
      <c r="F12" s="297" t="s">
        <v>1928</v>
      </c>
      <c r="G12" s="297">
        <v>6661</v>
      </c>
      <c r="H12" s="297">
        <v>5</v>
      </c>
      <c r="I12" s="297">
        <f>G12*H12</f>
        <v>33305</v>
      </c>
    </row>
    <row r="13" spans="1:10" x14ac:dyDescent="0.3">
      <c r="A13" s="297"/>
      <c r="B13" s="297"/>
      <c r="C13" s="338"/>
      <c r="D13" s="297"/>
      <c r="E13" s="268"/>
      <c r="F13" s="297"/>
      <c r="G13" s="297"/>
      <c r="H13" s="297"/>
      <c r="I13" s="297"/>
    </row>
    <row r="14" spans="1:10" x14ac:dyDescent="0.3">
      <c r="A14" s="297">
        <f t="shared" si="0"/>
        <v>5</v>
      </c>
      <c r="B14" s="297">
        <f t="shared" si="1"/>
        <v>6042</v>
      </c>
      <c r="C14" s="338"/>
      <c r="D14" s="297" t="s">
        <v>1974</v>
      </c>
      <c r="E14" s="268" t="s">
        <v>1975</v>
      </c>
      <c r="F14" s="297" t="s">
        <v>1928</v>
      </c>
      <c r="G14" s="297">
        <v>6679</v>
      </c>
      <c r="H14" s="297">
        <v>5</v>
      </c>
      <c r="I14" s="297">
        <f>G14*H14</f>
        <v>33395</v>
      </c>
    </row>
    <row r="15" spans="1:10" x14ac:dyDescent="0.3">
      <c r="A15" s="297"/>
      <c r="B15" s="297"/>
      <c r="C15" s="338"/>
      <c r="D15" s="297"/>
      <c r="E15" s="268"/>
      <c r="F15" s="297"/>
      <c r="G15" s="297"/>
      <c r="H15" s="297"/>
      <c r="I15" s="297"/>
    </row>
    <row r="16" spans="1:10" x14ac:dyDescent="0.3">
      <c r="A16" s="297">
        <f t="shared" si="0"/>
        <v>6</v>
      </c>
      <c r="B16" s="297">
        <f t="shared" si="1"/>
        <v>6043</v>
      </c>
      <c r="C16" s="338"/>
      <c r="D16" s="297" t="s">
        <v>1974</v>
      </c>
      <c r="E16" s="268" t="s">
        <v>1975</v>
      </c>
      <c r="F16" s="297" t="s">
        <v>1928</v>
      </c>
      <c r="G16" s="297">
        <v>19020</v>
      </c>
      <c r="H16" s="297">
        <v>5</v>
      </c>
      <c r="I16" s="297">
        <f>(10000*H16)+(9020*0.75*H16)</f>
        <v>83825</v>
      </c>
    </row>
    <row r="17" spans="1:9" x14ac:dyDescent="0.3">
      <c r="A17" s="297"/>
      <c r="B17" s="297"/>
      <c r="C17" s="338"/>
      <c r="D17" s="297"/>
      <c r="E17" s="268"/>
      <c r="F17" s="297"/>
      <c r="G17" s="297"/>
      <c r="H17" s="297"/>
      <c r="I17" s="297"/>
    </row>
    <row r="18" spans="1:9" x14ac:dyDescent="0.3">
      <c r="A18" s="297">
        <f t="shared" si="0"/>
        <v>7</v>
      </c>
      <c r="B18" s="297">
        <f t="shared" si="1"/>
        <v>6044</v>
      </c>
      <c r="C18" s="338"/>
      <c r="D18" s="297" t="s">
        <v>1974</v>
      </c>
      <c r="E18" s="268" t="s">
        <v>1975</v>
      </c>
      <c r="F18" s="297" t="s">
        <v>1928</v>
      </c>
      <c r="G18" s="297">
        <v>8478</v>
      </c>
      <c r="H18" s="297">
        <v>5</v>
      </c>
      <c r="I18" s="297">
        <f>G18*H18</f>
        <v>42390</v>
      </c>
    </row>
    <row r="19" spans="1:9" x14ac:dyDescent="0.3">
      <c r="A19" s="297"/>
      <c r="B19" s="297"/>
      <c r="C19" s="338"/>
      <c r="D19" s="297"/>
      <c r="E19" s="268"/>
      <c r="F19" s="297"/>
      <c r="G19" s="297"/>
      <c r="H19" s="297"/>
      <c r="I19" s="297"/>
    </row>
    <row r="20" spans="1:9" x14ac:dyDescent="0.3">
      <c r="A20" s="297">
        <f t="shared" si="0"/>
        <v>8</v>
      </c>
      <c r="B20" s="297">
        <f t="shared" si="1"/>
        <v>6045</v>
      </c>
      <c r="C20" s="338"/>
      <c r="D20" s="297" t="s">
        <v>1974</v>
      </c>
      <c r="E20" s="268" t="s">
        <v>1975</v>
      </c>
      <c r="F20" s="297" t="s">
        <v>1928</v>
      </c>
      <c r="G20" s="297">
        <v>14343</v>
      </c>
      <c r="H20" s="297">
        <v>5</v>
      </c>
      <c r="I20" s="297">
        <f>(10000*H20)+(343*0.75*H20)</f>
        <v>51286.25</v>
      </c>
    </row>
    <row r="21" spans="1:9" x14ac:dyDescent="0.3">
      <c r="A21" s="297"/>
      <c r="B21" s="297"/>
      <c r="C21" s="338"/>
      <c r="D21" s="297"/>
      <c r="E21" s="268"/>
      <c r="F21" s="297"/>
      <c r="G21" s="297"/>
      <c r="H21" s="297"/>
      <c r="I21" s="297"/>
    </row>
    <row r="22" spans="1:9" x14ac:dyDescent="0.3">
      <c r="A22" s="297">
        <f t="shared" si="0"/>
        <v>9</v>
      </c>
      <c r="B22" s="297">
        <f t="shared" si="1"/>
        <v>6046</v>
      </c>
      <c r="C22" s="338"/>
      <c r="D22" s="297" t="s">
        <v>1974</v>
      </c>
      <c r="E22" s="268" t="s">
        <v>1975</v>
      </c>
      <c r="F22" s="297" t="s">
        <v>1928</v>
      </c>
      <c r="G22" s="297">
        <v>14346</v>
      </c>
      <c r="H22" s="297">
        <v>5</v>
      </c>
      <c r="I22" s="297">
        <f>(10000*H22)+(346*0.75*H22)</f>
        <v>51297.5</v>
      </c>
    </row>
    <row r="23" spans="1:9" x14ac:dyDescent="0.3">
      <c r="A23" s="297"/>
      <c r="B23" s="297"/>
      <c r="C23" s="338"/>
      <c r="D23" s="297"/>
      <c r="E23" s="268"/>
      <c r="F23" s="297"/>
      <c r="G23" s="297"/>
      <c r="H23" s="297"/>
      <c r="I23" s="297"/>
    </row>
    <row r="24" spans="1:9" x14ac:dyDescent="0.3">
      <c r="A24" s="297">
        <f t="shared" si="0"/>
        <v>10</v>
      </c>
      <c r="B24" s="297">
        <f t="shared" si="1"/>
        <v>6047</v>
      </c>
      <c r="C24" s="338"/>
      <c r="D24" s="297" t="s">
        <v>1974</v>
      </c>
      <c r="E24" s="268" t="s">
        <v>1975</v>
      </c>
      <c r="F24" s="297" t="s">
        <v>1928</v>
      </c>
      <c r="G24" s="297">
        <v>14348</v>
      </c>
      <c r="H24" s="297">
        <v>5</v>
      </c>
      <c r="I24" s="297">
        <f>(10000*H24)+(348*0.75*H24)</f>
        <v>51305</v>
      </c>
    </row>
    <row r="25" spans="1:9" x14ac:dyDescent="0.3">
      <c r="A25" s="297"/>
      <c r="B25" s="297"/>
      <c r="C25" s="338"/>
      <c r="D25" s="297"/>
      <c r="E25" s="268"/>
      <c r="F25" s="297"/>
      <c r="G25" s="297"/>
      <c r="H25" s="297"/>
      <c r="I25" s="297"/>
    </row>
    <row r="26" spans="1:9" x14ac:dyDescent="0.3">
      <c r="A26" s="297">
        <f t="shared" si="0"/>
        <v>11</v>
      </c>
      <c r="B26" s="297">
        <f t="shared" si="1"/>
        <v>6048</v>
      </c>
      <c r="C26" s="338"/>
      <c r="D26" s="297" t="s">
        <v>1974</v>
      </c>
      <c r="E26" s="268" t="s">
        <v>1975</v>
      </c>
      <c r="F26" s="297" t="s">
        <v>1928</v>
      </c>
      <c r="G26" s="297">
        <v>14412</v>
      </c>
      <c r="H26" s="297">
        <v>5</v>
      </c>
      <c r="I26" s="297">
        <f>(10000*H26)+(412*0.75*H26)</f>
        <v>51545</v>
      </c>
    </row>
    <row r="27" spans="1:9" x14ac:dyDescent="0.3">
      <c r="A27" s="297"/>
      <c r="B27" s="297"/>
      <c r="C27" s="338"/>
      <c r="D27" s="297"/>
      <c r="E27" s="268"/>
      <c r="F27" s="297"/>
      <c r="G27" s="297"/>
      <c r="H27" s="297"/>
      <c r="I27" s="297"/>
    </row>
    <row r="28" spans="1:9" x14ac:dyDescent="0.3">
      <c r="A28" s="297">
        <f t="shared" si="0"/>
        <v>12</v>
      </c>
      <c r="B28" s="297">
        <f t="shared" si="1"/>
        <v>6049</v>
      </c>
      <c r="C28" s="338"/>
      <c r="D28" s="297" t="s">
        <v>1974</v>
      </c>
      <c r="E28" s="268" t="s">
        <v>1975</v>
      </c>
      <c r="F28" s="297" t="s">
        <v>1928</v>
      </c>
      <c r="G28" s="297">
        <v>13363</v>
      </c>
      <c r="H28" s="297">
        <v>5</v>
      </c>
      <c r="I28" s="297">
        <f>(10000*H28)+(363*0.75*H28)</f>
        <v>51361.25</v>
      </c>
    </row>
    <row r="29" spans="1:9" x14ac:dyDescent="0.3">
      <c r="A29" s="297"/>
      <c r="B29" s="297"/>
      <c r="C29" s="338"/>
      <c r="D29" s="297"/>
      <c r="E29" s="268"/>
      <c r="F29" s="297"/>
      <c r="G29" s="297"/>
      <c r="H29" s="297"/>
      <c r="I29" s="297"/>
    </row>
    <row r="30" spans="1:9" x14ac:dyDescent="0.3">
      <c r="A30" s="297">
        <f t="shared" si="0"/>
        <v>13</v>
      </c>
      <c r="B30" s="297">
        <f t="shared" si="1"/>
        <v>6050</v>
      </c>
      <c r="C30" s="338"/>
      <c r="D30" s="297" t="s">
        <v>1974</v>
      </c>
      <c r="E30" s="268" t="s">
        <v>1975</v>
      </c>
      <c r="F30" s="297" t="s">
        <v>1928</v>
      </c>
      <c r="G30" s="297">
        <v>10943</v>
      </c>
      <c r="H30" s="297">
        <v>5</v>
      </c>
      <c r="I30" s="297">
        <f>(10000*H30)+(943*0.75*H30)</f>
        <v>53536.25</v>
      </c>
    </row>
    <row r="31" spans="1:9" x14ac:dyDescent="0.3">
      <c r="A31" s="297"/>
      <c r="B31" s="297"/>
      <c r="C31" s="338"/>
      <c r="D31" s="297"/>
      <c r="E31" s="268"/>
      <c r="F31" s="297"/>
      <c r="G31" s="297"/>
      <c r="H31" s="297"/>
      <c r="I31" s="297"/>
    </row>
    <row r="32" spans="1:9" x14ac:dyDescent="0.3">
      <c r="A32" s="297">
        <f t="shared" si="0"/>
        <v>14</v>
      </c>
      <c r="B32" s="297">
        <f t="shared" si="1"/>
        <v>6051</v>
      </c>
      <c r="C32" s="338"/>
      <c r="D32" s="297" t="s">
        <v>1974</v>
      </c>
      <c r="E32" s="268" t="s">
        <v>1975</v>
      </c>
      <c r="F32" s="297" t="s">
        <v>1928</v>
      </c>
      <c r="G32" s="297">
        <v>15093</v>
      </c>
      <c r="H32" s="297">
        <v>5</v>
      </c>
      <c r="I32" s="297">
        <f>(10000*H32)+(5093*0.75*H32)</f>
        <v>69098.75</v>
      </c>
    </row>
    <row r="33" spans="1:14" x14ac:dyDescent="0.3">
      <c r="A33" s="297"/>
      <c r="B33" s="297"/>
      <c r="C33" s="338"/>
      <c r="D33" s="297"/>
      <c r="E33" s="268"/>
      <c r="F33" s="297"/>
      <c r="G33" s="297"/>
      <c r="H33" s="297"/>
      <c r="I33" s="297"/>
    </row>
    <row r="34" spans="1:14" x14ac:dyDescent="0.3">
      <c r="A34" s="297">
        <f t="shared" si="0"/>
        <v>15</v>
      </c>
      <c r="B34" s="297">
        <f t="shared" si="1"/>
        <v>6052</v>
      </c>
      <c r="C34" s="338"/>
      <c r="D34" s="297" t="s">
        <v>1974</v>
      </c>
      <c r="E34" s="268" t="s">
        <v>1975</v>
      </c>
      <c r="F34" s="297" t="s">
        <v>1928</v>
      </c>
      <c r="G34" s="297">
        <v>21860</v>
      </c>
      <c r="H34" s="297">
        <v>5</v>
      </c>
      <c r="I34" s="312">
        <f>(10000*J34)+(10000*0.75*H34)+(1860*0.5*H34)</f>
        <v>42150</v>
      </c>
      <c r="J34" s="256"/>
      <c r="K34" s="256"/>
      <c r="L34" s="256"/>
      <c r="M34" s="256"/>
      <c r="N34" s="256"/>
    </row>
    <row r="35" spans="1:14" x14ac:dyDescent="0.3">
      <c r="A35" s="297"/>
      <c r="B35" s="297"/>
      <c r="C35" s="338"/>
      <c r="D35" s="297"/>
      <c r="E35" s="268"/>
      <c r="F35" s="297"/>
      <c r="G35" s="297"/>
      <c r="H35" s="297"/>
      <c r="I35" s="312"/>
    </row>
    <row r="36" spans="1:14" x14ac:dyDescent="0.3">
      <c r="A36" s="297">
        <f t="shared" si="0"/>
        <v>16</v>
      </c>
      <c r="B36" s="297">
        <f t="shared" si="1"/>
        <v>6053</v>
      </c>
      <c r="C36" s="338"/>
      <c r="D36" s="297" t="s">
        <v>1974</v>
      </c>
      <c r="E36" s="268" t="s">
        <v>1975</v>
      </c>
      <c r="F36" s="297" t="s">
        <v>1928</v>
      </c>
      <c r="G36" s="297">
        <v>21267</v>
      </c>
      <c r="H36" s="297">
        <v>5</v>
      </c>
      <c r="I36" s="313">
        <f>(10000*J36)+(10000*0.75*H36)+(1267*0.5*H36)</f>
        <v>40667.5</v>
      </c>
    </row>
    <row r="37" spans="1:14" x14ac:dyDescent="0.3">
      <c r="A37" s="297"/>
      <c r="B37" s="297"/>
      <c r="C37" s="338"/>
      <c r="D37" s="297"/>
      <c r="E37" s="268"/>
      <c r="F37" s="297"/>
      <c r="G37" s="297"/>
      <c r="H37" s="297"/>
      <c r="I37" s="312"/>
    </row>
    <row r="38" spans="1:14" x14ac:dyDescent="0.3">
      <c r="A38" s="297">
        <f t="shared" si="0"/>
        <v>17</v>
      </c>
      <c r="B38" s="297">
        <f t="shared" si="1"/>
        <v>6054</v>
      </c>
      <c r="C38" s="338"/>
      <c r="D38" s="297" t="s">
        <v>1974</v>
      </c>
      <c r="E38" s="268" t="s">
        <v>1975</v>
      </c>
      <c r="F38" s="297" t="s">
        <v>1928</v>
      </c>
      <c r="G38" s="297">
        <v>16135</v>
      </c>
      <c r="H38" s="297">
        <v>5</v>
      </c>
      <c r="I38" s="312">
        <f>(10000*H38)+(6135*0.75*H38)</f>
        <v>73006.25</v>
      </c>
    </row>
    <row r="39" spans="1:14" x14ac:dyDescent="0.3">
      <c r="A39" s="297"/>
      <c r="B39" s="297"/>
      <c r="C39" s="338"/>
      <c r="D39" s="297"/>
      <c r="E39" s="268"/>
      <c r="F39" s="297"/>
      <c r="G39" s="297"/>
      <c r="H39" s="297"/>
      <c r="I39" s="297"/>
    </row>
    <row r="40" spans="1:14" x14ac:dyDescent="0.3">
      <c r="A40" s="297">
        <f t="shared" si="0"/>
        <v>18</v>
      </c>
      <c r="B40" s="297">
        <f t="shared" si="1"/>
        <v>6055</v>
      </c>
      <c r="C40" s="338"/>
      <c r="D40" s="297" t="s">
        <v>1974</v>
      </c>
      <c r="E40" s="268" t="s">
        <v>1975</v>
      </c>
      <c r="F40" s="297" t="s">
        <v>1928</v>
      </c>
      <c r="G40" s="297">
        <v>1500</v>
      </c>
      <c r="H40" s="297">
        <v>5</v>
      </c>
      <c r="I40" s="297">
        <f>G40*H40</f>
        <v>7500</v>
      </c>
    </row>
    <row r="41" spans="1:14" x14ac:dyDescent="0.3">
      <c r="A41" s="297"/>
      <c r="B41" s="297"/>
      <c r="C41" s="338"/>
      <c r="D41" s="297"/>
      <c r="E41" s="268"/>
      <c r="F41" s="297"/>
      <c r="G41" s="297"/>
      <c r="H41" s="297"/>
      <c r="I41" s="297"/>
    </row>
    <row r="42" spans="1:14" x14ac:dyDescent="0.3">
      <c r="A42" s="297">
        <f t="shared" si="0"/>
        <v>19</v>
      </c>
      <c r="B42" s="297">
        <f t="shared" si="1"/>
        <v>6056</v>
      </c>
      <c r="C42" s="338"/>
      <c r="D42" s="297" t="s">
        <v>1974</v>
      </c>
      <c r="E42" s="268" t="s">
        <v>1975</v>
      </c>
      <c r="F42" s="297" t="s">
        <v>1928</v>
      </c>
      <c r="G42" s="297">
        <v>1500</v>
      </c>
      <c r="H42" s="297">
        <v>5</v>
      </c>
      <c r="I42" s="297">
        <f>G42*H42</f>
        <v>7500</v>
      </c>
    </row>
    <row r="43" spans="1:14" x14ac:dyDescent="0.3">
      <c r="A43" s="297"/>
      <c r="B43" s="297"/>
      <c r="C43" s="338"/>
      <c r="D43" s="297"/>
      <c r="E43" s="268"/>
      <c r="F43" s="297"/>
      <c r="G43" s="297"/>
      <c r="H43" s="297"/>
      <c r="I43" s="297"/>
    </row>
    <row r="44" spans="1:14" x14ac:dyDescent="0.3">
      <c r="A44" s="297">
        <f t="shared" si="0"/>
        <v>20</v>
      </c>
      <c r="B44" s="297">
        <f t="shared" si="1"/>
        <v>6057</v>
      </c>
      <c r="C44" s="338"/>
      <c r="D44" s="297" t="s">
        <v>1974</v>
      </c>
      <c r="E44" s="268" t="s">
        <v>1975</v>
      </c>
      <c r="F44" s="297" t="s">
        <v>1928</v>
      </c>
      <c r="G44" s="297">
        <v>22402</v>
      </c>
      <c r="H44" s="297">
        <v>5</v>
      </c>
      <c r="I44" s="313">
        <f>(10000*H44)+(10000*0.75*H44)+(2402*0.5*H44)</f>
        <v>93505</v>
      </c>
    </row>
    <row r="45" spans="1:14" x14ac:dyDescent="0.3">
      <c r="A45" s="297"/>
      <c r="B45" s="297"/>
      <c r="C45" s="338"/>
      <c r="D45" s="297"/>
      <c r="E45" s="268"/>
      <c r="F45" s="297"/>
      <c r="G45" s="297"/>
      <c r="H45" s="297"/>
      <c r="I45" s="313"/>
    </row>
    <row r="46" spans="1:14" x14ac:dyDescent="0.3">
      <c r="A46" s="297">
        <f t="shared" si="0"/>
        <v>21</v>
      </c>
      <c r="B46" s="297">
        <f t="shared" si="1"/>
        <v>6058</v>
      </c>
      <c r="C46" s="338"/>
      <c r="D46" s="297" t="s">
        <v>1974</v>
      </c>
      <c r="E46" s="268" t="s">
        <v>1975</v>
      </c>
      <c r="F46" s="297" t="s">
        <v>1928</v>
      </c>
      <c r="G46" s="297">
        <v>22172</v>
      </c>
      <c r="H46" s="297">
        <v>5</v>
      </c>
      <c r="I46" s="313">
        <f>(10000*H46)+(10000*0.75*H46)+(2172*0.5*H46)</f>
        <v>92930</v>
      </c>
    </row>
    <row r="47" spans="1:14" x14ac:dyDescent="0.3">
      <c r="A47" s="297"/>
      <c r="B47" s="297"/>
      <c r="C47" s="338"/>
      <c r="D47" s="297"/>
      <c r="E47" s="268"/>
      <c r="F47" s="297"/>
      <c r="G47" s="297"/>
      <c r="H47" s="297"/>
      <c r="I47" s="313"/>
    </row>
    <row r="48" spans="1:14" x14ac:dyDescent="0.3">
      <c r="A48" s="297">
        <f t="shared" si="0"/>
        <v>22</v>
      </c>
      <c r="B48" s="297">
        <f t="shared" si="1"/>
        <v>6059</v>
      </c>
      <c r="C48" s="338"/>
      <c r="D48" s="297" t="s">
        <v>1974</v>
      </c>
      <c r="E48" s="268" t="s">
        <v>1975</v>
      </c>
      <c r="F48" s="297" t="s">
        <v>1928</v>
      </c>
      <c r="G48" s="297">
        <v>21121</v>
      </c>
      <c r="H48" s="297">
        <v>5</v>
      </c>
      <c r="I48" s="313">
        <f>(10000*5)+(10000*0.75*H48)+(1121*0.5*H48)</f>
        <v>90302.5</v>
      </c>
    </row>
    <row r="49" spans="1:9" x14ac:dyDescent="0.3">
      <c r="A49" s="297"/>
      <c r="B49" s="297"/>
      <c r="C49" s="338"/>
      <c r="D49" s="297"/>
      <c r="E49" s="268"/>
      <c r="F49" s="297"/>
      <c r="G49" s="297"/>
      <c r="H49" s="297"/>
      <c r="I49" s="313"/>
    </row>
    <row r="50" spans="1:9" x14ac:dyDescent="0.3">
      <c r="A50" s="297">
        <f t="shared" si="0"/>
        <v>23</v>
      </c>
      <c r="B50" s="297">
        <f t="shared" si="1"/>
        <v>6060</v>
      </c>
      <c r="C50" s="338"/>
      <c r="D50" s="297" t="s">
        <v>1974</v>
      </c>
      <c r="E50" s="268" t="s">
        <v>1975</v>
      </c>
      <c r="F50" s="297" t="s">
        <v>1928</v>
      </c>
      <c r="G50" s="297">
        <v>26385</v>
      </c>
      <c r="H50" s="297">
        <v>5</v>
      </c>
      <c r="I50" s="313">
        <f>(10000*J50)+(10000*0.75*H50)+(6385*0.5*H50)</f>
        <v>53462.5</v>
      </c>
    </row>
    <row r="51" spans="1:9" x14ac:dyDescent="0.3">
      <c r="A51" s="297"/>
      <c r="B51" s="297"/>
      <c r="C51" s="338"/>
      <c r="D51" s="297"/>
      <c r="E51" s="268"/>
      <c r="F51" s="297"/>
      <c r="G51" s="297"/>
      <c r="H51" s="297"/>
      <c r="I51" s="297"/>
    </row>
    <row r="52" spans="1:9" x14ac:dyDescent="0.3">
      <c r="A52" s="297">
        <f t="shared" si="0"/>
        <v>24</v>
      </c>
      <c r="B52" s="297">
        <f t="shared" si="1"/>
        <v>6061</v>
      </c>
      <c r="C52" s="338"/>
      <c r="D52" s="297" t="s">
        <v>1974</v>
      </c>
      <c r="E52" s="268" t="s">
        <v>1975</v>
      </c>
      <c r="F52" s="297" t="s">
        <v>1928</v>
      </c>
      <c r="G52" s="297">
        <v>17544</v>
      </c>
      <c r="H52" s="297">
        <v>5</v>
      </c>
      <c r="I52" s="313">
        <f>(10000*H52)+(7544*0.75*H52)</f>
        <v>78290</v>
      </c>
    </row>
    <row r="53" spans="1:9" x14ac:dyDescent="0.3">
      <c r="A53" s="297"/>
      <c r="B53" s="297"/>
      <c r="C53" s="338"/>
      <c r="D53" s="297"/>
      <c r="E53" s="268"/>
      <c r="F53" s="297"/>
      <c r="G53" s="297"/>
      <c r="H53" s="297"/>
      <c r="I53" s="297"/>
    </row>
    <row r="54" spans="1:9" x14ac:dyDescent="0.3">
      <c r="A54" s="297">
        <f t="shared" si="0"/>
        <v>25</v>
      </c>
      <c r="B54" s="297">
        <f t="shared" si="1"/>
        <v>6062</v>
      </c>
      <c r="C54" s="338"/>
      <c r="D54" s="297" t="s">
        <v>1974</v>
      </c>
      <c r="E54" s="268" t="s">
        <v>1975</v>
      </c>
      <c r="F54" s="297" t="s">
        <v>1928</v>
      </c>
      <c r="G54" s="297">
        <v>9100</v>
      </c>
      <c r="H54" s="297">
        <v>5</v>
      </c>
      <c r="I54" s="297">
        <f>G54*H54</f>
        <v>45500</v>
      </c>
    </row>
    <row r="55" spans="1:9" x14ac:dyDescent="0.3">
      <c r="A55" s="297"/>
      <c r="B55" s="297"/>
      <c r="C55" s="338"/>
      <c r="D55" s="297"/>
      <c r="E55" s="268"/>
      <c r="F55" s="297"/>
      <c r="G55" s="297"/>
      <c r="H55" s="297"/>
      <c r="I55" s="297"/>
    </row>
    <row r="56" spans="1:9" x14ac:dyDescent="0.3">
      <c r="A56" s="297">
        <f t="shared" si="0"/>
        <v>26</v>
      </c>
      <c r="B56" s="297">
        <f t="shared" si="1"/>
        <v>6063</v>
      </c>
      <c r="C56" s="338"/>
      <c r="D56" s="297" t="s">
        <v>1974</v>
      </c>
      <c r="E56" s="268" t="s">
        <v>1975</v>
      </c>
      <c r="F56" s="297" t="s">
        <v>1928</v>
      </c>
      <c r="G56" s="297">
        <v>6450</v>
      </c>
      <c r="H56" s="297">
        <v>5</v>
      </c>
      <c r="I56" s="297">
        <f>G56*H56</f>
        <v>32250</v>
      </c>
    </row>
    <row r="57" spans="1:9" x14ac:dyDescent="0.3">
      <c r="A57" s="297"/>
      <c r="B57" s="297"/>
      <c r="C57" s="338"/>
      <c r="D57" s="297"/>
      <c r="E57" s="268"/>
      <c r="F57" s="297"/>
      <c r="G57" s="297"/>
      <c r="H57" s="297"/>
      <c r="I57" s="297"/>
    </row>
    <row r="58" spans="1:9" x14ac:dyDescent="0.3">
      <c r="A58" s="297">
        <f t="shared" si="0"/>
        <v>27</v>
      </c>
      <c r="B58" s="297">
        <f t="shared" si="1"/>
        <v>6064</v>
      </c>
      <c r="C58" s="338"/>
      <c r="D58" s="297" t="s">
        <v>1974</v>
      </c>
      <c r="E58" s="268" t="s">
        <v>1975</v>
      </c>
      <c r="F58" s="297" t="s">
        <v>1928</v>
      </c>
      <c r="G58" s="297">
        <v>6500</v>
      </c>
      <c r="H58" s="297">
        <v>5</v>
      </c>
      <c r="I58" s="297">
        <f>G58*H58</f>
        <v>32500</v>
      </c>
    </row>
    <row r="59" spans="1:9" x14ac:dyDescent="0.3">
      <c r="A59" s="297"/>
      <c r="B59" s="297"/>
      <c r="C59" s="338"/>
      <c r="D59" s="297"/>
      <c r="E59" s="268"/>
      <c r="F59" s="297"/>
      <c r="G59" s="297"/>
      <c r="H59" s="297"/>
      <c r="I59" s="297"/>
    </row>
    <row r="60" spans="1:9" x14ac:dyDescent="0.3">
      <c r="A60" s="297">
        <f t="shared" si="0"/>
        <v>28</v>
      </c>
      <c r="B60" s="297">
        <f t="shared" si="1"/>
        <v>6065</v>
      </c>
      <c r="C60" s="338"/>
      <c r="D60" s="297" t="s">
        <v>1974</v>
      </c>
      <c r="E60" s="268" t="s">
        <v>1975</v>
      </c>
      <c r="F60" s="297" t="s">
        <v>1928</v>
      </c>
      <c r="G60" s="297">
        <v>6550</v>
      </c>
      <c r="H60" s="297">
        <v>5</v>
      </c>
      <c r="I60" s="297">
        <f>G60*H60</f>
        <v>32750</v>
      </c>
    </row>
    <row r="61" spans="1:9" x14ac:dyDescent="0.3">
      <c r="A61" s="297"/>
      <c r="B61" s="297"/>
      <c r="C61" s="338"/>
      <c r="D61" s="297"/>
      <c r="E61" s="268"/>
      <c r="F61" s="297"/>
      <c r="G61" s="297"/>
      <c r="H61" s="297"/>
      <c r="I61" s="297"/>
    </row>
    <row r="62" spans="1:9" x14ac:dyDescent="0.3">
      <c r="A62" s="297">
        <f t="shared" si="0"/>
        <v>29</v>
      </c>
      <c r="B62" s="297">
        <f t="shared" si="1"/>
        <v>6066</v>
      </c>
      <c r="C62" s="338"/>
      <c r="D62" s="297" t="s">
        <v>1974</v>
      </c>
      <c r="E62" s="268" t="s">
        <v>1975</v>
      </c>
      <c r="F62" s="297" t="s">
        <v>1928</v>
      </c>
      <c r="G62" s="297">
        <v>6450</v>
      </c>
      <c r="H62" s="297">
        <v>5</v>
      </c>
      <c r="I62" s="297">
        <f>G62*H62</f>
        <v>32250</v>
      </c>
    </row>
    <row r="63" spans="1:9" x14ac:dyDescent="0.3">
      <c r="A63" s="297"/>
      <c r="B63" s="297"/>
      <c r="C63" s="338"/>
      <c r="D63" s="297"/>
      <c r="E63" s="268"/>
      <c r="F63" s="297"/>
      <c r="G63" s="297"/>
      <c r="H63" s="297"/>
      <c r="I63" s="297"/>
    </row>
    <row r="64" spans="1:9" x14ac:dyDescent="0.3">
      <c r="A64" s="297">
        <f t="shared" si="0"/>
        <v>30</v>
      </c>
      <c r="B64" s="297">
        <f t="shared" si="1"/>
        <v>6067</v>
      </c>
      <c r="C64" s="338"/>
      <c r="D64" s="297" t="s">
        <v>1974</v>
      </c>
      <c r="E64" s="268" t="s">
        <v>1975</v>
      </c>
      <c r="F64" s="297" t="s">
        <v>1928</v>
      </c>
      <c r="G64" s="297">
        <v>10400</v>
      </c>
      <c r="H64" s="297">
        <v>5</v>
      </c>
      <c r="I64" s="313">
        <f>(10000*H64)+(400*0.75*H64)</f>
        <v>51500</v>
      </c>
    </row>
    <row r="65" spans="1:9" x14ac:dyDescent="0.3">
      <c r="A65" s="297"/>
      <c r="B65" s="297"/>
      <c r="C65" s="338"/>
      <c r="D65" s="297"/>
      <c r="E65" s="268"/>
      <c r="F65" s="297"/>
      <c r="G65" s="297"/>
      <c r="H65" s="297"/>
      <c r="I65" s="297"/>
    </row>
    <row r="66" spans="1:9" x14ac:dyDescent="0.3">
      <c r="A66" s="297">
        <f t="shared" si="0"/>
        <v>31</v>
      </c>
      <c r="B66" s="297">
        <f t="shared" si="1"/>
        <v>6068</v>
      </c>
      <c r="C66" s="338"/>
      <c r="D66" s="297" t="s">
        <v>1974</v>
      </c>
      <c r="E66" s="268" t="s">
        <v>1975</v>
      </c>
      <c r="F66" s="297" t="s">
        <v>1928</v>
      </c>
      <c r="G66" s="297">
        <v>9980</v>
      </c>
      <c r="H66" s="297">
        <v>5</v>
      </c>
      <c r="I66" s="297">
        <f>G66*H66</f>
        <v>49900</v>
      </c>
    </row>
    <row r="67" spans="1:9" x14ac:dyDescent="0.3">
      <c r="A67" s="297"/>
      <c r="B67" s="297"/>
      <c r="C67" s="338"/>
      <c r="D67" s="297"/>
      <c r="E67" s="268"/>
      <c r="F67" s="297"/>
      <c r="G67" s="297"/>
      <c r="H67" s="297"/>
      <c r="I67" s="297"/>
    </row>
    <row r="68" spans="1:9" x14ac:dyDescent="0.3">
      <c r="A68" s="297">
        <f t="shared" si="0"/>
        <v>32</v>
      </c>
      <c r="B68" s="297">
        <f t="shared" si="1"/>
        <v>6069</v>
      </c>
      <c r="C68" s="338"/>
      <c r="D68" s="297" t="s">
        <v>1974</v>
      </c>
      <c r="E68" s="268" t="s">
        <v>1975</v>
      </c>
      <c r="F68" s="297" t="s">
        <v>1928</v>
      </c>
      <c r="G68" s="297">
        <v>8043</v>
      </c>
      <c r="H68" s="297">
        <v>5</v>
      </c>
      <c r="I68" s="297">
        <f>G68*H68</f>
        <v>40215</v>
      </c>
    </row>
    <row r="69" spans="1:9" x14ac:dyDescent="0.3">
      <c r="A69" s="297"/>
      <c r="B69" s="297"/>
      <c r="C69" s="338"/>
      <c r="D69" s="297"/>
      <c r="E69" s="268"/>
      <c r="F69" s="297"/>
      <c r="G69" s="297"/>
      <c r="H69" s="297"/>
      <c r="I69" s="297"/>
    </row>
    <row r="70" spans="1:9" x14ac:dyDescent="0.3">
      <c r="A70" s="297">
        <f t="shared" si="0"/>
        <v>33</v>
      </c>
      <c r="B70" s="297">
        <f t="shared" si="1"/>
        <v>6070</v>
      </c>
      <c r="C70" s="338"/>
      <c r="D70" s="297" t="s">
        <v>1974</v>
      </c>
      <c r="E70" s="268" t="s">
        <v>1975</v>
      </c>
      <c r="F70" s="297" t="s">
        <v>1928</v>
      </c>
      <c r="G70" s="297">
        <v>7399</v>
      </c>
      <c r="H70" s="297">
        <v>5</v>
      </c>
      <c r="I70" s="297">
        <f>G70*H70</f>
        <v>36995</v>
      </c>
    </row>
    <row r="71" spans="1:9" x14ac:dyDescent="0.3">
      <c r="A71" s="297"/>
      <c r="B71" s="297"/>
      <c r="C71" s="338"/>
      <c r="D71" s="297"/>
      <c r="E71" s="268"/>
      <c r="F71" s="297"/>
      <c r="G71" s="297"/>
      <c r="H71" s="297"/>
      <c r="I71" s="297"/>
    </row>
    <row r="72" spans="1:9" x14ac:dyDescent="0.3">
      <c r="A72" s="297">
        <f t="shared" si="0"/>
        <v>34</v>
      </c>
      <c r="B72" s="297">
        <f t="shared" si="1"/>
        <v>6071</v>
      </c>
      <c r="C72" s="338"/>
      <c r="D72" s="297" t="s">
        <v>1974</v>
      </c>
      <c r="E72" s="268" t="s">
        <v>1975</v>
      </c>
      <c r="F72" s="297" t="s">
        <v>1928</v>
      </c>
      <c r="G72" s="297">
        <v>6755</v>
      </c>
      <c r="H72" s="297">
        <v>5</v>
      </c>
      <c r="I72" s="297">
        <f>G72*H72</f>
        <v>33775</v>
      </c>
    </row>
    <row r="73" spans="1:9" x14ac:dyDescent="0.3">
      <c r="A73" s="297"/>
      <c r="B73" s="297"/>
      <c r="C73" s="338"/>
      <c r="D73" s="297"/>
      <c r="E73" s="268"/>
      <c r="F73" s="297"/>
      <c r="G73" s="297"/>
      <c r="H73" s="297"/>
      <c r="I73" s="297"/>
    </row>
    <row r="74" spans="1:9" x14ac:dyDescent="0.3">
      <c r="A74" s="297">
        <f t="shared" ref="A74:A136" si="2">A72+1</f>
        <v>35</v>
      </c>
      <c r="B74" s="297">
        <f t="shared" si="1"/>
        <v>6072</v>
      </c>
      <c r="C74" s="338"/>
      <c r="D74" s="297" t="s">
        <v>1974</v>
      </c>
      <c r="E74" s="268" t="s">
        <v>1975</v>
      </c>
      <c r="F74" s="297" t="s">
        <v>1928</v>
      </c>
      <c r="G74" s="297">
        <v>6112</v>
      </c>
      <c r="H74" s="297">
        <v>5</v>
      </c>
      <c r="I74" s="297">
        <f>G74*H74</f>
        <v>30560</v>
      </c>
    </row>
    <row r="75" spans="1:9" x14ac:dyDescent="0.3">
      <c r="A75" s="297"/>
      <c r="B75" s="297"/>
      <c r="C75" s="338"/>
      <c r="D75" s="297"/>
      <c r="E75" s="268"/>
      <c r="F75" s="297"/>
      <c r="G75" s="297"/>
      <c r="H75" s="297"/>
      <c r="I75" s="297"/>
    </row>
    <row r="76" spans="1:9" x14ac:dyDescent="0.3">
      <c r="A76" s="297">
        <f t="shared" si="2"/>
        <v>36</v>
      </c>
      <c r="B76" s="297">
        <f t="shared" ref="B76:B138" si="3">B74+1</f>
        <v>6073</v>
      </c>
      <c r="C76" s="338"/>
      <c r="D76" s="297" t="s">
        <v>1974</v>
      </c>
      <c r="E76" s="268" t="s">
        <v>1975</v>
      </c>
      <c r="F76" s="297" t="s">
        <v>1928</v>
      </c>
      <c r="G76" s="297">
        <v>6903</v>
      </c>
      <c r="H76" s="297">
        <v>5</v>
      </c>
      <c r="I76" s="297">
        <f>G76*H76</f>
        <v>34515</v>
      </c>
    </row>
    <row r="77" spans="1:9" x14ac:dyDescent="0.3">
      <c r="A77" s="297"/>
      <c r="B77" s="297"/>
      <c r="C77" s="338"/>
      <c r="D77" s="297"/>
      <c r="E77" s="268"/>
      <c r="F77" s="297"/>
      <c r="G77" s="297"/>
      <c r="H77" s="297"/>
      <c r="I77" s="297"/>
    </row>
    <row r="78" spans="1:9" x14ac:dyDescent="0.3">
      <c r="A78" s="297">
        <f t="shared" si="2"/>
        <v>37</v>
      </c>
      <c r="B78" s="297">
        <f t="shared" si="3"/>
        <v>6074</v>
      </c>
      <c r="C78" s="338"/>
      <c r="D78" s="297" t="s">
        <v>1974</v>
      </c>
      <c r="E78" s="268" t="s">
        <v>1975</v>
      </c>
      <c r="F78" s="297" t="s">
        <v>1928</v>
      </c>
      <c r="G78" s="297">
        <v>5400</v>
      </c>
      <c r="H78" s="297">
        <v>5</v>
      </c>
      <c r="I78" s="297">
        <f>G78*H78</f>
        <v>27000</v>
      </c>
    </row>
    <row r="79" spans="1:9" x14ac:dyDescent="0.3">
      <c r="A79" s="297"/>
      <c r="B79" s="297"/>
      <c r="C79" s="338"/>
      <c r="D79" s="297"/>
      <c r="E79" s="268"/>
      <c r="F79" s="297"/>
      <c r="G79" s="297"/>
      <c r="H79" s="297"/>
      <c r="I79" s="297"/>
    </row>
    <row r="80" spans="1:9" x14ac:dyDescent="0.3">
      <c r="A80" s="297">
        <f t="shared" si="2"/>
        <v>38</v>
      </c>
      <c r="B80" s="297">
        <f t="shared" si="3"/>
        <v>6075</v>
      </c>
      <c r="C80" s="338"/>
      <c r="D80" s="297" t="s">
        <v>1974</v>
      </c>
      <c r="E80" s="268" t="s">
        <v>1975</v>
      </c>
      <c r="F80" s="297" t="s">
        <v>1928</v>
      </c>
      <c r="G80" s="297">
        <v>25875</v>
      </c>
      <c r="H80" s="297">
        <v>5</v>
      </c>
      <c r="I80" s="311">
        <f>(10000*5)+(10000*0.75*H80)+(5875*0.5*H80)</f>
        <v>102187.5</v>
      </c>
    </row>
    <row r="81" spans="1:9" x14ac:dyDescent="0.3">
      <c r="A81" s="297"/>
      <c r="B81" s="297"/>
      <c r="C81" s="338"/>
      <c r="D81" s="297"/>
      <c r="E81" s="268"/>
      <c r="F81" s="297"/>
      <c r="G81" s="297"/>
      <c r="H81" s="297"/>
      <c r="I81" s="297"/>
    </row>
    <row r="82" spans="1:9" x14ac:dyDescent="0.3">
      <c r="A82" s="297">
        <f t="shared" si="2"/>
        <v>39</v>
      </c>
      <c r="B82" s="297">
        <f t="shared" si="3"/>
        <v>6076</v>
      </c>
      <c r="C82" s="338"/>
      <c r="D82" s="297" t="s">
        <v>1974</v>
      </c>
      <c r="E82" s="268" t="s">
        <v>1975</v>
      </c>
      <c r="F82" s="297" t="s">
        <v>1928</v>
      </c>
      <c r="G82" s="297">
        <v>10411</v>
      </c>
      <c r="H82" s="297">
        <v>5</v>
      </c>
      <c r="I82" s="313">
        <f>(10000*5)+(411*0.75*H82)</f>
        <v>51541.25</v>
      </c>
    </row>
    <row r="83" spans="1:9" x14ac:dyDescent="0.3">
      <c r="A83" s="297"/>
      <c r="B83" s="297"/>
      <c r="C83" s="338"/>
      <c r="D83" s="297"/>
      <c r="E83" s="268"/>
      <c r="F83" s="297"/>
      <c r="G83" s="297"/>
      <c r="H83" s="297"/>
      <c r="I83" s="313"/>
    </row>
    <row r="84" spans="1:9" x14ac:dyDescent="0.3">
      <c r="A84" s="297">
        <f t="shared" si="2"/>
        <v>40</v>
      </c>
      <c r="B84" s="297">
        <f t="shared" si="3"/>
        <v>6077</v>
      </c>
      <c r="C84" s="338"/>
      <c r="D84" s="297" t="s">
        <v>1974</v>
      </c>
      <c r="E84" s="268" t="s">
        <v>1975</v>
      </c>
      <c r="F84" s="297" t="s">
        <v>1928</v>
      </c>
      <c r="G84" s="297">
        <v>11600</v>
      </c>
      <c r="H84" s="297">
        <v>5</v>
      </c>
      <c r="I84" s="313">
        <f>(10000*5)+(1600*0.75*H84)</f>
        <v>56000</v>
      </c>
    </row>
    <row r="85" spans="1:9" x14ac:dyDescent="0.3">
      <c r="A85" s="297"/>
      <c r="B85" s="297"/>
      <c r="C85" s="338"/>
      <c r="D85" s="297"/>
      <c r="E85" s="268"/>
      <c r="F85" s="297"/>
      <c r="G85" s="297"/>
      <c r="H85" s="297"/>
      <c r="I85" s="297"/>
    </row>
    <row r="86" spans="1:9" x14ac:dyDescent="0.3">
      <c r="A86" s="297">
        <f t="shared" si="2"/>
        <v>41</v>
      </c>
      <c r="B86" s="297">
        <f t="shared" si="3"/>
        <v>6078</v>
      </c>
      <c r="C86" s="338"/>
      <c r="D86" s="297" t="s">
        <v>1974</v>
      </c>
      <c r="E86" s="268" t="s">
        <v>1975</v>
      </c>
      <c r="F86" s="297" t="s">
        <v>1928</v>
      </c>
      <c r="G86" s="297">
        <v>10872</v>
      </c>
      <c r="H86" s="297">
        <v>5</v>
      </c>
      <c r="I86" s="297">
        <f>G86*H86</f>
        <v>54360</v>
      </c>
    </row>
    <row r="87" spans="1:9" x14ac:dyDescent="0.3">
      <c r="A87" s="297"/>
      <c r="B87" s="297"/>
      <c r="C87" s="338"/>
      <c r="D87" s="297"/>
      <c r="E87" s="268"/>
      <c r="F87" s="297"/>
      <c r="G87" s="297"/>
      <c r="H87" s="297"/>
      <c r="I87" s="297"/>
    </row>
    <row r="88" spans="1:9" x14ac:dyDescent="0.3">
      <c r="A88" s="297">
        <f t="shared" si="2"/>
        <v>42</v>
      </c>
      <c r="B88" s="297">
        <f t="shared" si="3"/>
        <v>6079</v>
      </c>
      <c r="C88" s="338"/>
      <c r="D88" s="297" t="s">
        <v>1974</v>
      </c>
      <c r="E88" s="268" t="s">
        <v>1975</v>
      </c>
      <c r="F88" s="297" t="s">
        <v>1928</v>
      </c>
      <c r="G88" s="297">
        <v>10872</v>
      </c>
      <c r="H88" s="297">
        <v>5</v>
      </c>
      <c r="I88" s="297">
        <f>G88*H88</f>
        <v>54360</v>
      </c>
    </row>
    <row r="89" spans="1:9" x14ac:dyDescent="0.3">
      <c r="A89" s="297"/>
      <c r="B89" s="297"/>
      <c r="C89" s="338"/>
      <c r="D89" s="297"/>
      <c r="E89" s="268"/>
      <c r="F89" s="297"/>
      <c r="G89" s="297"/>
      <c r="H89" s="297"/>
      <c r="I89" s="297"/>
    </row>
    <row r="90" spans="1:9" x14ac:dyDescent="0.3">
      <c r="A90" s="297">
        <f t="shared" si="2"/>
        <v>43</v>
      </c>
      <c r="B90" s="297">
        <f t="shared" si="3"/>
        <v>6080</v>
      </c>
      <c r="C90" s="338"/>
      <c r="D90" s="297" t="s">
        <v>1974</v>
      </c>
      <c r="E90" s="268" t="s">
        <v>1975</v>
      </c>
      <c r="F90" s="297" t="s">
        <v>1928</v>
      </c>
      <c r="G90" s="297">
        <v>7044</v>
      </c>
      <c r="H90" s="297">
        <v>5</v>
      </c>
      <c r="I90" s="297">
        <f>G90*H90</f>
        <v>35220</v>
      </c>
    </row>
    <row r="91" spans="1:9" x14ac:dyDescent="0.3">
      <c r="A91" s="297"/>
      <c r="B91" s="297"/>
      <c r="C91" s="338"/>
      <c r="D91" s="297"/>
      <c r="E91" s="268"/>
      <c r="F91" s="297"/>
      <c r="G91" s="297"/>
      <c r="H91" s="297"/>
      <c r="I91" s="297"/>
    </row>
    <row r="92" spans="1:9" x14ac:dyDescent="0.3">
      <c r="A92" s="297">
        <f t="shared" si="2"/>
        <v>44</v>
      </c>
      <c r="B92" s="297">
        <f t="shared" si="3"/>
        <v>6081</v>
      </c>
      <c r="C92" s="338"/>
      <c r="D92" s="297" t="s">
        <v>1974</v>
      </c>
      <c r="E92" s="268" t="s">
        <v>1975</v>
      </c>
      <c r="F92" s="297" t="s">
        <v>1928</v>
      </c>
      <c r="G92" s="297">
        <v>7663</v>
      </c>
      <c r="H92" s="297">
        <v>5</v>
      </c>
      <c r="I92" s="297">
        <f>G92*H92</f>
        <v>38315</v>
      </c>
    </row>
    <row r="93" spans="1:9" x14ac:dyDescent="0.3">
      <c r="A93" s="297"/>
      <c r="B93" s="297"/>
      <c r="C93" s="338"/>
      <c r="D93" s="297"/>
      <c r="E93" s="268"/>
      <c r="F93" s="297"/>
      <c r="G93" s="297"/>
      <c r="H93" s="297"/>
      <c r="I93" s="297"/>
    </row>
    <row r="94" spans="1:9" x14ac:dyDescent="0.3">
      <c r="A94" s="297">
        <f t="shared" si="2"/>
        <v>45</v>
      </c>
      <c r="B94" s="297">
        <f t="shared" si="3"/>
        <v>6082</v>
      </c>
      <c r="C94" s="338"/>
      <c r="D94" s="297" t="s">
        <v>1974</v>
      </c>
      <c r="E94" s="268" t="s">
        <v>1975</v>
      </c>
      <c r="F94" s="297" t="s">
        <v>1928</v>
      </c>
      <c r="G94" s="297">
        <v>8184</v>
      </c>
      <c r="H94" s="297">
        <v>5</v>
      </c>
      <c r="I94" s="297">
        <f>G94*H94</f>
        <v>40920</v>
      </c>
    </row>
    <row r="95" spans="1:9" x14ac:dyDescent="0.3">
      <c r="A95" s="297"/>
      <c r="B95" s="297"/>
      <c r="C95" s="338"/>
      <c r="D95" s="297"/>
      <c r="E95" s="268"/>
      <c r="F95" s="297"/>
      <c r="G95" s="297"/>
      <c r="H95" s="297"/>
      <c r="I95" s="297"/>
    </row>
    <row r="96" spans="1:9" x14ac:dyDescent="0.3">
      <c r="A96" s="297">
        <f t="shared" si="2"/>
        <v>46</v>
      </c>
      <c r="B96" s="297">
        <f t="shared" si="3"/>
        <v>6083</v>
      </c>
      <c r="C96" s="338"/>
      <c r="D96" s="297" t="s">
        <v>1974</v>
      </c>
      <c r="E96" s="268" t="s">
        <v>1975</v>
      </c>
      <c r="F96" s="297" t="s">
        <v>1928</v>
      </c>
      <c r="G96" s="297">
        <v>8378</v>
      </c>
      <c r="H96" s="297">
        <v>5</v>
      </c>
      <c r="I96" s="297">
        <f>G96*H96</f>
        <v>41890</v>
      </c>
    </row>
    <row r="97" spans="1:12" x14ac:dyDescent="0.3">
      <c r="A97" s="297"/>
      <c r="B97" s="297"/>
      <c r="C97" s="338"/>
      <c r="D97" s="297"/>
      <c r="E97" s="268"/>
      <c r="F97" s="297"/>
      <c r="G97" s="297"/>
      <c r="H97" s="297"/>
      <c r="I97" s="297"/>
    </row>
    <row r="98" spans="1:12" x14ac:dyDescent="0.3">
      <c r="A98" s="297">
        <f t="shared" si="2"/>
        <v>47</v>
      </c>
      <c r="B98" s="297">
        <f t="shared" si="3"/>
        <v>6084</v>
      </c>
      <c r="C98" s="338"/>
      <c r="D98" s="297" t="s">
        <v>1974</v>
      </c>
      <c r="E98" s="268" t="s">
        <v>1975</v>
      </c>
      <c r="F98" s="297" t="s">
        <v>1928</v>
      </c>
      <c r="G98" s="297">
        <v>6400</v>
      </c>
      <c r="H98" s="297">
        <v>5</v>
      </c>
      <c r="I98" s="297">
        <f>G98*H98</f>
        <v>32000</v>
      </c>
    </row>
    <row r="99" spans="1:12" x14ac:dyDescent="0.3">
      <c r="A99" s="297"/>
      <c r="B99" s="297"/>
      <c r="C99" s="338"/>
      <c r="D99" s="297"/>
      <c r="E99" s="268"/>
      <c r="F99" s="297"/>
      <c r="G99" s="297"/>
      <c r="H99" s="297"/>
      <c r="I99" s="297"/>
    </row>
    <row r="100" spans="1:12" x14ac:dyDescent="0.3">
      <c r="A100" s="297">
        <f t="shared" si="2"/>
        <v>48</v>
      </c>
      <c r="B100" s="297">
        <f t="shared" si="3"/>
        <v>6085</v>
      </c>
      <c r="C100" s="338"/>
      <c r="D100" s="297" t="s">
        <v>1974</v>
      </c>
      <c r="E100" s="268" t="s">
        <v>1975</v>
      </c>
      <c r="F100" s="297" t="s">
        <v>1928</v>
      </c>
      <c r="G100" s="297">
        <v>11800</v>
      </c>
      <c r="H100" s="297">
        <v>5</v>
      </c>
      <c r="I100" s="297">
        <f>10000*H100+1800*0.75*H100</f>
        <v>56750</v>
      </c>
    </row>
    <row r="101" spans="1:12" x14ac:dyDescent="0.3">
      <c r="A101" s="297"/>
      <c r="B101" s="297"/>
      <c r="C101" s="338"/>
      <c r="D101" s="297"/>
      <c r="E101" s="268"/>
      <c r="F101" s="297"/>
      <c r="G101" s="297"/>
      <c r="H101" s="297"/>
      <c r="I101" s="297"/>
    </row>
    <row r="102" spans="1:12" x14ac:dyDescent="0.3">
      <c r="A102" s="297">
        <f t="shared" si="2"/>
        <v>49</v>
      </c>
      <c r="B102" s="297">
        <f t="shared" si="3"/>
        <v>6086</v>
      </c>
      <c r="C102" s="338"/>
      <c r="D102" s="297" t="s">
        <v>1974</v>
      </c>
      <c r="E102" s="268" t="s">
        <v>1975</v>
      </c>
      <c r="F102" s="297" t="s">
        <v>1928</v>
      </c>
      <c r="G102" s="297">
        <v>8400</v>
      </c>
      <c r="H102" s="297">
        <v>5</v>
      </c>
      <c r="I102" s="297">
        <f>G102*H102</f>
        <v>42000</v>
      </c>
    </row>
    <row r="103" spans="1:12" x14ac:dyDescent="0.3">
      <c r="A103" s="297"/>
      <c r="B103" s="297"/>
      <c r="C103" s="338"/>
      <c r="D103" s="297"/>
      <c r="E103" s="268"/>
      <c r="F103" s="297"/>
      <c r="G103" s="297"/>
      <c r="H103" s="297"/>
      <c r="I103" s="297"/>
    </row>
    <row r="104" spans="1:12" x14ac:dyDescent="0.3">
      <c r="A104" s="297">
        <f t="shared" si="2"/>
        <v>50</v>
      </c>
      <c r="B104" s="297">
        <f t="shared" si="3"/>
        <v>6087</v>
      </c>
      <c r="C104" s="338"/>
      <c r="D104" s="297" t="s">
        <v>1974</v>
      </c>
      <c r="E104" s="268" t="s">
        <v>1975</v>
      </c>
      <c r="F104" s="297" t="s">
        <v>1928</v>
      </c>
      <c r="G104" s="297">
        <v>7900</v>
      </c>
      <c r="H104" s="297">
        <v>5</v>
      </c>
      <c r="I104" s="297">
        <f>G104*H104</f>
        <v>39500</v>
      </c>
    </row>
    <row r="105" spans="1:12" x14ac:dyDescent="0.3">
      <c r="A105" s="297"/>
      <c r="B105" s="297"/>
      <c r="C105" s="338"/>
      <c r="D105" s="297"/>
      <c r="E105" s="268"/>
      <c r="F105" s="297"/>
      <c r="G105" s="297"/>
      <c r="H105" s="297"/>
      <c r="I105" s="297"/>
    </row>
    <row r="106" spans="1:12" x14ac:dyDescent="0.3">
      <c r="A106" s="297">
        <f t="shared" si="2"/>
        <v>51</v>
      </c>
      <c r="B106" s="297">
        <f t="shared" si="3"/>
        <v>6088</v>
      </c>
      <c r="C106" s="338"/>
      <c r="D106" s="297" t="s">
        <v>1974</v>
      </c>
      <c r="E106" s="268" t="s">
        <v>1975</v>
      </c>
      <c r="F106" s="297" t="s">
        <v>1928</v>
      </c>
      <c r="G106" s="297">
        <v>7800</v>
      </c>
      <c r="H106" s="297">
        <v>5</v>
      </c>
      <c r="I106" s="297">
        <f>G106*H106</f>
        <v>39000</v>
      </c>
      <c r="L106" t="s">
        <v>1987</v>
      </c>
    </row>
    <row r="107" spans="1:12" x14ac:dyDescent="0.3">
      <c r="A107" s="297"/>
      <c r="B107" s="297"/>
      <c r="C107" s="338"/>
      <c r="D107" s="297"/>
      <c r="E107" s="268"/>
      <c r="F107" s="297"/>
      <c r="G107" s="297"/>
      <c r="H107" s="297"/>
      <c r="I107" s="297"/>
    </row>
    <row r="108" spans="1:12" x14ac:dyDescent="0.3">
      <c r="A108" s="297">
        <f t="shared" si="2"/>
        <v>52</v>
      </c>
      <c r="B108" s="297">
        <f t="shared" si="3"/>
        <v>6089</v>
      </c>
      <c r="C108" s="338"/>
      <c r="D108" s="297" t="s">
        <v>1974</v>
      </c>
      <c r="E108" s="268" t="s">
        <v>1975</v>
      </c>
      <c r="F108" s="297" t="s">
        <v>1928</v>
      </c>
      <c r="G108" s="297">
        <v>18026</v>
      </c>
      <c r="H108" s="297">
        <v>5</v>
      </c>
      <c r="I108" s="297">
        <f>10000*H108+8026*0.75*H108</f>
        <v>80097.5</v>
      </c>
    </row>
    <row r="109" spans="1:12" x14ac:dyDescent="0.3">
      <c r="A109" s="297"/>
      <c r="B109" s="297"/>
      <c r="C109" s="338"/>
      <c r="D109" s="297"/>
      <c r="E109" s="268"/>
      <c r="F109" s="297"/>
      <c r="G109" s="297"/>
      <c r="H109" s="297"/>
      <c r="I109" s="297"/>
    </row>
    <row r="110" spans="1:12" x14ac:dyDescent="0.3">
      <c r="A110" s="297">
        <f t="shared" si="2"/>
        <v>53</v>
      </c>
      <c r="B110" s="297">
        <f t="shared" si="3"/>
        <v>6090</v>
      </c>
      <c r="C110" s="338"/>
      <c r="D110" s="297" t="s">
        <v>1974</v>
      </c>
      <c r="E110" s="268" t="s">
        <v>1975</v>
      </c>
      <c r="F110" s="297" t="s">
        <v>1928</v>
      </c>
      <c r="G110" s="297">
        <v>12473</v>
      </c>
      <c r="H110" s="297">
        <v>5</v>
      </c>
      <c r="I110" s="297">
        <f>10000*H110+2473*0.75*H110</f>
        <v>59273.75</v>
      </c>
    </row>
    <row r="111" spans="1:12" x14ac:dyDescent="0.3">
      <c r="A111" s="297"/>
      <c r="B111" s="297"/>
      <c r="C111" s="338"/>
      <c r="D111" s="297"/>
      <c r="E111" s="268"/>
      <c r="F111" s="297"/>
      <c r="G111" s="297"/>
      <c r="H111" s="297"/>
      <c r="I111" s="297"/>
    </row>
    <row r="112" spans="1:12" x14ac:dyDescent="0.3">
      <c r="A112" s="297">
        <f t="shared" si="2"/>
        <v>54</v>
      </c>
      <c r="B112" s="297">
        <f t="shared" si="3"/>
        <v>6091</v>
      </c>
      <c r="C112" s="338"/>
      <c r="D112" s="297" t="s">
        <v>1974</v>
      </c>
      <c r="E112" s="268" t="s">
        <v>1975</v>
      </c>
      <c r="F112" s="297" t="s">
        <v>1928</v>
      </c>
      <c r="G112" s="297">
        <v>7350</v>
      </c>
      <c r="H112" s="297">
        <v>5</v>
      </c>
      <c r="I112" s="297">
        <f>G112*H112</f>
        <v>36750</v>
      </c>
    </row>
    <row r="113" spans="1:13" x14ac:dyDescent="0.3">
      <c r="A113" s="297"/>
      <c r="B113" s="297"/>
      <c r="C113" s="338"/>
      <c r="D113" s="297"/>
      <c r="E113" s="268"/>
      <c r="F113" s="297"/>
      <c r="G113" s="297"/>
      <c r="H113" s="297"/>
      <c r="I113" s="297"/>
    </row>
    <row r="114" spans="1:13" x14ac:dyDescent="0.3">
      <c r="A114" s="297">
        <f t="shared" si="2"/>
        <v>55</v>
      </c>
      <c r="B114" s="297">
        <f t="shared" si="3"/>
        <v>6092</v>
      </c>
      <c r="C114" s="338"/>
      <c r="D114" s="297" t="s">
        <v>1974</v>
      </c>
      <c r="E114" s="268" t="s">
        <v>1975</v>
      </c>
      <c r="F114" s="297" t="s">
        <v>1928</v>
      </c>
      <c r="G114" s="297">
        <v>12850</v>
      </c>
      <c r="H114" s="297">
        <v>5</v>
      </c>
      <c r="I114" s="312">
        <f>10000*H114+2850*0.75*H114</f>
        <v>60687.5</v>
      </c>
      <c r="J114" s="2"/>
    </row>
    <row r="115" spans="1:13" x14ac:dyDescent="0.3">
      <c r="A115" s="297"/>
      <c r="B115" s="297"/>
      <c r="C115" s="338"/>
      <c r="D115" s="297"/>
      <c r="E115" s="268"/>
      <c r="F115" s="297"/>
      <c r="G115" s="297"/>
      <c r="H115" s="297"/>
      <c r="I115" s="297"/>
    </row>
    <row r="116" spans="1:13" x14ac:dyDescent="0.3">
      <c r="A116" s="297">
        <f t="shared" si="2"/>
        <v>56</v>
      </c>
      <c r="B116" s="297">
        <f t="shared" si="3"/>
        <v>6093</v>
      </c>
      <c r="C116" s="338"/>
      <c r="D116" s="297" t="s">
        <v>1974</v>
      </c>
      <c r="E116" s="268" t="s">
        <v>1975</v>
      </c>
      <c r="F116" s="297" t="s">
        <v>1928</v>
      </c>
      <c r="G116" s="297">
        <v>23850</v>
      </c>
      <c r="H116" s="297">
        <v>5</v>
      </c>
      <c r="I116" s="311">
        <f>(10000*5)+(10000*0.75*H116)+(3850*0.5*H116)</f>
        <v>97125</v>
      </c>
      <c r="J116" s="2"/>
    </row>
    <row r="117" spans="1:13" x14ac:dyDescent="0.3">
      <c r="A117" s="297"/>
      <c r="B117" s="297"/>
      <c r="C117" s="338"/>
      <c r="D117" s="297"/>
      <c r="E117" s="268"/>
      <c r="F117" s="297"/>
      <c r="G117" s="297"/>
      <c r="H117" s="297"/>
      <c r="I117" s="297"/>
    </row>
    <row r="118" spans="1:13" x14ac:dyDescent="0.3">
      <c r="A118" s="297">
        <f t="shared" si="2"/>
        <v>57</v>
      </c>
      <c r="B118" s="297">
        <f t="shared" si="3"/>
        <v>6094</v>
      </c>
      <c r="C118" s="338"/>
      <c r="D118" s="297" t="s">
        <v>1974</v>
      </c>
      <c r="E118" s="268" t="s">
        <v>1975</v>
      </c>
      <c r="F118" s="297" t="s">
        <v>1928</v>
      </c>
      <c r="G118" s="297">
        <v>16028</v>
      </c>
      <c r="H118" s="297">
        <v>5</v>
      </c>
      <c r="I118" s="314">
        <f>10000*H118+6028*0.75*H118</f>
        <v>72605</v>
      </c>
      <c r="J118" s="256"/>
      <c r="K118" s="256"/>
      <c r="L118" s="256"/>
      <c r="M118" s="256"/>
    </row>
    <row r="119" spans="1:13" x14ac:dyDescent="0.3">
      <c r="A119" s="297"/>
      <c r="B119" s="297"/>
      <c r="C119" s="338"/>
      <c r="D119" s="297"/>
      <c r="E119" s="268"/>
      <c r="F119" s="297"/>
      <c r="G119" s="297"/>
      <c r="H119" s="297"/>
      <c r="I119" s="297"/>
    </row>
    <row r="120" spans="1:13" x14ac:dyDescent="0.3">
      <c r="A120" s="297">
        <f t="shared" si="2"/>
        <v>58</v>
      </c>
      <c r="B120" s="297">
        <f t="shared" si="3"/>
        <v>6095</v>
      </c>
      <c r="C120" s="338"/>
      <c r="D120" s="297" t="s">
        <v>1974</v>
      </c>
      <c r="E120" s="268" t="s">
        <v>1975</v>
      </c>
      <c r="F120" s="297" t="s">
        <v>1928</v>
      </c>
      <c r="G120" s="297">
        <v>20056</v>
      </c>
      <c r="H120" s="297">
        <v>5</v>
      </c>
      <c r="I120" s="311">
        <f>(10000*5)+(10000*0.75*H120)+(56*0.5*H120)</f>
        <v>87640</v>
      </c>
    </row>
    <row r="121" spans="1:13" x14ac:dyDescent="0.3">
      <c r="A121" s="297"/>
      <c r="B121" s="297"/>
      <c r="C121" s="338"/>
      <c r="D121" s="297"/>
      <c r="E121" s="268"/>
      <c r="F121" s="297"/>
      <c r="G121" s="297"/>
      <c r="H121" s="297"/>
      <c r="I121" s="297"/>
    </row>
    <row r="122" spans="1:13" x14ac:dyDescent="0.3">
      <c r="A122" s="297">
        <f t="shared" si="2"/>
        <v>59</v>
      </c>
      <c r="B122" s="297">
        <f t="shared" si="3"/>
        <v>6096</v>
      </c>
      <c r="C122" s="338"/>
      <c r="D122" s="297" t="s">
        <v>1974</v>
      </c>
      <c r="E122" s="268" t="s">
        <v>1975</v>
      </c>
      <c r="F122" s="297" t="s">
        <v>1928</v>
      </c>
      <c r="G122" s="297">
        <v>15806</v>
      </c>
      <c r="H122" s="297">
        <v>5</v>
      </c>
      <c r="I122" s="297">
        <f>10000*H122+5806*0.75*H122</f>
        <v>71772.5</v>
      </c>
    </row>
    <row r="123" spans="1:13" x14ac:dyDescent="0.3">
      <c r="A123" s="297"/>
      <c r="B123" s="297"/>
      <c r="C123" s="338"/>
      <c r="D123" s="297"/>
      <c r="E123" s="268"/>
      <c r="F123" s="297"/>
      <c r="G123" s="297"/>
      <c r="H123" s="297"/>
      <c r="I123" s="297"/>
    </row>
    <row r="124" spans="1:13" x14ac:dyDescent="0.3">
      <c r="A124" s="297">
        <f t="shared" si="2"/>
        <v>60</v>
      </c>
      <c r="B124" s="297">
        <f t="shared" si="3"/>
        <v>6097</v>
      </c>
      <c r="C124" s="338"/>
      <c r="D124" s="297" t="s">
        <v>1974</v>
      </c>
      <c r="E124" s="268" t="s">
        <v>1975</v>
      </c>
      <c r="F124" s="297" t="s">
        <v>1928</v>
      </c>
      <c r="G124" s="297">
        <v>14340</v>
      </c>
      <c r="H124" s="297">
        <v>5</v>
      </c>
      <c r="I124" s="297">
        <f>10000*H124+4340*0.75*H124</f>
        <v>66275</v>
      </c>
    </row>
    <row r="125" spans="1:13" x14ac:dyDescent="0.3">
      <c r="A125" s="297"/>
      <c r="B125" s="297"/>
      <c r="C125" s="338"/>
      <c r="D125" s="297"/>
      <c r="E125" s="268"/>
      <c r="F125" s="297"/>
      <c r="G125" s="297"/>
      <c r="H125" s="297"/>
      <c r="I125" s="297"/>
    </row>
    <row r="126" spans="1:13" x14ac:dyDescent="0.3">
      <c r="A126" s="297">
        <f t="shared" si="2"/>
        <v>61</v>
      </c>
      <c r="B126" s="297">
        <f t="shared" si="3"/>
        <v>6098</v>
      </c>
      <c r="C126" s="338"/>
      <c r="D126" s="297" t="s">
        <v>1974</v>
      </c>
      <c r="E126" s="268" t="s">
        <v>1975</v>
      </c>
      <c r="F126" s="297" t="s">
        <v>1928</v>
      </c>
      <c r="G126" s="297">
        <v>16500</v>
      </c>
      <c r="H126" s="297">
        <v>5</v>
      </c>
      <c r="I126" s="297">
        <f>10000*H126+6500*0.75*H126</f>
        <v>74375</v>
      </c>
    </row>
    <row r="127" spans="1:13" x14ac:dyDescent="0.3">
      <c r="A127" s="297"/>
      <c r="B127" s="297"/>
      <c r="C127" s="338"/>
      <c r="D127" s="297"/>
      <c r="E127" s="268"/>
      <c r="F127" s="297"/>
      <c r="G127" s="297"/>
      <c r="H127" s="297"/>
      <c r="I127" s="297"/>
    </row>
    <row r="128" spans="1:13" x14ac:dyDescent="0.3">
      <c r="A128" s="297">
        <f t="shared" si="2"/>
        <v>62</v>
      </c>
      <c r="B128" s="297">
        <f t="shared" si="3"/>
        <v>6099</v>
      </c>
      <c r="C128" s="338"/>
      <c r="D128" s="297" t="s">
        <v>1974</v>
      </c>
      <c r="E128" s="268" t="s">
        <v>1975</v>
      </c>
      <c r="F128" s="297" t="s">
        <v>1928</v>
      </c>
      <c r="G128" s="297">
        <v>16500</v>
      </c>
      <c r="H128" s="297">
        <v>5</v>
      </c>
      <c r="I128" s="297">
        <f>10000*H128+6500*0.75*H128</f>
        <v>74375</v>
      </c>
    </row>
    <row r="129" spans="1:9" x14ac:dyDescent="0.3">
      <c r="A129" s="297"/>
      <c r="B129" s="297"/>
      <c r="C129" s="338"/>
      <c r="D129" s="297"/>
      <c r="E129" s="268"/>
      <c r="F129" s="297"/>
      <c r="G129" s="297"/>
      <c r="H129" s="297"/>
      <c r="I129" s="297"/>
    </row>
    <row r="130" spans="1:9" x14ac:dyDescent="0.3">
      <c r="A130" s="297">
        <f t="shared" si="2"/>
        <v>63</v>
      </c>
      <c r="B130" s="297">
        <f t="shared" si="3"/>
        <v>6100</v>
      </c>
      <c r="C130" s="338"/>
      <c r="D130" s="297" t="s">
        <v>1974</v>
      </c>
      <c r="E130" s="268" t="s">
        <v>1975</v>
      </c>
      <c r="F130" s="297" t="s">
        <v>1928</v>
      </c>
      <c r="G130" s="297">
        <v>16500</v>
      </c>
      <c r="H130" s="297">
        <v>5</v>
      </c>
      <c r="I130" s="297">
        <f>10000*H130+6500*0.75*H130</f>
        <v>74375</v>
      </c>
    </row>
    <row r="131" spans="1:9" x14ac:dyDescent="0.3">
      <c r="A131" s="297"/>
      <c r="B131" s="297"/>
      <c r="C131" s="338"/>
      <c r="D131" s="297"/>
      <c r="E131" s="268"/>
      <c r="F131" s="297"/>
      <c r="G131" s="297"/>
      <c r="H131" s="297"/>
      <c r="I131" s="297"/>
    </row>
    <row r="132" spans="1:9" x14ac:dyDescent="0.3">
      <c r="A132" s="297">
        <f t="shared" si="2"/>
        <v>64</v>
      </c>
      <c r="B132" s="297">
        <f t="shared" si="3"/>
        <v>6101</v>
      </c>
      <c r="C132" s="338"/>
      <c r="D132" s="297" t="s">
        <v>1974</v>
      </c>
      <c r="E132" s="268" t="s">
        <v>1975</v>
      </c>
      <c r="F132" s="297" t="s">
        <v>1928</v>
      </c>
      <c r="G132" s="297">
        <v>16500</v>
      </c>
      <c r="H132" s="297">
        <v>5</v>
      </c>
      <c r="I132" s="297">
        <f>10000*H132+6500*0.75*H132</f>
        <v>74375</v>
      </c>
    </row>
    <row r="133" spans="1:9" x14ac:dyDescent="0.3">
      <c r="A133" s="297"/>
      <c r="B133" s="297"/>
      <c r="C133" s="338"/>
      <c r="D133" s="297"/>
      <c r="E133" s="268"/>
      <c r="F133" s="297"/>
      <c r="G133" s="297"/>
      <c r="H133" s="297"/>
      <c r="I133" s="297"/>
    </row>
    <row r="134" spans="1:9" x14ac:dyDescent="0.3">
      <c r="A134" s="297">
        <f t="shared" si="2"/>
        <v>65</v>
      </c>
      <c r="B134" s="297">
        <f t="shared" si="3"/>
        <v>6102</v>
      </c>
      <c r="C134" s="338"/>
      <c r="D134" s="297" t="s">
        <v>1974</v>
      </c>
      <c r="E134" s="268" t="s">
        <v>1975</v>
      </c>
      <c r="F134" s="297" t="s">
        <v>1928</v>
      </c>
      <c r="G134" s="297">
        <v>16069</v>
      </c>
      <c r="H134" s="297">
        <v>5</v>
      </c>
      <c r="I134" s="297">
        <f>10000*H134+6069*0.75*H134</f>
        <v>72758.75</v>
      </c>
    </row>
    <row r="135" spans="1:9" x14ac:dyDescent="0.3">
      <c r="A135" s="297"/>
      <c r="B135" s="297"/>
      <c r="C135" s="338"/>
      <c r="D135" s="297"/>
      <c r="E135" s="268"/>
      <c r="F135" s="297"/>
      <c r="G135" s="297"/>
      <c r="H135" s="297"/>
      <c r="I135" s="297"/>
    </row>
    <row r="136" spans="1:9" x14ac:dyDescent="0.3">
      <c r="A136" s="297">
        <f t="shared" si="2"/>
        <v>66</v>
      </c>
      <c r="B136" s="297">
        <f t="shared" si="3"/>
        <v>6103</v>
      </c>
      <c r="C136" s="338"/>
      <c r="D136" s="297" t="s">
        <v>1974</v>
      </c>
      <c r="E136" s="268" t="s">
        <v>1975</v>
      </c>
      <c r="F136" s="297" t="s">
        <v>1928</v>
      </c>
      <c r="G136" s="297">
        <v>20949</v>
      </c>
      <c r="H136" s="297">
        <v>5</v>
      </c>
      <c r="I136" s="311">
        <f>(10000*5)+(10000*H136*0.75+(949*0.5*H136))</f>
        <v>89872.5</v>
      </c>
    </row>
    <row r="137" spans="1:9" x14ac:dyDescent="0.3">
      <c r="A137" s="297"/>
      <c r="B137" s="297"/>
      <c r="C137" s="338"/>
      <c r="D137" s="297"/>
      <c r="E137" s="268"/>
      <c r="F137" s="297"/>
      <c r="G137" s="297"/>
      <c r="H137" s="297"/>
      <c r="I137" s="311"/>
    </row>
    <row r="138" spans="1:9" x14ac:dyDescent="0.3">
      <c r="A138" s="297">
        <f t="shared" ref="A138:A200" si="4">A136+1</f>
        <v>67</v>
      </c>
      <c r="B138" s="297">
        <f t="shared" si="3"/>
        <v>6104</v>
      </c>
      <c r="C138" s="338"/>
      <c r="D138" s="297" t="s">
        <v>1974</v>
      </c>
      <c r="E138" s="268" t="s">
        <v>1975</v>
      </c>
      <c r="F138" s="297" t="s">
        <v>1928</v>
      </c>
      <c r="G138" s="297">
        <v>29450</v>
      </c>
      <c r="H138" s="297">
        <v>5</v>
      </c>
      <c r="I138" s="311">
        <f>(10000*5)+(10000*H138*0.75+(9450*0.5*H138))</f>
        <v>111125</v>
      </c>
    </row>
    <row r="139" spans="1:9" x14ac:dyDescent="0.3">
      <c r="A139" s="297"/>
      <c r="B139" s="297"/>
      <c r="C139" s="338"/>
      <c r="D139" s="297"/>
      <c r="E139" s="268"/>
      <c r="F139" s="297"/>
      <c r="G139" s="297"/>
      <c r="H139" s="297"/>
      <c r="I139" s="297"/>
    </row>
    <row r="140" spans="1:9" x14ac:dyDescent="0.3">
      <c r="A140" s="297">
        <f t="shared" si="4"/>
        <v>68</v>
      </c>
      <c r="B140" s="297">
        <f t="shared" ref="B140:B202" si="5">B138+1</f>
        <v>6105</v>
      </c>
      <c r="C140" s="338"/>
      <c r="D140" s="297" t="s">
        <v>1974</v>
      </c>
      <c r="E140" s="268" t="s">
        <v>1975</v>
      </c>
      <c r="F140" s="297" t="s">
        <v>1928</v>
      </c>
      <c r="G140" s="297">
        <v>12331</v>
      </c>
      <c r="H140" s="297">
        <v>5</v>
      </c>
      <c r="I140" s="297">
        <f>(10000*H140)+(2331*0.75*H140)</f>
        <v>58741.25</v>
      </c>
    </row>
    <row r="141" spans="1:9" x14ac:dyDescent="0.3">
      <c r="A141" s="297"/>
      <c r="B141" s="297"/>
      <c r="C141" s="338"/>
      <c r="D141" s="297"/>
      <c r="E141" s="268"/>
      <c r="F141" s="297"/>
      <c r="G141" s="297"/>
      <c r="H141" s="297"/>
      <c r="I141" s="297"/>
    </row>
    <row r="142" spans="1:9" x14ac:dyDescent="0.3">
      <c r="A142" s="297">
        <f t="shared" si="4"/>
        <v>69</v>
      </c>
      <c r="B142" s="297">
        <f t="shared" si="5"/>
        <v>6106</v>
      </c>
      <c r="C142" s="338"/>
      <c r="D142" s="297" t="s">
        <v>1974</v>
      </c>
      <c r="E142" s="268" t="s">
        <v>1975</v>
      </c>
      <c r="F142" s="297" t="s">
        <v>1928</v>
      </c>
      <c r="G142" s="297">
        <v>13410</v>
      </c>
      <c r="H142" s="297">
        <v>5</v>
      </c>
      <c r="I142" s="297">
        <f>(10000*H142)+(3410*0.75*H142)</f>
        <v>62787.5</v>
      </c>
    </row>
    <row r="143" spans="1:9" x14ac:dyDescent="0.3">
      <c r="A143" s="297"/>
      <c r="B143" s="297"/>
      <c r="C143" s="338"/>
      <c r="D143" s="297"/>
      <c r="E143" s="268"/>
      <c r="F143" s="297"/>
      <c r="G143" s="297"/>
      <c r="H143" s="297"/>
      <c r="I143" s="297"/>
    </row>
    <row r="144" spans="1:9" x14ac:dyDescent="0.3">
      <c r="A144" s="297">
        <f t="shared" si="4"/>
        <v>70</v>
      </c>
      <c r="B144" s="297">
        <f t="shared" si="5"/>
        <v>6107</v>
      </c>
      <c r="C144" s="338"/>
      <c r="D144" s="297" t="s">
        <v>1974</v>
      </c>
      <c r="E144" s="268" t="s">
        <v>1975</v>
      </c>
      <c r="F144" s="297" t="s">
        <v>1928</v>
      </c>
      <c r="G144" s="297">
        <v>15789</v>
      </c>
      <c r="H144" s="297">
        <v>5</v>
      </c>
      <c r="I144" s="297">
        <f>(10000*H144)+(5789*0.75*H144)</f>
        <v>71708.75</v>
      </c>
    </row>
    <row r="145" spans="1:9" x14ac:dyDescent="0.3">
      <c r="A145" s="297"/>
      <c r="B145" s="297"/>
      <c r="C145" s="338"/>
      <c r="D145" s="297"/>
      <c r="E145" s="268"/>
      <c r="F145" s="297"/>
      <c r="G145" s="297"/>
      <c r="H145" s="297"/>
      <c r="I145" s="297"/>
    </row>
    <row r="146" spans="1:9" x14ac:dyDescent="0.3">
      <c r="A146" s="297">
        <f t="shared" si="4"/>
        <v>71</v>
      </c>
      <c r="B146" s="297">
        <f t="shared" si="5"/>
        <v>6108</v>
      </c>
      <c r="C146" s="338"/>
      <c r="D146" s="297" t="s">
        <v>1974</v>
      </c>
      <c r="E146" s="268" t="s">
        <v>1975</v>
      </c>
      <c r="F146" s="297" t="s">
        <v>1928</v>
      </c>
      <c r="G146" s="297">
        <v>13435</v>
      </c>
      <c r="H146" s="297">
        <v>5</v>
      </c>
      <c r="I146" s="297">
        <f>(10000*H146)+(3435*0.75*H146)</f>
        <v>62881.25</v>
      </c>
    </row>
    <row r="147" spans="1:9" x14ac:dyDescent="0.3">
      <c r="A147" s="297"/>
      <c r="B147" s="297"/>
      <c r="C147" s="338"/>
      <c r="D147" s="297"/>
      <c r="E147" s="268"/>
      <c r="F147" s="297"/>
      <c r="G147" s="297"/>
      <c r="H147" s="297"/>
      <c r="I147" s="297"/>
    </row>
    <row r="148" spans="1:9" x14ac:dyDescent="0.3">
      <c r="A148" s="297">
        <f t="shared" si="4"/>
        <v>72</v>
      </c>
      <c r="B148" s="297">
        <f t="shared" si="5"/>
        <v>6109</v>
      </c>
      <c r="C148" s="338"/>
      <c r="D148" s="297" t="s">
        <v>1974</v>
      </c>
      <c r="E148" s="268" t="s">
        <v>1975</v>
      </c>
      <c r="F148" s="297" t="s">
        <v>1928</v>
      </c>
      <c r="G148" s="297">
        <v>11035</v>
      </c>
      <c r="H148" s="297">
        <v>5</v>
      </c>
      <c r="I148" s="297">
        <f>(10000*H148)+(1035*0.75*H148)</f>
        <v>53881.25</v>
      </c>
    </row>
    <row r="149" spans="1:9" x14ac:dyDescent="0.3">
      <c r="A149" s="297"/>
      <c r="B149" s="297"/>
      <c r="C149" s="338"/>
      <c r="D149" s="297"/>
      <c r="E149" s="268"/>
      <c r="F149" s="297"/>
      <c r="G149" s="297"/>
      <c r="H149" s="297"/>
      <c r="I149" s="297"/>
    </row>
    <row r="150" spans="1:9" x14ac:dyDescent="0.3">
      <c r="A150" s="297">
        <f t="shared" si="4"/>
        <v>73</v>
      </c>
      <c r="B150" s="297">
        <f t="shared" si="5"/>
        <v>6110</v>
      </c>
      <c r="C150" s="338"/>
      <c r="D150" s="297" t="s">
        <v>1974</v>
      </c>
      <c r="E150" s="268" t="s">
        <v>1975</v>
      </c>
      <c r="F150" s="297" t="s">
        <v>1928</v>
      </c>
      <c r="G150" s="297">
        <v>7784</v>
      </c>
      <c r="H150" s="297">
        <v>5</v>
      </c>
      <c r="I150" s="297">
        <f>G150*H150</f>
        <v>38920</v>
      </c>
    </row>
    <row r="151" spans="1:9" x14ac:dyDescent="0.3">
      <c r="A151" s="297"/>
      <c r="B151" s="297"/>
      <c r="C151" s="338"/>
      <c r="D151" s="297"/>
      <c r="E151" s="268"/>
      <c r="F151" s="297"/>
      <c r="G151" s="297"/>
      <c r="H151" s="297"/>
      <c r="I151" s="297"/>
    </row>
    <row r="152" spans="1:9" x14ac:dyDescent="0.3">
      <c r="A152" s="297">
        <f t="shared" si="4"/>
        <v>74</v>
      </c>
      <c r="B152" s="297">
        <f t="shared" si="5"/>
        <v>6111</v>
      </c>
      <c r="C152" s="338"/>
      <c r="D152" s="297" t="s">
        <v>1974</v>
      </c>
      <c r="E152" s="268" t="s">
        <v>1975</v>
      </c>
      <c r="F152" s="297" t="s">
        <v>1928</v>
      </c>
      <c r="G152" s="297">
        <v>13950</v>
      </c>
      <c r="H152" s="297">
        <v>5</v>
      </c>
      <c r="I152" s="297">
        <f>(10000*H152)+(3950*0.75*H152)</f>
        <v>64812.5</v>
      </c>
    </row>
    <row r="153" spans="1:9" x14ac:dyDescent="0.3">
      <c r="A153" s="297"/>
      <c r="B153" s="297"/>
      <c r="C153" s="338"/>
      <c r="D153" s="297"/>
      <c r="E153" s="268"/>
      <c r="F153" s="297"/>
      <c r="G153" s="297"/>
      <c r="H153" s="297"/>
      <c r="I153" s="297"/>
    </row>
    <row r="154" spans="1:9" x14ac:dyDescent="0.3">
      <c r="A154" s="297">
        <f t="shared" si="4"/>
        <v>75</v>
      </c>
      <c r="B154" s="297">
        <f t="shared" si="5"/>
        <v>6112</v>
      </c>
      <c r="C154" s="338"/>
      <c r="D154" s="297" t="s">
        <v>1974</v>
      </c>
      <c r="E154" s="268" t="s">
        <v>1975</v>
      </c>
      <c r="F154" s="297" t="s">
        <v>1928</v>
      </c>
      <c r="G154" s="297">
        <v>25136</v>
      </c>
      <c r="H154" s="297">
        <v>5</v>
      </c>
      <c r="I154" s="297">
        <f>(10000*H154)+(10000*0.75*H154)+(5136*0.5*H154)</f>
        <v>100340</v>
      </c>
    </row>
    <row r="155" spans="1:9" x14ac:dyDescent="0.3">
      <c r="A155" s="297"/>
      <c r="B155" s="297"/>
      <c r="C155" s="338"/>
      <c r="D155" s="297"/>
      <c r="E155" s="268"/>
      <c r="F155" s="297"/>
      <c r="G155" s="297"/>
      <c r="H155" s="297"/>
      <c r="I155" s="297"/>
    </row>
    <row r="156" spans="1:9" x14ac:dyDescent="0.3">
      <c r="A156" s="297">
        <f t="shared" si="4"/>
        <v>76</v>
      </c>
      <c r="B156" s="297">
        <f t="shared" si="5"/>
        <v>6113</v>
      </c>
      <c r="C156" s="338"/>
      <c r="D156" s="297" t="s">
        <v>1974</v>
      </c>
      <c r="E156" s="268" t="s">
        <v>1975</v>
      </c>
      <c r="F156" s="297" t="s">
        <v>1928</v>
      </c>
      <c r="G156" s="297">
        <v>16515</v>
      </c>
      <c r="H156" s="297">
        <v>5</v>
      </c>
      <c r="I156" s="297">
        <f>(10000*H156)+(6515*0.75*H156)</f>
        <v>74431.25</v>
      </c>
    </row>
    <row r="157" spans="1:9" x14ac:dyDescent="0.3">
      <c r="A157" s="297"/>
      <c r="B157" s="297"/>
      <c r="C157" s="338"/>
      <c r="D157" s="297"/>
      <c r="E157" s="268"/>
      <c r="F157" s="297"/>
      <c r="G157" s="297"/>
      <c r="H157" s="297"/>
      <c r="I157" s="297"/>
    </row>
    <row r="158" spans="1:9" x14ac:dyDescent="0.3">
      <c r="A158" s="297">
        <f t="shared" si="4"/>
        <v>77</v>
      </c>
      <c r="B158" s="297">
        <f t="shared" si="5"/>
        <v>6114</v>
      </c>
      <c r="C158" s="338"/>
      <c r="D158" s="297" t="s">
        <v>1974</v>
      </c>
      <c r="E158" s="268" t="s">
        <v>1975</v>
      </c>
      <c r="F158" s="297" t="s">
        <v>1928</v>
      </c>
      <c r="G158" s="297">
        <v>15000</v>
      </c>
      <c r="H158" s="297">
        <v>5</v>
      </c>
      <c r="I158" s="297">
        <f>(10000*H158)+(5000*0.75*H158)</f>
        <v>68750</v>
      </c>
    </row>
    <row r="159" spans="1:9" x14ac:dyDescent="0.3">
      <c r="A159" s="297"/>
      <c r="B159" s="297"/>
      <c r="C159" s="338"/>
      <c r="D159" s="297"/>
      <c r="E159" s="268"/>
      <c r="F159" s="297"/>
      <c r="G159" s="297"/>
      <c r="H159" s="297"/>
      <c r="I159" s="297"/>
    </row>
    <row r="160" spans="1:9" x14ac:dyDescent="0.3">
      <c r="A160" s="297">
        <f t="shared" si="4"/>
        <v>78</v>
      </c>
      <c r="B160" s="297">
        <f t="shared" si="5"/>
        <v>6115</v>
      </c>
      <c r="C160" s="338"/>
      <c r="D160" s="297" t="s">
        <v>1974</v>
      </c>
      <c r="E160" s="268" t="s">
        <v>1975</v>
      </c>
      <c r="F160" s="297" t="s">
        <v>1928</v>
      </c>
      <c r="G160" s="297">
        <v>15000</v>
      </c>
      <c r="H160" s="297">
        <v>5</v>
      </c>
      <c r="I160" s="297">
        <f>(10000*H160)+(5000*0.75*H160)</f>
        <v>68750</v>
      </c>
    </row>
    <row r="161" spans="1:10" x14ac:dyDescent="0.3">
      <c r="A161" s="297"/>
      <c r="B161" s="297"/>
      <c r="C161" s="338"/>
      <c r="D161" s="297"/>
      <c r="E161" s="268"/>
      <c r="F161" s="297"/>
      <c r="G161" s="297"/>
      <c r="H161" s="297"/>
      <c r="I161" s="297"/>
    </row>
    <row r="162" spans="1:10" x14ac:dyDescent="0.3">
      <c r="A162" s="297">
        <f t="shared" si="4"/>
        <v>79</v>
      </c>
      <c r="B162" s="297">
        <f t="shared" si="5"/>
        <v>6116</v>
      </c>
      <c r="C162" s="338"/>
      <c r="D162" s="297" t="s">
        <v>1974</v>
      </c>
      <c r="E162" s="268" t="s">
        <v>1975</v>
      </c>
      <c r="F162" s="297" t="s">
        <v>1928</v>
      </c>
      <c r="G162" s="297">
        <v>15000</v>
      </c>
      <c r="H162" s="297">
        <v>5</v>
      </c>
      <c r="I162" s="297">
        <f>(10000*H162)+(5000*0.75*H162)</f>
        <v>68750</v>
      </c>
    </row>
    <row r="163" spans="1:10" x14ac:dyDescent="0.3">
      <c r="A163" s="297"/>
      <c r="B163" s="297"/>
      <c r="C163" s="338"/>
      <c r="D163" s="297"/>
      <c r="E163" s="268"/>
      <c r="F163" s="297"/>
      <c r="G163" s="297"/>
      <c r="H163" s="297"/>
      <c r="I163" s="297"/>
    </row>
    <row r="164" spans="1:10" x14ac:dyDescent="0.3">
      <c r="A164" s="297">
        <f t="shared" si="4"/>
        <v>80</v>
      </c>
      <c r="B164" s="297">
        <f t="shared" si="5"/>
        <v>6117</v>
      </c>
      <c r="C164" s="338"/>
      <c r="D164" s="297" t="s">
        <v>1974</v>
      </c>
      <c r="E164" s="268" t="s">
        <v>1975</v>
      </c>
      <c r="F164" s="297" t="s">
        <v>1928</v>
      </c>
      <c r="G164" s="297">
        <v>13500</v>
      </c>
      <c r="H164" s="297">
        <v>5</v>
      </c>
      <c r="I164" s="297">
        <f>(10000*H164)+(3500*0.75*H164)</f>
        <v>63125</v>
      </c>
    </row>
    <row r="165" spans="1:10" x14ac:dyDescent="0.3">
      <c r="A165" s="297"/>
      <c r="B165" s="297"/>
      <c r="C165" s="338"/>
      <c r="D165" s="297"/>
      <c r="E165" s="268"/>
      <c r="F165" s="297"/>
      <c r="G165" s="297"/>
      <c r="H165" s="297"/>
      <c r="I165" s="297"/>
    </row>
    <row r="166" spans="1:10" x14ac:dyDescent="0.3">
      <c r="A166" s="297">
        <f t="shared" si="4"/>
        <v>81</v>
      </c>
      <c r="B166" s="297">
        <f t="shared" si="5"/>
        <v>6118</v>
      </c>
      <c r="C166" s="338"/>
      <c r="D166" s="297" t="s">
        <v>1974</v>
      </c>
      <c r="E166" s="268" t="s">
        <v>1975</v>
      </c>
      <c r="F166" s="297" t="s">
        <v>1928</v>
      </c>
      <c r="G166" s="297">
        <v>13500</v>
      </c>
      <c r="H166" s="297">
        <v>5</v>
      </c>
      <c r="I166" s="297">
        <f>(10000*H166)+(3500*0.75*H166)</f>
        <v>63125</v>
      </c>
    </row>
    <row r="167" spans="1:10" x14ac:dyDescent="0.3">
      <c r="A167" s="297"/>
      <c r="B167" s="297"/>
      <c r="C167" s="338"/>
      <c r="D167" s="297"/>
      <c r="E167" s="268"/>
      <c r="F167" s="297"/>
      <c r="G167" s="297"/>
      <c r="H167" s="297"/>
      <c r="I167" s="297"/>
    </row>
    <row r="168" spans="1:10" x14ac:dyDescent="0.3">
      <c r="A168" s="297">
        <f t="shared" si="4"/>
        <v>82</v>
      </c>
      <c r="B168" s="297">
        <f t="shared" si="5"/>
        <v>6119</v>
      </c>
      <c r="C168" s="338"/>
      <c r="D168" s="297" t="s">
        <v>1974</v>
      </c>
      <c r="E168" s="268" t="s">
        <v>1975</v>
      </c>
      <c r="F168" s="297" t="s">
        <v>1928</v>
      </c>
      <c r="G168" s="297">
        <v>15000</v>
      </c>
      <c r="H168" s="297">
        <v>5</v>
      </c>
      <c r="I168" s="297">
        <f>(10000*H168)+(5000*0.75*H168)</f>
        <v>68750</v>
      </c>
    </row>
    <row r="169" spans="1:10" x14ac:dyDescent="0.3">
      <c r="A169" s="297"/>
      <c r="B169" s="297"/>
      <c r="C169" s="338"/>
      <c r="D169" s="297"/>
      <c r="E169" s="268"/>
      <c r="F169" s="297"/>
      <c r="G169" s="297"/>
      <c r="H169" s="297"/>
      <c r="I169" s="297"/>
    </row>
    <row r="170" spans="1:10" x14ac:dyDescent="0.3">
      <c r="A170" s="297">
        <f t="shared" si="4"/>
        <v>83</v>
      </c>
      <c r="B170" s="297">
        <f t="shared" si="5"/>
        <v>6120</v>
      </c>
      <c r="C170" s="338"/>
      <c r="D170" s="297" t="s">
        <v>1974</v>
      </c>
      <c r="E170" s="268" t="s">
        <v>1975</v>
      </c>
      <c r="F170" s="297" t="s">
        <v>1928</v>
      </c>
      <c r="G170" s="297">
        <v>15340</v>
      </c>
      <c r="H170" s="297">
        <v>5</v>
      </c>
      <c r="I170" s="297">
        <f>(10000*H170)+(5340*0.75*H170)</f>
        <v>70025</v>
      </c>
    </row>
    <row r="171" spans="1:10" x14ac:dyDescent="0.3">
      <c r="A171" s="297"/>
      <c r="B171" s="297"/>
      <c r="C171" s="338"/>
      <c r="D171" s="297"/>
      <c r="E171" s="268"/>
      <c r="F171" s="297"/>
      <c r="G171" s="297"/>
      <c r="H171" s="297"/>
      <c r="I171" s="297"/>
    </row>
    <row r="172" spans="1:10" x14ac:dyDescent="0.3">
      <c r="A172" s="297">
        <f t="shared" si="4"/>
        <v>84</v>
      </c>
      <c r="B172" s="297">
        <f t="shared" si="5"/>
        <v>6121</v>
      </c>
      <c r="C172" s="338"/>
      <c r="D172" s="297" t="s">
        <v>1974</v>
      </c>
      <c r="E172" s="268" t="s">
        <v>1975</v>
      </c>
      <c r="F172" s="297" t="s">
        <v>1928</v>
      </c>
      <c r="G172" s="297">
        <v>17042</v>
      </c>
      <c r="H172" s="297">
        <v>5</v>
      </c>
      <c r="I172" s="297">
        <f>(10000*H172)+(7042*0.75*H172)</f>
        <v>76407.5</v>
      </c>
      <c r="J172" s="2"/>
    </row>
    <row r="173" spans="1:10" x14ac:dyDescent="0.3">
      <c r="A173" s="297"/>
      <c r="B173" s="297"/>
      <c r="C173" s="338"/>
      <c r="D173" s="297"/>
      <c r="E173" s="268"/>
      <c r="F173" s="297"/>
      <c r="G173" s="297"/>
      <c r="H173" s="297"/>
      <c r="I173" s="297"/>
    </row>
    <row r="174" spans="1:10" x14ac:dyDescent="0.3">
      <c r="A174" s="297">
        <f t="shared" si="4"/>
        <v>85</v>
      </c>
      <c r="B174" s="297">
        <f t="shared" si="5"/>
        <v>6122</v>
      </c>
      <c r="C174" s="338"/>
      <c r="D174" s="297" t="s">
        <v>1974</v>
      </c>
      <c r="E174" s="268" t="s">
        <v>1975</v>
      </c>
      <c r="F174" s="297" t="s">
        <v>1928</v>
      </c>
      <c r="G174" s="297">
        <v>25557</v>
      </c>
      <c r="H174" s="297">
        <v>5</v>
      </c>
      <c r="I174" s="311">
        <f>(10000*5)+(10000*0.75*H174)+(5557*0.5*H174)</f>
        <v>101392.5</v>
      </c>
    </row>
    <row r="175" spans="1:10" x14ac:dyDescent="0.3">
      <c r="A175" s="297"/>
      <c r="B175" s="297"/>
      <c r="C175" s="338"/>
      <c r="D175" s="297"/>
      <c r="E175" s="268"/>
      <c r="F175" s="297"/>
      <c r="G175" s="297"/>
      <c r="H175" s="297"/>
      <c r="I175" s="311"/>
    </row>
    <row r="176" spans="1:10" x14ac:dyDescent="0.3">
      <c r="A176" s="297">
        <f t="shared" si="4"/>
        <v>86</v>
      </c>
      <c r="B176" s="297">
        <f t="shared" si="5"/>
        <v>6123</v>
      </c>
      <c r="C176" s="338"/>
      <c r="D176" s="297" t="s">
        <v>1974</v>
      </c>
      <c r="E176" s="268" t="s">
        <v>1975</v>
      </c>
      <c r="F176" s="297" t="s">
        <v>1928</v>
      </c>
      <c r="G176" s="297">
        <v>20553</v>
      </c>
      <c r="H176" s="297">
        <v>5</v>
      </c>
      <c r="I176" s="311">
        <f>(10000*5)+(10000*0.75*H176)+(553*0.5*H176)</f>
        <v>88882.5</v>
      </c>
    </row>
    <row r="177" spans="1:9" x14ac:dyDescent="0.3">
      <c r="A177" s="297"/>
      <c r="B177" s="297"/>
      <c r="C177" s="338"/>
      <c r="D177" s="297"/>
      <c r="E177" s="268"/>
      <c r="F177" s="297"/>
      <c r="G177" s="297"/>
      <c r="H177" s="297"/>
      <c r="I177" s="297"/>
    </row>
    <row r="178" spans="1:9" x14ac:dyDescent="0.3">
      <c r="A178" s="297">
        <f t="shared" si="4"/>
        <v>87</v>
      </c>
      <c r="B178" s="297">
        <f t="shared" si="5"/>
        <v>6124</v>
      </c>
      <c r="C178" s="338"/>
      <c r="D178" s="297" t="s">
        <v>1974</v>
      </c>
      <c r="E178" s="268" t="s">
        <v>1975</v>
      </c>
      <c r="F178" s="297" t="s">
        <v>1928</v>
      </c>
      <c r="G178" s="297">
        <v>11279</v>
      </c>
      <c r="H178" s="297">
        <v>5</v>
      </c>
      <c r="I178" s="297">
        <f>(10000*H178)+(1279*0.75*H178)</f>
        <v>54796.25</v>
      </c>
    </row>
    <row r="179" spans="1:9" x14ac:dyDescent="0.3">
      <c r="A179" s="297"/>
      <c r="B179" s="297"/>
      <c r="C179" s="338"/>
      <c r="D179" s="297"/>
      <c r="E179" s="268"/>
      <c r="F179" s="297"/>
      <c r="G179" s="297"/>
      <c r="H179" s="297"/>
      <c r="I179" s="297"/>
    </row>
    <row r="180" spans="1:9" x14ac:dyDescent="0.3">
      <c r="A180" s="297">
        <f t="shared" si="4"/>
        <v>88</v>
      </c>
      <c r="B180" s="297">
        <f t="shared" si="5"/>
        <v>6125</v>
      </c>
      <c r="C180" s="338"/>
      <c r="D180" s="297" t="s">
        <v>1974</v>
      </c>
      <c r="E180" s="268" t="s">
        <v>1975</v>
      </c>
      <c r="F180" s="297" t="s">
        <v>1928</v>
      </c>
      <c r="G180" s="297">
        <v>5782</v>
      </c>
      <c r="H180" s="297">
        <v>5</v>
      </c>
      <c r="I180" s="297">
        <f>G180*H180</f>
        <v>28910</v>
      </c>
    </row>
    <row r="181" spans="1:9" x14ac:dyDescent="0.3">
      <c r="A181" s="297"/>
      <c r="B181" s="297"/>
      <c r="C181" s="338"/>
      <c r="D181" s="297"/>
      <c r="E181" s="268"/>
      <c r="F181" s="297"/>
      <c r="G181" s="297"/>
      <c r="H181" s="297"/>
      <c r="I181" s="297"/>
    </row>
    <row r="182" spans="1:9" x14ac:dyDescent="0.3">
      <c r="A182" s="297">
        <f t="shared" si="4"/>
        <v>89</v>
      </c>
      <c r="B182" s="297">
        <f t="shared" si="5"/>
        <v>6126</v>
      </c>
      <c r="C182" s="338"/>
      <c r="D182" s="297" t="s">
        <v>1974</v>
      </c>
      <c r="E182" s="268" t="s">
        <v>1975</v>
      </c>
      <c r="F182" s="297" t="s">
        <v>1928</v>
      </c>
      <c r="G182" s="297">
        <v>5830</v>
      </c>
      <c r="H182" s="297">
        <v>5</v>
      </c>
      <c r="I182" s="297">
        <f>G182*H182</f>
        <v>29150</v>
      </c>
    </row>
    <row r="183" spans="1:9" x14ac:dyDescent="0.3">
      <c r="A183" s="297"/>
      <c r="B183" s="297"/>
      <c r="C183" s="338"/>
      <c r="D183" s="297"/>
      <c r="E183" s="268"/>
      <c r="F183" s="297"/>
      <c r="G183" s="297"/>
      <c r="H183" s="297"/>
      <c r="I183" s="297"/>
    </row>
    <row r="184" spans="1:9" x14ac:dyDescent="0.3">
      <c r="A184" s="297">
        <f t="shared" si="4"/>
        <v>90</v>
      </c>
      <c r="B184" s="297">
        <f t="shared" si="5"/>
        <v>6127</v>
      </c>
      <c r="C184" s="338"/>
      <c r="D184" s="297" t="s">
        <v>1974</v>
      </c>
      <c r="E184" s="268" t="s">
        <v>1975</v>
      </c>
      <c r="F184" s="297" t="s">
        <v>1928</v>
      </c>
      <c r="G184" s="297">
        <v>12553</v>
      </c>
      <c r="H184" s="297">
        <v>5</v>
      </c>
      <c r="I184" s="297">
        <f>(10000*H184)+(2553*0.75*H184)</f>
        <v>59573.75</v>
      </c>
    </row>
    <row r="185" spans="1:9" x14ac:dyDescent="0.3">
      <c r="A185" s="297"/>
      <c r="B185" s="297"/>
      <c r="C185" s="338"/>
      <c r="D185" s="297"/>
      <c r="E185" s="268"/>
      <c r="F185" s="297"/>
      <c r="G185" s="297"/>
      <c r="H185" s="297"/>
      <c r="I185" s="297"/>
    </row>
    <row r="186" spans="1:9" x14ac:dyDescent="0.3">
      <c r="A186" s="297">
        <f t="shared" si="4"/>
        <v>91</v>
      </c>
      <c r="B186" s="297">
        <f t="shared" si="5"/>
        <v>6128</v>
      </c>
      <c r="C186" s="338"/>
      <c r="D186" s="297" t="s">
        <v>1974</v>
      </c>
      <c r="E186" s="268" t="s">
        <v>1975</v>
      </c>
      <c r="F186" s="297" t="s">
        <v>1928</v>
      </c>
      <c r="G186" s="297">
        <v>13470</v>
      </c>
      <c r="H186" s="297">
        <v>5</v>
      </c>
      <c r="I186" s="297">
        <f>(10000*H186)+(3470*0.75*H186)</f>
        <v>63012.5</v>
      </c>
    </row>
    <row r="187" spans="1:9" x14ac:dyDescent="0.3">
      <c r="A187" s="297"/>
      <c r="B187" s="297"/>
      <c r="C187" s="338"/>
      <c r="D187" s="297"/>
      <c r="E187" s="268"/>
      <c r="F187" s="297"/>
      <c r="G187" s="297"/>
      <c r="H187" s="297"/>
      <c r="I187" s="297"/>
    </row>
    <row r="188" spans="1:9" x14ac:dyDescent="0.3">
      <c r="A188" s="297">
        <f t="shared" si="4"/>
        <v>92</v>
      </c>
      <c r="B188" s="297">
        <f t="shared" si="5"/>
        <v>6129</v>
      </c>
      <c r="C188" s="338"/>
      <c r="D188" s="297" t="s">
        <v>1974</v>
      </c>
      <c r="E188" s="268" t="s">
        <v>1975</v>
      </c>
      <c r="F188" s="297" t="s">
        <v>1928</v>
      </c>
      <c r="G188" s="297">
        <v>13310</v>
      </c>
      <c r="H188" s="297">
        <v>5</v>
      </c>
      <c r="I188" s="297">
        <f>(10000*H188)+(3310*0.75*H188)</f>
        <v>62412.5</v>
      </c>
    </row>
    <row r="189" spans="1:9" x14ac:dyDescent="0.3">
      <c r="A189" s="297"/>
      <c r="B189" s="297"/>
      <c r="C189" s="338"/>
      <c r="D189" s="297"/>
      <c r="E189" s="268"/>
      <c r="F189" s="297"/>
      <c r="G189" s="297"/>
      <c r="H189" s="297"/>
      <c r="I189" s="297"/>
    </row>
    <row r="190" spans="1:9" x14ac:dyDescent="0.3">
      <c r="A190" s="297">
        <f t="shared" si="4"/>
        <v>93</v>
      </c>
      <c r="B190" s="297">
        <f t="shared" si="5"/>
        <v>6130</v>
      </c>
      <c r="C190" s="338"/>
      <c r="D190" s="297" t="s">
        <v>1974</v>
      </c>
      <c r="E190" s="268" t="s">
        <v>1975</v>
      </c>
      <c r="F190" s="297" t="s">
        <v>1928</v>
      </c>
      <c r="G190" s="297">
        <v>16370</v>
      </c>
      <c r="H190" s="297">
        <v>5</v>
      </c>
      <c r="I190" s="297">
        <f>(10000*H190)+(6370*0.75*H190)</f>
        <v>73887.5</v>
      </c>
    </row>
    <row r="191" spans="1:9" x14ac:dyDescent="0.3">
      <c r="A191" s="297"/>
      <c r="B191" s="297"/>
      <c r="C191" s="338"/>
      <c r="D191" s="297"/>
      <c r="E191" s="268"/>
      <c r="F191" s="297"/>
      <c r="G191" s="297"/>
      <c r="H191" s="297"/>
      <c r="I191" s="297"/>
    </row>
    <row r="192" spans="1:9" x14ac:dyDescent="0.3">
      <c r="A192" s="297">
        <f t="shared" si="4"/>
        <v>94</v>
      </c>
      <c r="B192" s="297">
        <f t="shared" si="5"/>
        <v>6131</v>
      </c>
      <c r="C192" s="338"/>
      <c r="D192" s="297" t="s">
        <v>1974</v>
      </c>
      <c r="E192" s="268" t="s">
        <v>1975</v>
      </c>
      <c r="F192" s="297" t="s">
        <v>1928</v>
      </c>
      <c r="G192" s="297">
        <v>17363</v>
      </c>
      <c r="H192" s="297">
        <v>5</v>
      </c>
      <c r="I192" s="297">
        <f>(10000*H192)+(7363*0.75*H192)</f>
        <v>77611.25</v>
      </c>
    </row>
    <row r="193" spans="1:9" x14ac:dyDescent="0.3">
      <c r="A193" s="297"/>
      <c r="B193" s="297"/>
      <c r="C193" s="338"/>
      <c r="D193" s="297"/>
      <c r="E193" s="268"/>
      <c r="F193" s="297"/>
      <c r="G193" s="297"/>
      <c r="H193" s="297"/>
      <c r="I193" s="297"/>
    </row>
    <row r="194" spans="1:9" x14ac:dyDescent="0.3">
      <c r="A194" s="297">
        <f t="shared" si="4"/>
        <v>95</v>
      </c>
      <c r="B194" s="297">
        <f t="shared" si="5"/>
        <v>6132</v>
      </c>
      <c r="C194" s="338"/>
      <c r="D194" s="297" t="s">
        <v>1974</v>
      </c>
      <c r="E194" s="268" t="s">
        <v>1975</v>
      </c>
      <c r="F194" s="297" t="s">
        <v>1928</v>
      </c>
      <c r="G194" s="297">
        <v>16647</v>
      </c>
      <c r="H194" s="297">
        <v>5</v>
      </c>
      <c r="I194" s="297">
        <f>(10000*H194)+(6647*0.75*H194)</f>
        <v>74926.25</v>
      </c>
    </row>
    <row r="195" spans="1:9" x14ac:dyDescent="0.3">
      <c r="A195" s="297"/>
      <c r="B195" s="297"/>
      <c r="C195" s="338"/>
      <c r="D195" s="297"/>
      <c r="E195" s="268"/>
      <c r="F195" s="297"/>
      <c r="G195" s="297"/>
      <c r="H195" s="297"/>
      <c r="I195" s="297"/>
    </row>
    <row r="196" spans="1:9" x14ac:dyDescent="0.3">
      <c r="A196" s="297">
        <f t="shared" si="4"/>
        <v>96</v>
      </c>
      <c r="B196" s="297">
        <f t="shared" si="5"/>
        <v>6133</v>
      </c>
      <c r="C196" s="338"/>
      <c r="D196" s="297" t="s">
        <v>1974</v>
      </c>
      <c r="E196" s="268" t="s">
        <v>1975</v>
      </c>
      <c r="F196" s="297" t="s">
        <v>1928</v>
      </c>
      <c r="G196" s="297">
        <v>13977</v>
      </c>
      <c r="H196" s="297">
        <v>5</v>
      </c>
      <c r="I196" s="297">
        <f>(10000*H196)+(3977*0.75*H196)</f>
        <v>64913.75</v>
      </c>
    </row>
    <row r="197" spans="1:9" x14ac:dyDescent="0.3">
      <c r="A197" s="297"/>
      <c r="B197" s="297"/>
      <c r="C197" s="338"/>
      <c r="D197" s="297"/>
      <c r="E197" s="268"/>
      <c r="F197" s="297"/>
      <c r="G197" s="297"/>
      <c r="H197" s="297"/>
      <c r="I197" s="297"/>
    </row>
    <row r="198" spans="1:9" x14ac:dyDescent="0.3">
      <c r="A198" s="297">
        <f t="shared" si="4"/>
        <v>97</v>
      </c>
      <c r="B198" s="297">
        <f t="shared" si="5"/>
        <v>6134</v>
      </c>
      <c r="C198" s="338"/>
      <c r="D198" s="297" t="s">
        <v>1974</v>
      </c>
      <c r="E198" s="268" t="s">
        <v>1975</v>
      </c>
      <c r="F198" s="297" t="s">
        <v>1928</v>
      </c>
      <c r="G198" s="297">
        <v>10527</v>
      </c>
      <c r="H198" s="297">
        <v>5</v>
      </c>
      <c r="I198" s="297">
        <f>(10000*H198)+(527*0.75*H198)</f>
        <v>51976.25</v>
      </c>
    </row>
    <row r="199" spans="1:9" x14ac:dyDescent="0.3">
      <c r="A199" s="297"/>
      <c r="B199" s="297"/>
      <c r="C199" s="338"/>
      <c r="D199" s="297"/>
      <c r="E199" s="268"/>
      <c r="F199" s="297"/>
      <c r="G199" s="297"/>
      <c r="H199" s="297"/>
      <c r="I199" s="297"/>
    </row>
    <row r="200" spans="1:9" x14ac:dyDescent="0.3">
      <c r="A200" s="297">
        <f t="shared" si="4"/>
        <v>98</v>
      </c>
      <c r="B200" s="297">
        <f t="shared" si="5"/>
        <v>6135</v>
      </c>
      <c r="C200" s="338"/>
      <c r="D200" s="297" t="s">
        <v>1974</v>
      </c>
      <c r="E200" s="268" t="s">
        <v>1975</v>
      </c>
      <c r="F200" s="297" t="s">
        <v>1928</v>
      </c>
      <c r="G200" s="297">
        <v>13977</v>
      </c>
      <c r="H200" s="297">
        <v>5</v>
      </c>
      <c r="I200" s="297">
        <f>(10000*H200)+(3977*0.75*H200)</f>
        <v>64913.75</v>
      </c>
    </row>
    <row r="201" spans="1:9" x14ac:dyDescent="0.3">
      <c r="A201" s="297"/>
      <c r="B201" s="297"/>
      <c r="C201" s="338"/>
      <c r="D201" s="297"/>
      <c r="E201" s="268"/>
      <c r="F201" s="297"/>
      <c r="G201" s="297"/>
      <c r="H201" s="297"/>
      <c r="I201" s="297"/>
    </row>
    <row r="202" spans="1:9" x14ac:dyDescent="0.3">
      <c r="A202" s="297">
        <f t="shared" ref="A202:A234" si="6">A200+1</f>
        <v>99</v>
      </c>
      <c r="B202" s="297">
        <f t="shared" si="5"/>
        <v>6136</v>
      </c>
      <c r="C202" s="338"/>
      <c r="D202" s="297" t="s">
        <v>1974</v>
      </c>
      <c r="E202" s="268" t="s">
        <v>1975</v>
      </c>
      <c r="F202" s="297" t="s">
        <v>1928</v>
      </c>
      <c r="G202" s="297">
        <v>10527</v>
      </c>
      <c r="H202" s="297">
        <v>5</v>
      </c>
      <c r="I202" s="297">
        <f>(10000*H202)+(527*0.75*H202)</f>
        <v>51976.25</v>
      </c>
    </row>
    <row r="203" spans="1:9" x14ac:dyDescent="0.3">
      <c r="A203" s="297"/>
      <c r="B203" s="297"/>
      <c r="C203" s="338"/>
      <c r="D203" s="297"/>
      <c r="E203" s="268"/>
      <c r="F203" s="297"/>
      <c r="G203" s="297"/>
      <c r="H203" s="297"/>
      <c r="I203" s="297"/>
    </row>
    <row r="204" spans="1:9" x14ac:dyDescent="0.3">
      <c r="A204" s="297">
        <f t="shared" si="6"/>
        <v>100</v>
      </c>
      <c r="B204" s="297">
        <f t="shared" ref="B204:B224" si="7">B202+1</f>
        <v>6137</v>
      </c>
      <c r="C204" s="338"/>
      <c r="D204" s="297" t="s">
        <v>1974</v>
      </c>
      <c r="E204" s="268" t="s">
        <v>1975</v>
      </c>
      <c r="F204" s="297" t="s">
        <v>1928</v>
      </c>
      <c r="G204" s="297">
        <v>5957</v>
      </c>
      <c r="H204" s="297">
        <v>5</v>
      </c>
      <c r="I204" s="297">
        <f t="shared" ref="I204:I216" si="8">G204*H204</f>
        <v>29785</v>
      </c>
    </row>
    <row r="205" spans="1:9" x14ac:dyDescent="0.3">
      <c r="A205" s="297"/>
      <c r="B205" s="297"/>
      <c r="C205" s="338"/>
      <c r="D205" s="297"/>
      <c r="E205" s="268"/>
      <c r="F205" s="297"/>
      <c r="G205" s="297"/>
      <c r="H205" s="297"/>
      <c r="I205" s="297"/>
    </row>
    <row r="206" spans="1:9" x14ac:dyDescent="0.3">
      <c r="A206" s="297">
        <f t="shared" si="6"/>
        <v>101</v>
      </c>
      <c r="B206" s="297">
        <f t="shared" si="7"/>
        <v>6138</v>
      </c>
      <c r="C206" s="338"/>
      <c r="D206" s="297" t="s">
        <v>1974</v>
      </c>
      <c r="E206" s="268" t="s">
        <v>1975</v>
      </c>
      <c r="F206" s="297" t="s">
        <v>1928</v>
      </c>
      <c r="G206" s="297">
        <v>6888</v>
      </c>
      <c r="H206" s="297">
        <v>5</v>
      </c>
      <c r="I206" s="297">
        <f t="shared" si="8"/>
        <v>34440</v>
      </c>
    </row>
    <row r="207" spans="1:9" x14ac:dyDescent="0.3">
      <c r="A207" s="297"/>
      <c r="B207" s="297"/>
      <c r="C207" s="338"/>
      <c r="D207" s="297"/>
      <c r="E207" s="268"/>
      <c r="F207" s="297"/>
      <c r="G207" s="297"/>
      <c r="H207" s="297"/>
      <c r="I207" s="297"/>
    </row>
    <row r="208" spans="1:9" x14ac:dyDescent="0.3">
      <c r="A208" s="297">
        <f t="shared" si="6"/>
        <v>102</v>
      </c>
      <c r="B208" s="297">
        <f t="shared" si="7"/>
        <v>6139</v>
      </c>
      <c r="C208" s="338"/>
      <c r="D208" s="297" t="s">
        <v>1974</v>
      </c>
      <c r="E208" s="268" t="s">
        <v>1975</v>
      </c>
      <c r="F208" s="297" t="s">
        <v>1928</v>
      </c>
      <c r="G208" s="297">
        <v>7317</v>
      </c>
      <c r="H208" s="297">
        <v>5</v>
      </c>
      <c r="I208" s="297">
        <f t="shared" si="8"/>
        <v>36585</v>
      </c>
    </row>
    <row r="209" spans="1:9" x14ac:dyDescent="0.3">
      <c r="A209" s="297"/>
      <c r="B209" s="297"/>
      <c r="C209" s="338"/>
      <c r="D209" s="297"/>
      <c r="E209" s="268"/>
      <c r="F209" s="297"/>
      <c r="G209" s="297"/>
      <c r="H209" s="297"/>
      <c r="I209" s="297"/>
    </row>
    <row r="210" spans="1:9" x14ac:dyDescent="0.3">
      <c r="A210" s="297">
        <f t="shared" si="6"/>
        <v>103</v>
      </c>
      <c r="B210" s="297">
        <f t="shared" si="7"/>
        <v>6140</v>
      </c>
      <c r="C210" s="338"/>
      <c r="D210" s="297" t="s">
        <v>1974</v>
      </c>
      <c r="E210" s="268" t="s">
        <v>1975</v>
      </c>
      <c r="F210" s="297" t="s">
        <v>1928</v>
      </c>
      <c r="G210" s="297">
        <v>7801</v>
      </c>
      <c r="H210" s="297">
        <v>5</v>
      </c>
      <c r="I210" s="297">
        <f t="shared" si="8"/>
        <v>39005</v>
      </c>
    </row>
    <row r="211" spans="1:9" x14ac:dyDescent="0.3">
      <c r="A211" s="297"/>
      <c r="B211" s="297"/>
      <c r="C211" s="338"/>
      <c r="D211" s="297"/>
      <c r="E211" s="268"/>
      <c r="F211" s="297"/>
      <c r="G211" s="297"/>
      <c r="H211" s="297"/>
      <c r="I211" s="297"/>
    </row>
    <row r="212" spans="1:9" x14ac:dyDescent="0.3">
      <c r="A212" s="297">
        <f t="shared" si="6"/>
        <v>104</v>
      </c>
      <c r="B212" s="297">
        <f t="shared" si="7"/>
        <v>6141</v>
      </c>
      <c r="C212" s="338"/>
      <c r="D212" s="297" t="s">
        <v>1974</v>
      </c>
      <c r="E212" s="268" t="s">
        <v>1975</v>
      </c>
      <c r="F212" s="297" t="s">
        <v>1928</v>
      </c>
      <c r="G212" s="297">
        <v>10150</v>
      </c>
      <c r="H212" s="297">
        <v>5</v>
      </c>
      <c r="I212" s="297">
        <f>(10000*H212)+(150*H212*0.75)</f>
        <v>50562.5</v>
      </c>
    </row>
    <row r="213" spans="1:9" x14ac:dyDescent="0.3">
      <c r="A213" s="297"/>
      <c r="B213" s="297"/>
      <c r="C213" s="338"/>
      <c r="D213" s="297"/>
      <c r="E213" s="268"/>
      <c r="F213" s="297"/>
      <c r="G213" s="297"/>
      <c r="H213" s="297"/>
      <c r="I213" s="297"/>
    </row>
    <row r="214" spans="1:9" x14ac:dyDescent="0.3">
      <c r="A214" s="297">
        <f t="shared" si="6"/>
        <v>105</v>
      </c>
      <c r="B214" s="297">
        <f t="shared" si="7"/>
        <v>6142</v>
      </c>
      <c r="C214" s="338"/>
      <c r="D214" s="297" t="s">
        <v>1974</v>
      </c>
      <c r="E214" s="268" t="s">
        <v>1975</v>
      </c>
      <c r="F214" s="297" t="s">
        <v>1928</v>
      </c>
      <c r="G214" s="297">
        <v>6153</v>
      </c>
      <c r="H214" s="297">
        <v>5</v>
      </c>
      <c r="I214" s="297">
        <f t="shared" si="8"/>
        <v>30765</v>
      </c>
    </row>
    <row r="215" spans="1:9" x14ac:dyDescent="0.3">
      <c r="A215" s="297"/>
      <c r="B215" s="297"/>
      <c r="C215" s="338"/>
      <c r="D215" s="297"/>
      <c r="E215" s="268"/>
      <c r="F215" s="297"/>
      <c r="G215" s="297"/>
      <c r="H215" s="297"/>
      <c r="I215" s="297"/>
    </row>
    <row r="216" spans="1:9" x14ac:dyDescent="0.3">
      <c r="A216" s="297">
        <f t="shared" si="6"/>
        <v>106</v>
      </c>
      <c r="B216" s="297">
        <f t="shared" si="7"/>
        <v>6143</v>
      </c>
      <c r="C216" s="338"/>
      <c r="D216" s="297" t="s">
        <v>1974</v>
      </c>
      <c r="E216" s="268" t="s">
        <v>1975</v>
      </c>
      <c r="F216" s="297" t="s">
        <v>1928</v>
      </c>
      <c r="G216" s="297">
        <v>6462</v>
      </c>
      <c r="H216" s="297">
        <v>5</v>
      </c>
      <c r="I216" s="297">
        <f t="shared" si="8"/>
        <v>32310</v>
      </c>
    </row>
    <row r="217" spans="1:9" x14ac:dyDescent="0.3">
      <c r="A217" s="297"/>
      <c r="B217" s="297"/>
      <c r="C217" s="338"/>
      <c r="D217" s="297"/>
      <c r="E217" s="268"/>
      <c r="F217" s="297"/>
      <c r="G217" s="297"/>
      <c r="H217" s="297"/>
      <c r="I217" s="297"/>
    </row>
    <row r="218" spans="1:9" x14ac:dyDescent="0.3">
      <c r="A218" s="297">
        <f t="shared" si="6"/>
        <v>107</v>
      </c>
      <c r="B218" s="297">
        <f t="shared" si="7"/>
        <v>6144</v>
      </c>
      <c r="C218" s="338"/>
      <c r="D218" s="297" t="s">
        <v>1974</v>
      </c>
      <c r="E218" s="268" t="s">
        <v>1975</v>
      </c>
      <c r="F218" s="297" t="s">
        <v>1928</v>
      </c>
      <c r="G218" s="297">
        <v>51937</v>
      </c>
      <c r="H218" s="297">
        <v>5</v>
      </c>
      <c r="I218" s="311">
        <f>(10000*H218)+(10000*0.75*H218)+(10000*0.5*H218)+(21937*0.25*H218)</f>
        <v>139921.25</v>
      </c>
    </row>
    <row r="219" spans="1:9" x14ac:dyDescent="0.3">
      <c r="A219" s="297"/>
      <c r="B219" s="297"/>
      <c r="C219" s="338"/>
      <c r="D219" s="297"/>
      <c r="E219" s="268"/>
      <c r="F219" s="297"/>
      <c r="G219" s="297"/>
      <c r="H219" s="297"/>
      <c r="I219" s="311"/>
    </row>
    <row r="220" spans="1:9" x14ac:dyDescent="0.3">
      <c r="A220" s="297">
        <f t="shared" si="6"/>
        <v>108</v>
      </c>
      <c r="B220" s="297">
        <f t="shared" si="7"/>
        <v>6145</v>
      </c>
      <c r="C220" s="338"/>
      <c r="D220" s="297" t="s">
        <v>1974</v>
      </c>
      <c r="E220" s="268" t="s">
        <v>1975</v>
      </c>
      <c r="F220" s="297" t="s">
        <v>1928</v>
      </c>
      <c r="G220" s="297">
        <v>106250</v>
      </c>
      <c r="H220" s="297">
        <v>5</v>
      </c>
      <c r="I220" s="311">
        <f>(10000*H220)+(10000*0.75*H220)+(10000*0.5*H220)+(76250*0.25*H220)</f>
        <v>207812.5</v>
      </c>
    </row>
    <row r="221" spans="1:9" x14ac:dyDescent="0.3">
      <c r="A221" s="297"/>
      <c r="B221" s="297"/>
      <c r="C221" s="338"/>
      <c r="D221" s="297"/>
      <c r="E221" s="268"/>
      <c r="F221" s="297"/>
      <c r="G221" s="297"/>
      <c r="H221" s="297"/>
      <c r="I221" s="311"/>
    </row>
    <row r="222" spans="1:9" x14ac:dyDescent="0.3">
      <c r="A222" s="297">
        <f t="shared" si="6"/>
        <v>109</v>
      </c>
      <c r="B222" s="297">
        <v>6167</v>
      </c>
      <c r="C222" s="338"/>
      <c r="D222" s="297" t="s">
        <v>1974</v>
      </c>
      <c r="E222" s="268" t="s">
        <v>1975</v>
      </c>
      <c r="F222" s="297" t="s">
        <v>1928</v>
      </c>
      <c r="G222" s="297">
        <v>81095</v>
      </c>
      <c r="H222" s="297">
        <v>5</v>
      </c>
      <c r="I222" s="311">
        <f>(10000*H222)+(10000*0.75*H222)+(10000*0.5*H222)+(51095*0.25*H222)</f>
        <v>176368.75</v>
      </c>
    </row>
    <row r="223" spans="1:9" x14ac:dyDescent="0.3">
      <c r="A223" s="297"/>
      <c r="B223" s="297"/>
      <c r="C223" s="338"/>
      <c r="D223" s="297"/>
      <c r="E223" s="268"/>
      <c r="F223" s="297"/>
      <c r="G223" s="297"/>
      <c r="H223" s="297"/>
      <c r="I223" s="311"/>
    </row>
    <row r="224" spans="1:9" x14ac:dyDescent="0.3">
      <c r="A224" s="297">
        <f t="shared" si="6"/>
        <v>110</v>
      </c>
      <c r="B224" s="297">
        <f t="shared" si="7"/>
        <v>6168</v>
      </c>
      <c r="C224" s="338"/>
      <c r="D224" s="297" t="s">
        <v>1974</v>
      </c>
      <c r="E224" s="268" t="s">
        <v>1975</v>
      </c>
      <c r="F224" s="297" t="s">
        <v>1928</v>
      </c>
      <c r="G224" s="297">
        <v>10319</v>
      </c>
      <c r="H224" s="297">
        <v>5</v>
      </c>
      <c r="I224" s="311">
        <f>(10000*H224)+(319*0.75*H224)</f>
        <v>51196.25</v>
      </c>
    </row>
    <row r="225" spans="1:9" x14ac:dyDescent="0.3">
      <c r="A225" s="297"/>
      <c r="B225" s="297"/>
      <c r="C225" s="338"/>
      <c r="D225" s="297"/>
      <c r="E225" s="268"/>
      <c r="F225" s="297"/>
      <c r="G225" s="297"/>
      <c r="H225" s="297"/>
      <c r="I225" s="311"/>
    </row>
    <row r="226" spans="1:9" ht="28.8" x14ac:dyDescent="0.3">
      <c r="A226" s="297">
        <f t="shared" si="6"/>
        <v>111</v>
      </c>
      <c r="B226" s="268" t="s">
        <v>1969</v>
      </c>
      <c r="C226" s="292"/>
      <c r="D226" s="297" t="s">
        <v>1974</v>
      </c>
      <c r="E226" s="268" t="s">
        <v>1975</v>
      </c>
      <c r="F226" s="297" t="s">
        <v>1928</v>
      </c>
      <c r="G226" s="297">
        <v>7201362</v>
      </c>
      <c r="H226" s="297">
        <v>5</v>
      </c>
      <c r="I226" s="311">
        <f>(10000*H226)+(10000*0.75*H226)+(10000*0.5*H226)+(7171362*0.25*H226)</f>
        <v>9076702.5</v>
      </c>
    </row>
    <row r="227" spans="1:9" x14ac:dyDescent="0.3">
      <c r="A227" s="297"/>
      <c r="B227" s="268"/>
      <c r="C227" s="292"/>
      <c r="D227" s="297"/>
      <c r="E227" s="268"/>
      <c r="F227" s="297"/>
      <c r="G227" s="297"/>
      <c r="H227" s="297"/>
      <c r="I227" s="311"/>
    </row>
    <row r="228" spans="1:9" ht="43.2" x14ac:dyDescent="0.3">
      <c r="A228" s="297">
        <f t="shared" si="6"/>
        <v>112</v>
      </c>
      <c r="B228" s="268" t="s">
        <v>1970</v>
      </c>
      <c r="C228" s="292"/>
      <c r="D228" s="297" t="s">
        <v>1974</v>
      </c>
      <c r="E228" s="268" t="s">
        <v>1975</v>
      </c>
      <c r="F228" s="297" t="s">
        <v>1928</v>
      </c>
      <c r="G228" s="297">
        <v>357004</v>
      </c>
      <c r="H228" s="297">
        <v>5</v>
      </c>
      <c r="I228" s="311">
        <f>(10000*H228)+(10000*0.75*H228)+(10000*0.5*H228)+(327004*0.25*H228)</f>
        <v>521255</v>
      </c>
    </row>
    <row r="229" spans="1:9" x14ac:dyDescent="0.3">
      <c r="A229" s="297"/>
      <c r="B229" s="268"/>
      <c r="C229" s="292"/>
      <c r="D229" s="297"/>
      <c r="E229" s="268"/>
      <c r="F229" s="297"/>
      <c r="G229" s="297"/>
      <c r="H229" s="297"/>
      <c r="I229" s="311"/>
    </row>
    <row r="230" spans="1:9" ht="28.8" x14ac:dyDescent="0.3">
      <c r="A230" s="297">
        <f t="shared" si="6"/>
        <v>113</v>
      </c>
      <c r="B230" s="268" t="s">
        <v>1971</v>
      </c>
      <c r="C230" s="292">
        <v>25312900</v>
      </c>
      <c r="D230" s="297" t="s">
        <v>1974</v>
      </c>
      <c r="E230" s="268" t="s">
        <v>1975</v>
      </c>
      <c r="F230" s="297" t="s">
        <v>1928</v>
      </c>
      <c r="G230" s="297">
        <v>4113800</v>
      </c>
      <c r="H230" s="297">
        <v>5</v>
      </c>
      <c r="I230" s="311">
        <f>(10000*H230)+(10000*0.75*H230)+(10000*0.5*H230)+(4083300*0.25*H230)</f>
        <v>5216625</v>
      </c>
    </row>
    <row r="231" spans="1:9" x14ac:dyDescent="0.3">
      <c r="A231" s="297"/>
      <c r="B231" s="268"/>
      <c r="C231" s="292"/>
      <c r="D231" s="297"/>
      <c r="E231" s="268"/>
      <c r="F231" s="297"/>
      <c r="G231" s="297"/>
      <c r="H231" s="297"/>
      <c r="I231" s="311"/>
    </row>
    <row r="232" spans="1:9" ht="43.2" x14ac:dyDescent="0.3">
      <c r="A232" s="297">
        <f t="shared" si="6"/>
        <v>114</v>
      </c>
      <c r="B232" s="268" t="s">
        <v>1972</v>
      </c>
      <c r="C232" s="292">
        <v>25312300</v>
      </c>
      <c r="D232" s="297" t="s">
        <v>1974</v>
      </c>
      <c r="E232" s="268" t="s">
        <v>1975</v>
      </c>
      <c r="F232" s="297" t="s">
        <v>1928</v>
      </c>
      <c r="G232" s="297">
        <v>1214347</v>
      </c>
      <c r="H232" s="297">
        <v>5</v>
      </c>
      <c r="I232" s="311">
        <f>(10000*H232)+(10000*0.75*H232)+(10000*0.5*H232)+(1184347*0.25*H232)</f>
        <v>1592933.75</v>
      </c>
    </row>
    <row r="233" spans="1:9" x14ac:dyDescent="0.3">
      <c r="A233" s="297"/>
      <c r="B233" s="268"/>
      <c r="C233" s="292"/>
      <c r="D233" s="297"/>
      <c r="E233" s="268"/>
      <c r="F233" s="297"/>
      <c r="G233" s="297"/>
      <c r="H233" s="297"/>
      <c r="I233" s="311"/>
    </row>
    <row r="234" spans="1:9" ht="28.8" x14ac:dyDescent="0.3">
      <c r="A234" s="297">
        <f t="shared" si="6"/>
        <v>115</v>
      </c>
      <c r="B234" s="268" t="s">
        <v>1973</v>
      </c>
      <c r="C234" s="292"/>
      <c r="D234" s="297" t="s">
        <v>1974</v>
      </c>
      <c r="E234" s="268" t="s">
        <v>1975</v>
      </c>
      <c r="F234" s="297" t="s">
        <v>1928</v>
      </c>
      <c r="G234" s="297">
        <v>1011702</v>
      </c>
      <c r="H234" s="297">
        <v>5</v>
      </c>
      <c r="I234" s="311">
        <f>(10000*H234)+(10000*0.75*H234)+(10000*0.5*H234)+(981702*0.25*H234)</f>
        <v>1339627.5</v>
      </c>
    </row>
    <row r="235" spans="1:9" x14ac:dyDescent="0.3">
      <c r="A235" s="297"/>
      <c r="B235" s="297"/>
      <c r="C235" s="338"/>
      <c r="D235" s="297"/>
      <c r="E235" s="297"/>
      <c r="F235" s="297"/>
      <c r="G235" s="297"/>
      <c r="H235" s="297"/>
      <c r="I235" s="297"/>
    </row>
    <row r="236" spans="1:9" x14ac:dyDescent="0.3">
      <c r="A236" s="315"/>
      <c r="B236" s="315" t="s">
        <v>1992</v>
      </c>
      <c r="C236" s="315"/>
      <c r="D236" s="315"/>
      <c r="E236" s="315"/>
      <c r="F236" s="315"/>
      <c r="G236" s="315"/>
      <c r="H236" s="315"/>
      <c r="I236" s="308">
        <f>SUM(I6:I235)</f>
        <v>24596977.5</v>
      </c>
    </row>
    <row r="244" spans="5:5" x14ac:dyDescent="0.3">
      <c r="E244" s="309"/>
    </row>
  </sheetData>
  <printOptions gridLines="1"/>
  <pageMargins left="0.7" right="0.7" top="0.75" bottom="0.75" header="0.3" footer="0.3"/>
  <pageSetup paperSize="9" orientation="landscape" r:id="rId1"/>
  <headerFooter>
    <oddHeader>&amp;LMUTARE CITY COUNCIL GENERAL VALUATION ROLL 2019</oddHeader>
    <oddFooter>&amp;CPage &amp;P of &amp;N&amp;RHEAVY INDUSTRIAL STANDS</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9"/>
  <sheetViews>
    <sheetView workbookViewId="0">
      <selection activeCell="I21" sqref="I21"/>
    </sheetView>
  </sheetViews>
  <sheetFormatPr defaultRowHeight="14.4" x14ac:dyDescent="0.3"/>
  <sheetData>
    <row r="3" spans="1:1" x14ac:dyDescent="0.3">
      <c r="A3" s="25" t="s">
        <v>1979</v>
      </c>
    </row>
    <row r="4" spans="1:1" x14ac:dyDescent="0.3">
      <c r="A4" s="25" t="s">
        <v>1980</v>
      </c>
    </row>
    <row r="5" spans="1:1" x14ac:dyDescent="0.3">
      <c r="A5" s="25" t="s">
        <v>1981</v>
      </c>
    </row>
    <row r="6" spans="1:1" x14ac:dyDescent="0.3">
      <c r="A6" s="25" t="s">
        <v>1982</v>
      </c>
    </row>
    <row r="7" spans="1:1" x14ac:dyDescent="0.3">
      <c r="A7" s="25" t="s">
        <v>1983</v>
      </c>
    </row>
    <row r="8" spans="1:1" x14ac:dyDescent="0.3">
      <c r="A8" s="25" t="s">
        <v>1984</v>
      </c>
    </row>
    <row r="9" spans="1:1" x14ac:dyDescent="0.3">
      <c r="A9" s="25" t="s">
        <v>1985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7" sqref="H17"/>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MERGED HEAVY IND</vt:lpstr>
      <vt:lpstr>SUMMARY</vt:lpstr>
      <vt:lpstr>VACANT STANDS HEAVY INDUSTRY</vt:lpstr>
      <vt:lpstr>Sheet1</vt:lpstr>
      <vt:lpstr>Sheet2</vt:lpstr>
      <vt:lpstr>'MERGED HEAVY IND'!Print_Area</vt:lpstr>
      <vt:lpstr>SUMMARY!Print_Area</vt:lpstr>
      <vt:lpstr>'VACANT STANDS HEAVY INDUSTRY'!Print_Area</vt:lpstr>
      <vt:lpstr>'MERGED HEAVY IND'!Print_Titles</vt:lpstr>
      <vt:lpstr>SUMMARY!Print_Titles</vt:lpstr>
      <vt:lpstr>'VACANT STANDS HEAVY INDUSTRY'!Print_Titles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mupasiri agnes</dc:creator>
  <cp:lastModifiedBy>Blessing K. Chafesuka</cp:lastModifiedBy>
  <cp:lastPrinted>2019-06-11T14:56:13Z</cp:lastPrinted>
  <dcterms:created xsi:type="dcterms:W3CDTF">2017-01-10T06:29:23Z</dcterms:created>
  <dcterms:modified xsi:type="dcterms:W3CDTF">2021-10-29T11:19:20Z</dcterms:modified>
</cp:coreProperties>
</file>