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3.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4.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hidePivotFieldList="1" defaultThemeVersion="202300"/>
  <mc:AlternateContent xmlns:mc="http://schemas.openxmlformats.org/markup-compatibility/2006">
    <mc:Choice Requires="x15">
      <x15ac:absPath xmlns:x15ac="http://schemas.microsoft.com/office/spreadsheetml/2010/11/ac" url="C:\Users\DELL\OneDrive\qfin materials\"/>
    </mc:Choice>
  </mc:AlternateContent>
  <xr:revisionPtr revIDLastSave="0" documentId="13_ncr:1_{210BC83B-A987-4BD5-9D49-1FA7E2B8A26B}" xr6:coauthVersionLast="47" xr6:coauthVersionMax="47" xr10:uidLastSave="{00000000-0000-0000-0000-000000000000}"/>
  <bookViews>
    <workbookView xWindow="-108" yWindow="-108" windowWidth="23256" windowHeight="12456" activeTab="5" xr2:uid="{D0EFB86E-FCCD-472E-A091-818FFBE2ECC9}"/>
  </bookViews>
  <sheets>
    <sheet name="Dashboard" sheetId="3" r:id="rId1"/>
    <sheet name="Valuation" sheetId="1" r:id="rId2"/>
    <sheet name="Data copy" sheetId="2" r:id="rId3"/>
    <sheet name="tables &amp; charts" sheetId="13" r:id="rId4"/>
    <sheet name="rec chart" sheetId="16" r:id="rId5"/>
    <sheet name="Contact" sheetId="17" r:id="rId6"/>
  </sheets>
  <definedNames>
    <definedName name="Slicer_year1">#N/A</definedName>
  </definedNames>
  <calcPr calcId="191029"/>
  <pivotCaches>
    <pivotCache cacheId="0"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53" i="1" l="1"/>
  <c r="K54" i="1" s="1"/>
  <c r="K55" i="1" s="1"/>
  <c r="K56" i="1" s="1"/>
  <c r="K57" i="1" s="1"/>
  <c r="L52" i="1"/>
  <c r="M52" i="1" s="1"/>
  <c r="N52" i="1" s="1"/>
  <c r="O52" i="1" s="1"/>
  <c r="P52" i="1" s="1"/>
  <c r="K46" i="1"/>
  <c r="K47" i="1" s="1"/>
  <c r="K48" i="1" s="1"/>
  <c r="K49" i="1" s="1"/>
  <c r="K50" i="1" s="1"/>
  <c r="L45" i="1"/>
  <c r="M45" i="1" s="1"/>
  <c r="N45" i="1" s="1"/>
  <c r="O45" i="1" s="1"/>
  <c r="P45" i="1" s="1"/>
  <c r="K31" i="2"/>
  <c r="K32" i="2" s="1"/>
  <c r="K33" i="2" s="1"/>
  <c r="K34" i="2" s="1"/>
  <c r="K35" i="2" s="1"/>
  <c r="B54" i="2"/>
  <c r="L30" i="2"/>
  <c r="M30" i="2" s="1"/>
  <c r="N30" i="2" s="1"/>
  <c r="O30" i="2" s="1"/>
  <c r="P30" i="2" s="1"/>
  <c r="G56" i="2"/>
  <c r="F56" i="2"/>
  <c r="E56" i="2"/>
  <c r="D56" i="2"/>
  <c r="C56" i="2"/>
  <c r="B56" i="2"/>
  <c r="G53" i="2"/>
  <c r="G57" i="2" s="1"/>
  <c r="F53" i="2"/>
  <c r="F57" i="2" s="1"/>
  <c r="E53" i="2"/>
  <c r="E57" i="2" s="1"/>
  <c r="D53" i="2"/>
  <c r="D57" i="2" s="1"/>
  <c r="C53" i="2"/>
  <c r="C57" i="2" s="1"/>
  <c r="B53" i="2"/>
  <c r="C32" i="2"/>
  <c r="B32" i="2"/>
  <c r="J24" i="2"/>
  <c r="I24" i="2"/>
  <c r="H24" i="2"/>
  <c r="G24" i="2"/>
  <c r="F24" i="2"/>
  <c r="E24" i="2"/>
  <c r="D24" i="2"/>
  <c r="C24" i="2"/>
  <c r="B24" i="2"/>
  <c r="F23" i="2"/>
  <c r="E23" i="2"/>
  <c r="D23" i="2"/>
  <c r="C23" i="2"/>
  <c r="B23" i="2"/>
  <c r="K21" i="2"/>
  <c r="J21" i="2"/>
  <c r="I21" i="2"/>
  <c r="H21" i="2"/>
  <c r="G21" i="2"/>
  <c r="K20" i="2"/>
  <c r="J20" i="2"/>
  <c r="I20" i="2"/>
  <c r="H20" i="2"/>
  <c r="G20" i="2"/>
  <c r="K18" i="2"/>
  <c r="J18" i="2"/>
  <c r="I18" i="2"/>
  <c r="H18" i="2"/>
  <c r="G18" i="2"/>
  <c r="K16" i="2"/>
  <c r="J16" i="2"/>
  <c r="I16" i="2"/>
  <c r="H16" i="2"/>
  <c r="G16" i="2"/>
  <c r="K14" i="2"/>
  <c r="J14" i="2"/>
  <c r="I14" i="2"/>
  <c r="H14" i="2"/>
  <c r="G14" i="2"/>
  <c r="K9" i="2"/>
  <c r="J9" i="2"/>
  <c r="I9" i="2"/>
  <c r="H9" i="2"/>
  <c r="G9" i="2"/>
  <c r="K7" i="2"/>
  <c r="J7" i="2"/>
  <c r="I7" i="2"/>
  <c r="H7" i="2"/>
  <c r="G7" i="2"/>
  <c r="K5" i="2"/>
  <c r="J5" i="2"/>
  <c r="I5" i="2"/>
  <c r="H5" i="2"/>
  <c r="G5" i="2"/>
  <c r="G56" i="1"/>
  <c r="F56" i="1"/>
  <c r="E56" i="1"/>
  <c r="D56" i="1"/>
  <c r="C56" i="1"/>
  <c r="B56" i="1"/>
  <c r="B54" i="1"/>
  <c r="G53" i="1"/>
  <c r="G57" i="1" s="1"/>
  <c r="F53" i="1"/>
  <c r="F57" i="1" s="1"/>
  <c r="E53" i="1"/>
  <c r="E57" i="1" s="1"/>
  <c r="D53" i="1"/>
  <c r="D57" i="1" s="1"/>
  <c r="C53" i="1"/>
  <c r="C57" i="1" s="1"/>
  <c r="B53" i="1"/>
  <c r="K32" i="1"/>
  <c r="K33" i="1" s="1"/>
  <c r="K34" i="1" s="1"/>
  <c r="N29" i="1"/>
  <c r="O29" i="1" s="1"/>
  <c r="P29" i="1" s="1"/>
  <c r="J24" i="1"/>
  <c r="I24" i="1"/>
  <c r="H24" i="1"/>
  <c r="G24" i="1"/>
  <c r="F24" i="1"/>
  <c r="E24" i="1"/>
  <c r="D24" i="1"/>
  <c r="C24" i="1"/>
  <c r="B24" i="1"/>
  <c r="F23" i="1"/>
  <c r="E23" i="1"/>
  <c r="D23" i="1"/>
  <c r="C23" i="1"/>
  <c r="B23" i="1"/>
  <c r="K21" i="1"/>
  <c r="J21" i="1"/>
  <c r="I21" i="1"/>
  <c r="H21" i="1"/>
  <c r="G21" i="1"/>
  <c r="K20" i="1"/>
  <c r="J20" i="1"/>
  <c r="I20" i="1"/>
  <c r="H20" i="1"/>
  <c r="G20" i="1"/>
  <c r="K18" i="1"/>
  <c r="J18" i="1"/>
  <c r="I18" i="1"/>
  <c r="H18" i="1"/>
  <c r="G18" i="1"/>
  <c r="K16" i="1"/>
  <c r="J16" i="1"/>
  <c r="I16" i="1"/>
  <c r="H16" i="1"/>
  <c r="G16" i="1"/>
  <c r="K14" i="1"/>
  <c r="J14" i="1"/>
  <c r="I14" i="1"/>
  <c r="H14" i="1"/>
  <c r="G14" i="1"/>
  <c r="K9" i="1"/>
  <c r="J9" i="1"/>
  <c r="I9" i="1"/>
  <c r="H9" i="1"/>
  <c r="G9" i="1"/>
  <c r="K7" i="1"/>
  <c r="J7" i="1"/>
  <c r="I7" i="1"/>
  <c r="H7" i="1"/>
  <c r="G7" i="1"/>
  <c r="K5" i="1"/>
  <c r="J5" i="1"/>
  <c r="I5" i="1"/>
  <c r="H5" i="1"/>
  <c r="G5" i="1"/>
  <c r="M29" i="1" l="1"/>
  <c r="L29" i="1" s="1"/>
  <c r="B55" i="1"/>
  <c r="B58" i="1" s="1"/>
  <c r="K31" i="1"/>
  <c r="K30" i="1" s="1"/>
  <c r="B55" i="2"/>
  <c r="B58" i="2" s="1"/>
  <c r="K45" i="1" l="1"/>
  <c r="B59" i="1"/>
  <c r="B60" i="1" s="1"/>
  <c r="K29" i="1"/>
  <c r="K30" i="2"/>
  <c r="B59" i="2"/>
  <c r="B60" i="2" s="1"/>
  <c r="K52" i="1" l="1"/>
  <c r="B61" i="1"/>
  <c r="B61" i="2"/>
</calcChain>
</file>

<file path=xl/sharedStrings.xml><?xml version="1.0" encoding="utf-8"?>
<sst xmlns="http://schemas.openxmlformats.org/spreadsheetml/2006/main" count="270" uniqueCount="97">
  <si>
    <t>Historical Figures</t>
  </si>
  <si>
    <t>Revenue (P/L)</t>
  </si>
  <si>
    <t>YOY growth</t>
  </si>
  <si>
    <t>Taxation</t>
  </si>
  <si>
    <t>Tax Rate (%)</t>
  </si>
  <si>
    <t>Net Income(P/L)</t>
  </si>
  <si>
    <t>Net Income Margin (%)</t>
  </si>
  <si>
    <t>Interest (P/L)</t>
  </si>
  <si>
    <t>Interest-bearing Debt(B/S)</t>
  </si>
  <si>
    <t>Cost of Debt</t>
  </si>
  <si>
    <t>Depreciation(P/L)</t>
  </si>
  <si>
    <t>% of Revenue</t>
  </si>
  <si>
    <t>CAPEX(C/F)</t>
  </si>
  <si>
    <t>Current Assets</t>
  </si>
  <si>
    <t>Current Liabilities</t>
  </si>
  <si>
    <t>Source: Bloomberg</t>
  </si>
  <si>
    <t>Risk Free Rate</t>
  </si>
  <si>
    <t>Risk Premium</t>
  </si>
  <si>
    <t>Beta</t>
  </si>
  <si>
    <t>Cost of Equity</t>
  </si>
  <si>
    <t>Market Price</t>
  </si>
  <si>
    <t>Shares outstanding</t>
  </si>
  <si>
    <t>Market Capital</t>
  </si>
  <si>
    <t>Tax Rate</t>
  </si>
  <si>
    <t>Non Current Liabilities</t>
  </si>
  <si>
    <t>Debt(%)</t>
  </si>
  <si>
    <t>Equity(%)</t>
  </si>
  <si>
    <t>WACC</t>
  </si>
  <si>
    <t>2025E</t>
  </si>
  <si>
    <t>2026E</t>
  </si>
  <si>
    <t>2027E</t>
  </si>
  <si>
    <t>2028E</t>
  </si>
  <si>
    <t>2029E</t>
  </si>
  <si>
    <t>Rating</t>
  </si>
  <si>
    <t>Price (HKD, May 9)</t>
  </si>
  <si>
    <t>Price (RMB, May 9)</t>
  </si>
  <si>
    <t>Target Price</t>
  </si>
  <si>
    <t>Buy</t>
  </si>
  <si>
    <t>8.810 - 14.420</t>
  </si>
  <si>
    <t>52-week price range (HKD)</t>
  </si>
  <si>
    <t>Market cap (HKD)</t>
  </si>
  <si>
    <t>75.163B</t>
  </si>
  <si>
    <t>Year</t>
  </si>
  <si>
    <t>OCF</t>
  </si>
  <si>
    <t>FCF</t>
  </si>
  <si>
    <t>Analysis</t>
  </si>
  <si>
    <t>Discount Factor</t>
  </si>
  <si>
    <t>Terminal Value</t>
  </si>
  <si>
    <t>PV of Terminal Value</t>
  </si>
  <si>
    <t>PV of FCF</t>
  </si>
  <si>
    <t>Enterprise Value</t>
  </si>
  <si>
    <t>Equity Value</t>
  </si>
  <si>
    <t>Potential</t>
  </si>
  <si>
    <t>Recommendation</t>
  </si>
  <si>
    <t>Operating Margin</t>
  </si>
  <si>
    <t>BUY</t>
  </si>
  <si>
    <t>Sensitivities</t>
  </si>
  <si>
    <t>Implied share price</t>
  </si>
  <si>
    <t>Ent. Val.</t>
  </si>
  <si>
    <t>Perpetual Growth Rate</t>
  </si>
  <si>
    <t>Share Price</t>
  </si>
  <si>
    <t>Projections</t>
  </si>
  <si>
    <t>In Millions of RMB</t>
  </si>
  <si>
    <t>Assumptions</t>
  </si>
  <si>
    <t>2020</t>
  </si>
  <si>
    <t>2021</t>
  </si>
  <si>
    <t>2022</t>
  </si>
  <si>
    <t>2023</t>
  </si>
  <si>
    <t>2024</t>
  </si>
  <si>
    <t>Particulars</t>
  </si>
  <si>
    <t>Grand Total</t>
  </si>
  <si>
    <t>year</t>
  </si>
  <si>
    <t>Net income margin</t>
  </si>
  <si>
    <t>Revenue</t>
  </si>
  <si>
    <t>Free Cash Flow</t>
  </si>
  <si>
    <t>Ent. Val</t>
  </si>
  <si>
    <t>Rev</t>
  </si>
  <si>
    <t>NI margin</t>
  </si>
  <si>
    <t>Debt</t>
  </si>
  <si>
    <t>Equity</t>
  </si>
  <si>
    <t>Label</t>
  </si>
  <si>
    <t>Value</t>
  </si>
  <si>
    <t>Strong Buy</t>
  </si>
  <si>
    <t>Hold</t>
  </si>
  <si>
    <t>Sell</t>
  </si>
  <si>
    <t>Strong Sell</t>
  </si>
  <si>
    <t>Invisible</t>
  </si>
  <si>
    <t>Pointer</t>
  </si>
  <si>
    <t>Email</t>
  </si>
  <si>
    <t>Phone</t>
  </si>
  <si>
    <t>Author</t>
  </si>
  <si>
    <t>LinkedIn</t>
  </si>
  <si>
    <t>Nguyen Dang Chinh aka Steven</t>
  </si>
  <si>
    <t>nguyenchinh6a9@gmail.com</t>
  </si>
  <si>
    <t>(84)-917117302</t>
  </si>
  <si>
    <t>https://www.linkedin.com/in/dang-chinh-nguyen-832728266/</t>
  </si>
  <si>
    <t>(852)-44901683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</si>
</sst>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00_);\(0.000\)"/>
    <numFmt numFmtId="166" formatCode="0_);\(0\)"/>
    <numFmt numFmtId="167" formatCode="#,##0,,\ &quot;M&quot;"/>
    <numFmt numFmtId="168" formatCode="0.0000%"/>
    <numFmt numFmtId="169" formatCode="#,##0&quot;M&quot;"/>
  </numFmts>
  <fonts count="7" x14ac:knownFonts="1">
    <font>
      <sz val="11"/>
      <color theme="1"/>
      <name val="Aptos Narrow"/>
      <family val="2"/>
      <scheme val="minor"/>
    </font>
    <font>
      <b/>
      <sz val="11"/>
      <color theme="1"/>
      <name val="Aptos Narrow"/>
      <family val="2"/>
      <scheme val="minor"/>
    </font>
    <font>
      <sz val="14"/>
      <color theme="1"/>
      <name val="Times New Roman"/>
      <family val="1"/>
    </font>
    <font>
      <i/>
      <sz val="11"/>
      <color theme="1"/>
      <name val="Aptos Narrow"/>
      <family val="2"/>
      <scheme val="minor"/>
    </font>
    <font>
      <b/>
      <sz val="14"/>
      <color theme="0"/>
      <name val="Aptos Narrow"/>
      <family val="2"/>
      <scheme val="minor"/>
    </font>
    <font>
      <u/>
      <sz val="11"/>
      <color theme="10"/>
      <name val="Aptos Narrow"/>
      <family val="2"/>
      <scheme val="minor"/>
    </font>
    <font>
      <sz val="11"/>
      <color rgb="FFED0000"/>
      <name val="Aptos Narrow"/>
      <family val="2"/>
      <scheme val="minor"/>
    </font>
  </fonts>
  <fills count="9">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theme="2"/>
        <bgColor indexed="64"/>
      </patternFill>
    </fill>
    <fill>
      <patternFill patternType="solid">
        <fgColor rgb="FF00B050"/>
        <bgColor indexed="64"/>
      </patternFill>
    </fill>
    <fill>
      <patternFill patternType="solid">
        <fgColor theme="9" tint="0.39994506668294322"/>
        <bgColor indexed="64"/>
      </patternFill>
    </fill>
  </fills>
  <borders count="11">
    <border>
      <left/>
      <right/>
      <top/>
      <bottom/>
      <diagonal/>
    </border>
    <border>
      <left/>
      <right/>
      <top style="thin">
        <color auto="1"/>
      </top>
      <bottom/>
      <diagonal/>
    </border>
    <border>
      <left/>
      <right/>
      <top/>
      <bottom style="thin">
        <color auto="1"/>
      </bottom>
      <diagonal/>
    </border>
    <border>
      <left/>
      <right/>
      <top style="thin">
        <color auto="1"/>
      </top>
      <bottom style="thin">
        <color auto="1"/>
      </bottom>
      <diagonal/>
    </border>
    <border>
      <left/>
      <right style="thin">
        <color auto="1"/>
      </right>
      <top/>
      <bottom/>
      <diagonal/>
    </border>
    <border>
      <left style="thin">
        <color auto="1"/>
      </left>
      <right/>
      <top style="thin">
        <color auto="1"/>
      </top>
      <bottom/>
      <diagonal/>
    </border>
    <border>
      <left style="thin">
        <color auto="1"/>
      </left>
      <right/>
      <top/>
      <bottom/>
      <diagonal/>
    </border>
    <border>
      <left/>
      <right style="thin">
        <color auto="1"/>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115">
    <xf numFmtId="0" fontId="0" fillId="0" borderId="0" xfId="0"/>
    <xf numFmtId="9" fontId="0" fillId="0" borderId="0" xfId="0" applyNumberFormat="1"/>
    <xf numFmtId="37" fontId="0" fillId="0" borderId="0" xfId="0" applyNumberFormat="1"/>
    <xf numFmtId="39" fontId="0" fillId="0" borderId="0" xfId="0" applyNumberFormat="1"/>
    <xf numFmtId="39" fontId="0" fillId="0" borderId="0" xfId="0" applyNumberFormat="1" applyAlignment="1">
      <alignment horizontal="right"/>
    </xf>
    <xf numFmtId="0" fontId="0" fillId="0" borderId="0" xfId="0" applyAlignment="1">
      <alignment horizontal="right"/>
    </xf>
    <xf numFmtId="0" fontId="1" fillId="4" borderId="0" xfId="0" applyFont="1" applyFill="1"/>
    <xf numFmtId="10" fontId="0" fillId="0" borderId="0" xfId="0" applyNumberFormat="1"/>
    <xf numFmtId="0" fontId="2" fillId="2" borderId="1" xfId="0" applyFont="1" applyFill="1" applyBorder="1"/>
    <xf numFmtId="0" fontId="2" fillId="2" borderId="1" xfId="0" applyFont="1" applyFill="1" applyBorder="1" applyAlignment="1">
      <alignment horizontal="right"/>
    </xf>
    <xf numFmtId="0" fontId="2" fillId="2" borderId="0" xfId="0" applyFont="1" applyFill="1"/>
    <xf numFmtId="0" fontId="2" fillId="2" borderId="0" xfId="0" applyFont="1" applyFill="1" applyAlignment="1">
      <alignment horizontal="right"/>
    </xf>
    <xf numFmtId="9" fontId="2" fillId="2" borderId="0" xfId="0" applyNumberFormat="1" applyFont="1" applyFill="1"/>
    <xf numFmtId="39" fontId="2" fillId="2" borderId="0" xfId="0" applyNumberFormat="1" applyFont="1" applyFill="1"/>
    <xf numFmtId="39" fontId="2" fillId="2" borderId="0" xfId="0" applyNumberFormat="1" applyFont="1" applyFill="1" applyAlignment="1">
      <alignment horizontal="right"/>
    </xf>
    <xf numFmtId="39" fontId="2" fillId="2" borderId="2" xfId="0" applyNumberFormat="1" applyFont="1" applyFill="1" applyBorder="1"/>
    <xf numFmtId="0" fontId="2" fillId="2" borderId="2" xfId="0" applyFont="1" applyFill="1" applyBorder="1" applyAlignment="1">
      <alignment horizontal="right"/>
    </xf>
    <xf numFmtId="49" fontId="0" fillId="0" borderId="0" xfId="0" applyNumberFormat="1"/>
    <xf numFmtId="3" fontId="0" fillId="0" borderId="0" xfId="0" applyNumberFormat="1"/>
    <xf numFmtId="39" fontId="1" fillId="0" borderId="0" xfId="0" applyNumberFormat="1" applyFont="1"/>
    <xf numFmtId="0" fontId="1" fillId="0" borderId="0" xfId="0" applyFont="1"/>
    <xf numFmtId="0" fontId="0" fillId="2" borderId="0" xfId="0" applyFill="1"/>
    <xf numFmtId="0" fontId="0" fillId="2" borderId="0" xfId="0" applyFill="1" applyAlignment="1">
      <alignment horizontal="right"/>
    </xf>
    <xf numFmtId="0" fontId="1" fillId="2" borderId="0" xfId="0" applyFont="1" applyFill="1"/>
    <xf numFmtId="10" fontId="0" fillId="2" borderId="0" xfId="0" applyNumberFormat="1" applyFill="1" applyAlignment="1">
      <alignment horizontal="right"/>
    </xf>
    <xf numFmtId="39" fontId="0" fillId="2" borderId="0" xfId="0" applyNumberFormat="1" applyFill="1"/>
    <xf numFmtId="10" fontId="1" fillId="2" borderId="0" xfId="0" applyNumberFormat="1" applyFont="1" applyFill="1" applyAlignment="1">
      <alignment horizontal="right"/>
    </xf>
    <xf numFmtId="39" fontId="1" fillId="2" borderId="0" xfId="0" applyNumberFormat="1" applyFont="1" applyFill="1" applyAlignment="1">
      <alignment horizontal="right"/>
    </xf>
    <xf numFmtId="39" fontId="0" fillId="2" borderId="0" xfId="0" applyNumberFormat="1" applyFill="1" applyAlignment="1">
      <alignment horizontal="right"/>
    </xf>
    <xf numFmtId="9" fontId="0" fillId="2" borderId="2" xfId="0" applyNumberFormat="1" applyFill="1" applyBorder="1"/>
    <xf numFmtId="9" fontId="0" fillId="2" borderId="0" xfId="0" applyNumberFormat="1" applyFill="1"/>
    <xf numFmtId="9" fontId="1" fillId="2" borderId="0" xfId="0" applyNumberFormat="1" applyFont="1" applyFill="1" applyAlignment="1">
      <alignment horizontal="right"/>
    </xf>
    <xf numFmtId="9" fontId="0" fillId="2" borderId="0" xfId="0" applyNumberFormat="1" applyFill="1" applyAlignment="1">
      <alignment horizontal="right"/>
    </xf>
    <xf numFmtId="39" fontId="0" fillId="2" borderId="6" xfId="0" applyNumberFormat="1" applyFill="1" applyBorder="1"/>
    <xf numFmtId="39" fontId="1" fillId="2" borderId="1" xfId="0" applyNumberFormat="1" applyFont="1" applyFill="1" applyBorder="1"/>
    <xf numFmtId="10" fontId="0" fillId="2" borderId="4" xfId="0" applyNumberFormat="1" applyFill="1" applyBorder="1" applyAlignment="1">
      <alignment horizontal="right"/>
    </xf>
    <xf numFmtId="0" fontId="1" fillId="2" borderId="0" xfId="0" applyFont="1" applyFill="1" applyAlignment="1">
      <alignment horizontal="right"/>
    </xf>
    <xf numFmtId="49" fontId="1" fillId="5" borderId="7" xfId="0" applyNumberFormat="1" applyFont="1" applyFill="1" applyBorder="1"/>
    <xf numFmtId="49" fontId="1" fillId="5" borderId="4" xfId="0" applyNumberFormat="1" applyFont="1" applyFill="1" applyBorder="1"/>
    <xf numFmtId="164" fontId="0" fillId="2" borderId="0" xfId="0" applyNumberFormat="1" applyFill="1" applyAlignment="1">
      <alignment horizontal="right"/>
    </xf>
    <xf numFmtId="0" fontId="1" fillId="6" borderId="0" xfId="0" applyFont="1" applyFill="1" applyAlignment="1">
      <alignment horizontal="right"/>
    </xf>
    <xf numFmtId="0" fontId="1" fillId="5" borderId="4" xfId="0" applyFont="1" applyFill="1" applyBorder="1"/>
    <xf numFmtId="9" fontId="0" fillId="2" borderId="6" xfId="0" applyNumberFormat="1" applyFill="1" applyBorder="1"/>
    <xf numFmtId="39" fontId="0" fillId="2" borderId="6" xfId="0" applyNumberFormat="1" applyFill="1" applyBorder="1" applyAlignment="1">
      <alignment horizontal="right"/>
    </xf>
    <xf numFmtId="164" fontId="0" fillId="2" borderId="6" xfId="0" applyNumberFormat="1" applyFill="1" applyBorder="1" applyAlignment="1">
      <alignment horizontal="right"/>
    </xf>
    <xf numFmtId="10" fontId="0" fillId="2" borderId="6" xfId="0" applyNumberFormat="1" applyFill="1" applyBorder="1" applyAlignment="1">
      <alignment horizontal="right"/>
    </xf>
    <xf numFmtId="9" fontId="0" fillId="2" borderId="6" xfId="0" applyNumberFormat="1" applyFill="1" applyBorder="1" applyAlignment="1">
      <alignment horizontal="right"/>
    </xf>
    <xf numFmtId="0" fontId="3" fillId="5" borderId="4" xfId="0" applyFont="1" applyFill="1" applyBorder="1"/>
    <xf numFmtId="166" fontId="0" fillId="2" borderId="0" xfId="0" applyNumberFormat="1" applyFill="1" applyAlignment="1">
      <alignment horizontal="right"/>
    </xf>
    <xf numFmtId="165" fontId="0" fillId="2" borderId="0" xfId="0" applyNumberFormat="1" applyFill="1" applyAlignment="1">
      <alignment horizontal="right"/>
    </xf>
    <xf numFmtId="0" fontId="1" fillId="3" borderId="0" xfId="0" applyFont="1" applyFill="1"/>
    <xf numFmtId="10" fontId="0" fillId="2" borderId="0" xfId="0" applyNumberFormat="1" applyFill="1"/>
    <xf numFmtId="37" fontId="0" fillId="2" borderId="0" xfId="0" applyNumberFormat="1" applyFill="1"/>
    <xf numFmtId="10" fontId="0" fillId="3" borderId="0" xfId="0" applyNumberFormat="1" applyFill="1"/>
    <xf numFmtId="37" fontId="0" fillId="2" borderId="0" xfId="0" applyNumberFormat="1" applyFill="1" applyAlignment="1">
      <alignment vertical="top"/>
    </xf>
    <xf numFmtId="0" fontId="1" fillId="2" borderId="6" xfId="0" applyFont="1" applyFill="1" applyBorder="1"/>
    <xf numFmtId="0" fontId="1" fillId="3" borderId="6" xfId="0" applyFont="1" applyFill="1" applyBorder="1"/>
    <xf numFmtId="0" fontId="2" fillId="0" borderId="0" xfId="0" applyFont="1"/>
    <xf numFmtId="0" fontId="2" fillId="0" borderId="0" xfId="0" applyFont="1" applyAlignment="1">
      <alignment horizontal="right"/>
    </xf>
    <xf numFmtId="9" fontId="2" fillId="0" borderId="0" xfId="0" applyNumberFormat="1" applyFont="1"/>
    <xf numFmtId="39" fontId="2" fillId="0" borderId="0" xfId="0" applyNumberFormat="1" applyFont="1"/>
    <xf numFmtId="39" fontId="2" fillId="0" borderId="0" xfId="0" applyNumberFormat="1" applyFont="1" applyAlignment="1">
      <alignment horizontal="right"/>
    </xf>
    <xf numFmtId="3" fontId="0" fillId="2" borderId="0" xfId="0" applyNumberFormat="1" applyFill="1"/>
    <xf numFmtId="4" fontId="1" fillId="2" borderId="0" xfId="0" applyNumberFormat="1" applyFont="1" applyFill="1"/>
    <xf numFmtId="9" fontId="1" fillId="2" borderId="0" xfId="0" applyNumberFormat="1" applyFont="1" applyFill="1"/>
    <xf numFmtId="10" fontId="1" fillId="2" borderId="0" xfId="0" applyNumberFormat="1" applyFont="1" applyFill="1"/>
    <xf numFmtId="3" fontId="1" fillId="2" borderId="0" xfId="0" applyNumberFormat="1" applyFont="1" applyFill="1"/>
    <xf numFmtId="0" fontId="0" fillId="0" borderId="0" xfId="0" pivotButton="1"/>
    <xf numFmtId="0" fontId="0" fillId="0" borderId="0" xfId="0" applyAlignment="1">
      <alignment horizontal="left"/>
    </xf>
    <xf numFmtId="167" fontId="0" fillId="2" borderId="0" xfId="0" applyNumberFormat="1" applyFill="1" applyAlignment="1">
      <alignment vertical="top"/>
    </xf>
    <xf numFmtId="39" fontId="1" fillId="2" borderId="0" xfId="0" applyNumberFormat="1" applyFont="1" applyFill="1"/>
    <xf numFmtId="2" fontId="0" fillId="2" borderId="0" xfId="0" applyNumberFormat="1" applyFill="1"/>
    <xf numFmtId="2" fontId="0" fillId="2" borderId="0" xfId="0" applyNumberFormat="1" applyFill="1" applyAlignment="1">
      <alignment horizontal="right"/>
    </xf>
    <xf numFmtId="3" fontId="0" fillId="0" borderId="0" xfId="0" applyNumberFormat="1" applyAlignment="1">
      <alignment horizontal="right"/>
    </xf>
    <xf numFmtId="39" fontId="0" fillId="0" borderId="5" xfId="0" applyNumberFormat="1" applyBorder="1"/>
    <xf numFmtId="39" fontId="0" fillId="0" borderId="1" xfId="0" applyNumberFormat="1" applyBorder="1"/>
    <xf numFmtId="39" fontId="0" fillId="0" borderId="6" xfId="0" applyNumberFormat="1" applyBorder="1"/>
    <xf numFmtId="168" fontId="0" fillId="0" borderId="0" xfId="0" applyNumberFormat="1"/>
    <xf numFmtId="9" fontId="0" fillId="0" borderId="0" xfId="0" applyNumberFormat="1" applyAlignment="1">
      <alignment horizontal="right"/>
    </xf>
    <xf numFmtId="40" fontId="0" fillId="2" borderId="0" xfId="0" applyNumberFormat="1" applyFill="1" applyAlignment="1">
      <alignment horizontal="right"/>
    </xf>
    <xf numFmtId="169" fontId="0" fillId="0" borderId="0" xfId="0" applyNumberFormat="1"/>
    <xf numFmtId="164" fontId="0" fillId="0" borderId="0" xfId="0" applyNumberFormat="1"/>
    <xf numFmtId="39" fontId="0" fillId="3" borderId="0" xfId="0" applyNumberFormat="1" applyFill="1"/>
    <xf numFmtId="0" fontId="1" fillId="0" borderId="0" xfId="0" applyFont="1" applyAlignment="1">
      <alignment horizontal="center" vertical="center" wrapText="1"/>
    </xf>
    <xf numFmtId="0" fontId="0" fillId="0" borderId="0" xfId="0" applyAlignment="1">
      <alignment vertical="center" wrapText="1"/>
    </xf>
    <xf numFmtId="9" fontId="1" fillId="0" borderId="0" xfId="0" applyNumberFormat="1" applyFont="1" applyAlignment="1">
      <alignment horizontal="right"/>
    </xf>
    <xf numFmtId="10" fontId="0" fillId="0" borderId="0" xfId="0" applyNumberFormat="1" applyAlignment="1">
      <alignment horizontal="right"/>
    </xf>
    <xf numFmtId="10" fontId="1" fillId="0" borderId="0" xfId="0" applyNumberFormat="1" applyFont="1" applyAlignment="1">
      <alignment horizontal="right"/>
    </xf>
    <xf numFmtId="3" fontId="1" fillId="0" borderId="0" xfId="0" applyNumberFormat="1" applyFont="1" applyAlignment="1">
      <alignment horizontal="right"/>
    </xf>
    <xf numFmtId="2" fontId="0" fillId="0" borderId="0" xfId="0" applyNumberFormat="1"/>
    <xf numFmtId="2" fontId="0" fillId="0" borderId="0" xfId="0" applyNumberFormat="1" applyAlignment="1">
      <alignment horizontal="right"/>
    </xf>
    <xf numFmtId="2" fontId="1" fillId="0" borderId="0" xfId="0" applyNumberFormat="1" applyFont="1"/>
    <xf numFmtId="0" fontId="5" fillId="0" borderId="0" xfId="1"/>
    <xf numFmtId="169" fontId="6" fillId="0" borderId="0" xfId="0" applyNumberFormat="1" applyFont="1"/>
    <xf numFmtId="169" fontId="0" fillId="0" borderId="0" xfId="0" applyNumberFormat="1" applyAlignment="1">
      <alignment horizontal="right"/>
    </xf>
    <xf numFmtId="0" fontId="1" fillId="2" borderId="0" xfId="0" applyFont="1" applyFill="1" applyAlignment="1">
      <alignment horizontal="center"/>
    </xf>
    <xf numFmtId="0" fontId="1" fillId="2" borderId="0" xfId="0" applyFont="1" applyFill="1" applyAlignment="1">
      <alignment horizontal="center" vertical="center"/>
    </xf>
    <xf numFmtId="39" fontId="1" fillId="2" borderId="0" xfId="0" applyNumberFormat="1" applyFont="1" applyFill="1" applyAlignment="1">
      <alignment horizontal="center" vertical="center"/>
    </xf>
    <xf numFmtId="0" fontId="1" fillId="6" borderId="0" xfId="0" applyFont="1" applyFill="1" applyAlignment="1">
      <alignment horizontal="center"/>
    </xf>
    <xf numFmtId="0" fontId="1" fillId="5" borderId="0" xfId="0" applyFont="1" applyFill="1" applyAlignment="1">
      <alignment horizontal="center"/>
    </xf>
    <xf numFmtId="0" fontId="1" fillId="5" borderId="8" xfId="0" applyFont="1" applyFill="1" applyBorder="1" applyAlignment="1">
      <alignment horizontal="center"/>
    </xf>
    <xf numFmtId="0" fontId="1" fillId="5" borderId="2" xfId="0" applyFont="1" applyFill="1" applyBorder="1" applyAlignment="1">
      <alignment horizontal="center"/>
    </xf>
    <xf numFmtId="49" fontId="1" fillId="5" borderId="2" xfId="0" applyNumberFormat="1" applyFont="1" applyFill="1" applyBorder="1" applyAlignment="1">
      <alignment horizontal="center"/>
    </xf>
    <xf numFmtId="0" fontId="1" fillId="5" borderId="0" xfId="0" applyFont="1" applyFill="1" applyAlignment="1">
      <alignment horizontal="center" vertical="center"/>
    </xf>
    <xf numFmtId="0" fontId="1" fillId="0" borderId="3" xfId="0" applyFont="1" applyBorder="1" applyAlignment="1">
      <alignment horizontal="center"/>
    </xf>
    <xf numFmtId="39" fontId="1" fillId="5" borderId="0" xfId="0" applyNumberFormat="1" applyFont="1" applyFill="1" applyAlignment="1">
      <alignment horizontal="center" vertical="center"/>
    </xf>
    <xf numFmtId="0" fontId="1" fillId="0" borderId="0" xfId="0" applyFont="1" applyAlignment="1">
      <alignment horizontal="center" vertical="center"/>
    </xf>
    <xf numFmtId="0" fontId="1" fillId="0" borderId="0" xfId="0" applyFont="1" applyAlignment="1">
      <alignment horizontal="center"/>
    </xf>
    <xf numFmtId="39" fontId="1" fillId="0" borderId="0" xfId="0" applyNumberFormat="1" applyFont="1" applyAlignment="1">
      <alignment horizontal="center" vertical="center"/>
    </xf>
    <xf numFmtId="0" fontId="1" fillId="8" borderId="0" xfId="0" applyFont="1" applyFill="1" applyAlignment="1">
      <alignment horizontal="center"/>
    </xf>
    <xf numFmtId="0" fontId="4" fillId="7" borderId="9" xfId="0" applyFont="1" applyFill="1" applyBorder="1" applyAlignment="1">
      <alignment horizontal="center"/>
    </xf>
    <xf numFmtId="0" fontId="4" fillId="7" borderId="3" xfId="0" applyFont="1" applyFill="1" applyBorder="1" applyAlignment="1">
      <alignment horizontal="center"/>
    </xf>
    <xf numFmtId="0" fontId="4" fillId="7" borderId="10" xfId="0" applyFont="1" applyFill="1" applyBorder="1" applyAlignment="1">
      <alignment horizontal="center"/>
    </xf>
    <xf numFmtId="0" fontId="1" fillId="8" borderId="0" xfId="0" applyFont="1" applyFill="1" applyAlignment="1">
      <alignment horizontal="center" vertical="center"/>
    </xf>
    <xf numFmtId="0" fontId="0" fillId="0" borderId="0" xfId="0" applyAlignment="1">
      <alignment horizontal="left" vertical="center"/>
    </xf>
  </cellXfs>
  <cellStyles count="2">
    <cellStyle name="Hyperlink" xfId="1" builtinId="8"/>
    <cellStyle name="Normal" xfId="0" builtinId="0"/>
  </cellStyles>
  <dxfs count="9">
    <dxf>
      <numFmt numFmtId="3" formatCode="#,##0"/>
    </dxf>
    <dxf>
      <numFmt numFmtId="3" formatCode="#,##0"/>
    </dxf>
    <dxf>
      <numFmt numFmtId="13" formatCode="0%"/>
      <fill>
        <patternFill patternType="solid">
          <fgColor indexed="64"/>
          <bgColor theme="0"/>
        </patternFill>
      </fill>
      <alignment horizontal="right" vertical="bottom" textRotation="0" wrapText="0" indent="0" justifyLastLine="0" shrinkToFit="0" readingOrder="0"/>
    </dxf>
    <dxf>
      <numFmt numFmtId="13" formatCode="0%"/>
      <fill>
        <patternFill patternType="solid">
          <fgColor indexed="64"/>
          <bgColor theme="0"/>
        </patternFill>
      </fill>
      <alignment horizontal="right" vertical="bottom" textRotation="0" wrapText="0" indent="0" justifyLastLine="0" shrinkToFit="0" readingOrder="0"/>
    </dxf>
    <dxf>
      <numFmt numFmtId="13" formatCode="0%"/>
      <fill>
        <patternFill patternType="solid">
          <fgColor indexed="64"/>
          <bgColor theme="0"/>
        </patternFill>
      </fill>
      <alignment horizontal="right" vertical="bottom" textRotation="0" wrapText="0" indent="0" justifyLastLine="0" shrinkToFit="0" readingOrder="0"/>
    </dxf>
    <dxf>
      <numFmt numFmtId="13" formatCode="0%"/>
      <fill>
        <patternFill patternType="solid">
          <fgColor indexed="64"/>
          <bgColor theme="0"/>
        </patternFill>
      </fill>
      <alignment horizontal="right" vertical="bottom" textRotation="0" wrapText="0" indent="0" justifyLastLine="0" shrinkToFit="0" readingOrder="0"/>
    </dxf>
    <dxf>
      <numFmt numFmtId="13" formatCode="0%"/>
      <fill>
        <patternFill patternType="solid">
          <fgColor indexed="64"/>
          <bgColor theme="0"/>
        </patternFill>
      </fill>
      <alignment horizontal="right" vertical="bottom" textRotation="0" wrapText="0" indent="0" justifyLastLine="0" shrinkToFit="0" readingOrder="0"/>
    </dxf>
    <dxf>
      <font>
        <b/>
        <i val="0"/>
        <strike val="0"/>
        <condense val="0"/>
        <extend val="0"/>
        <outline val="0"/>
        <shadow val="0"/>
        <u val="none"/>
        <vertAlign val="baseline"/>
        <sz val="11"/>
        <color theme="1"/>
        <name val="Aptos Narrow"/>
        <family val="2"/>
        <scheme val="minor"/>
      </font>
      <fill>
        <patternFill patternType="solid">
          <fgColor indexed="64"/>
          <bgColor rgb="FF92D050"/>
        </patternFill>
      </fill>
      <border diagonalUp="0" diagonalDown="0">
        <left/>
        <right style="thin">
          <color auto="1"/>
        </right>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2"/>
        </patternFill>
      </fill>
      <alignment horizontal="right" vertical="bottom" textRotation="0" wrapText="0" indent="0" justifyLastLine="0" shrinkToFit="0" readingOrder="0"/>
    </dxf>
  </dxfs>
  <tableStyles count="0" defaultTableStyle="TableStyleMedium2" defaultPivotStyle="PivotStyleLight16"/>
  <colors>
    <mruColors>
      <color rgb="FFF86266"/>
      <color rgb="FFE44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2000" b="1" i="0" u="none" strike="noStrike" kern="1200" baseline="0">
                <a:solidFill>
                  <a:sysClr val="windowText" lastClr="000000"/>
                </a:solidFill>
                <a:latin typeface="+mn-lt"/>
                <a:ea typeface="+mn-ea"/>
                <a:cs typeface="+mn-cs"/>
              </a:defRPr>
            </a:pPr>
            <a:r>
              <a:rPr lang="en-US" sz="2000">
                <a:solidFill>
                  <a:sysClr val="windowText" lastClr="000000"/>
                </a:solidFill>
              </a:rPr>
              <a:t>Share price</a:t>
            </a:r>
          </a:p>
        </c:rich>
      </c:tx>
      <c:overlay val="0"/>
      <c:spPr>
        <a:noFill/>
        <a:ln>
          <a:noFill/>
        </a:ln>
        <a:effectLst/>
      </c:spPr>
      <c:txPr>
        <a:bodyPr rot="0" spcFirstLastPara="1" vertOverflow="ellipsis" vert="horz" wrap="square" anchor="ctr" anchorCtr="1"/>
        <a:lstStyle/>
        <a:p>
          <a:pPr>
            <a:defRPr sz="2000" b="1" i="0" u="none" strike="noStrike" kern="1200" baseline="0">
              <a:solidFill>
                <a:sysClr val="windowText" lastClr="000000"/>
              </a:solidFill>
              <a:latin typeface="+mn-lt"/>
              <a:ea typeface="+mn-ea"/>
              <a:cs typeface="+mn-cs"/>
            </a:defRPr>
          </a:pPr>
          <a:endParaRPr lang="en-US"/>
        </a:p>
      </c:txPr>
    </c:title>
    <c:autoTitleDeleted val="0"/>
    <c:plotArea>
      <c:layout/>
      <c:barChart>
        <c:barDir val="col"/>
        <c:grouping val="clustered"/>
        <c:varyColors val="0"/>
        <c:ser>
          <c:idx val="0"/>
          <c:order val="0"/>
          <c:tx>
            <c:strRef>
              <c:f>'Data copy'!$A$60</c:f>
              <c:strCache>
                <c:ptCount val="1"/>
                <c:pt idx="0">
                  <c:v>Implied share price</c:v>
                </c:pt>
              </c:strCache>
            </c:strRef>
          </c:tx>
          <c:spPr>
            <a:gradFill rotWithShape="1">
              <a:gsLst>
                <a:gs pos="0">
                  <a:schemeClr val="accent3">
                    <a:shade val="76000"/>
                    <a:satMod val="103000"/>
                    <a:lumMod val="102000"/>
                    <a:tint val="94000"/>
                  </a:schemeClr>
                </a:gs>
                <a:gs pos="50000">
                  <a:schemeClr val="accent3">
                    <a:shade val="76000"/>
                    <a:satMod val="110000"/>
                    <a:lumMod val="100000"/>
                    <a:shade val="100000"/>
                  </a:schemeClr>
                </a:gs>
                <a:gs pos="100000">
                  <a:schemeClr val="accent3">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'Data copy'!$B$60</c:f>
              <c:numCache>
                <c:formatCode>#,##0.00_);\(#,##0.00\)</c:formatCode>
                <c:ptCount val="1"/>
                <c:pt idx="0">
                  <c:v>17.321015893587262</c:v>
                </c:pt>
              </c:numCache>
            </c:numRef>
          </c:val>
          <c:extLst>
            <c:ext xmlns:c16="http://schemas.microsoft.com/office/drawing/2014/chart" uri="{C3380CC4-5D6E-409C-BE32-E72D297353CC}">
              <c16:uniqueId val="{00000000-5F37-4E56-A7B1-B3FF72DCD914}"/>
            </c:ext>
          </c:extLst>
        </c:ser>
        <c:ser>
          <c:idx val="1"/>
          <c:order val="1"/>
          <c:tx>
            <c:strRef>
              <c:f>'Data copy'!$M$6</c:f>
              <c:strCache>
                <c:ptCount val="1"/>
                <c:pt idx="0">
                  <c:v>Price (RMB, May 9)</c:v>
                </c:pt>
              </c:strCache>
            </c:strRef>
          </c:tx>
          <c:spPr>
            <a:gradFill rotWithShape="1">
              <a:gsLst>
                <a:gs pos="0">
                  <a:schemeClr val="accent3">
                    <a:tint val="77000"/>
                    <a:satMod val="103000"/>
                    <a:lumMod val="102000"/>
                    <a:tint val="94000"/>
                  </a:schemeClr>
                </a:gs>
                <a:gs pos="50000">
                  <a:schemeClr val="accent3">
                    <a:tint val="77000"/>
                    <a:satMod val="110000"/>
                    <a:lumMod val="100000"/>
                    <a:shade val="100000"/>
                  </a:schemeClr>
                </a:gs>
                <a:gs pos="100000">
                  <a:schemeClr val="accent3">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'Data copy'!$N$6</c:f>
              <c:numCache>
                <c:formatCode>General</c:formatCode>
                <c:ptCount val="1"/>
                <c:pt idx="0">
                  <c:v>12.41</c:v>
                </c:pt>
              </c:numCache>
            </c:numRef>
          </c:val>
          <c:extLst>
            <c:ext xmlns:c16="http://schemas.microsoft.com/office/drawing/2014/chart" uri="{C3380CC4-5D6E-409C-BE32-E72D297353CC}">
              <c16:uniqueId val="{00000001-5F37-4E56-A7B1-B3FF72DCD914}"/>
            </c:ext>
          </c:extLst>
        </c:ser>
        <c:dLbls>
          <c:showLegendKey val="0"/>
          <c:showVal val="0"/>
          <c:showCatName val="0"/>
          <c:showSerName val="0"/>
          <c:showPercent val="0"/>
          <c:showBubbleSize val="0"/>
        </c:dLbls>
        <c:gapWidth val="100"/>
        <c:overlap val="-24"/>
        <c:axId val="347970144"/>
        <c:axId val="777003976"/>
      </c:barChart>
      <c:catAx>
        <c:axId val="347970144"/>
        <c:scaling>
          <c:orientation val="minMax"/>
        </c:scaling>
        <c:delete val="1"/>
        <c:axPos val="b"/>
        <c:majorTickMark val="none"/>
        <c:minorTickMark val="none"/>
        <c:tickLblPos val="nextTo"/>
        <c:crossAx val="777003976"/>
        <c:crosses val="autoZero"/>
        <c:auto val="1"/>
        <c:lblAlgn val="ctr"/>
        <c:lblOffset val="100"/>
        <c:noMultiLvlLbl val="0"/>
      </c:catAx>
      <c:valAx>
        <c:axId val="777003976"/>
        <c:scaling>
          <c:orientation val="minMax"/>
          <c:min val="10"/>
        </c:scaling>
        <c:delete val="0"/>
        <c:axPos val="l"/>
        <c:numFmt formatCode="#,##0.00_);\(#,##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347970144"/>
        <c:crosses val="autoZero"/>
        <c:crossBetween val="between"/>
      </c:valAx>
      <c:spPr>
        <a:noFill/>
        <a:ln>
          <a:noFill/>
        </a:ln>
        <a:effectLst/>
      </c:spPr>
    </c:plotArea>
    <c:legend>
      <c:legendPos val="b"/>
      <c:layout>
        <c:manualLayout>
          <c:xMode val="edge"/>
          <c:yMode val="edge"/>
          <c:x val="0.25798121464221552"/>
          <c:y val="0.89116297156849267"/>
          <c:w val="0.452398848620993"/>
          <c:h val="0.10883702843150735"/>
        </c:manualLayout>
      </c:layout>
      <c:overlay val="0"/>
      <c:spPr>
        <a:noFill/>
        <a:ln>
          <a:noFill/>
        </a:ln>
        <a:effectLst/>
      </c:spPr>
      <c:txPr>
        <a:bodyPr rot="0" spcFirstLastPara="1" vertOverflow="ellipsis" vert="horz" wrap="square" anchor="ctr" anchorCtr="1"/>
        <a:lstStyle/>
        <a:p>
          <a:pPr>
            <a:defRPr sz="1050" b="1" i="0" u="none" strike="noStrike" kern="1200" baseline="0">
              <a:solidFill>
                <a:schemeClr val="tx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[Tingyi Dashboard.xlsx]tables &amp; charts!PivotTable5</c:name>
    <c:fmtId val="4"/>
  </c:pivotSource>
  <c:chart>
    <c:autoTitleDeleted val="0"/>
    <c:pivotFmts>
      <c:pivotFmt>
        <c:idx val="0"/>
        <c:spPr>
          <a:solidFill>
            <a:srgbClr val="00B050"/>
          </a:solidFill>
          <a:ln>
            <a:noFill/>
          </a:ln>
          <a:effectLst>
            <a:glow rad="63500">
              <a:schemeClr val="accent3">
                <a:satMod val="175000"/>
                <a:alpha val="40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a:glow rad="63500">
              <a:schemeClr val="accent2">
                <a:satMod val="175000"/>
                <a:alpha val="40000"/>
              </a:schemeClr>
            </a:glow>
          </a:effectLst>
        </c:spPr>
        <c:marker>
          <c:symbol val="diamond"/>
          <c:size val="5"/>
          <c:spPr>
            <a:solidFill>
              <a:schemeClr val="bg1"/>
            </a:solidFill>
            <a:ln w="9525">
              <a:solidFill>
                <a:srgbClr val="FF0000"/>
              </a:solidFill>
            </a:ln>
            <a:effectLst>
              <a:glow rad="63500">
                <a:schemeClr val="accent2">
                  <a:satMod val="175000"/>
                  <a:alpha val="40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50"/>
          </a:solidFill>
          <a:ln>
            <a:noFill/>
          </a:ln>
          <a:effectLst>
            <a:glow rad="63500">
              <a:schemeClr val="accent3">
                <a:satMod val="175000"/>
                <a:alpha val="40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a:glow rad="63500">
              <a:schemeClr val="accent2">
                <a:satMod val="175000"/>
                <a:alpha val="40000"/>
              </a:schemeClr>
            </a:glow>
          </a:effectLst>
        </c:spPr>
        <c:marker>
          <c:symbol val="diamond"/>
          <c:size val="5"/>
          <c:spPr>
            <a:solidFill>
              <a:schemeClr val="bg1"/>
            </a:solidFill>
            <a:ln w="9525">
              <a:solidFill>
                <a:srgbClr val="FF0000"/>
              </a:solidFill>
            </a:ln>
            <a:effectLst>
              <a:glow rad="63500">
                <a:schemeClr val="accent2">
                  <a:satMod val="175000"/>
                  <a:alpha val="40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B050"/>
          </a:solidFill>
          <a:ln>
            <a:noFill/>
          </a:ln>
          <a:effectLst>
            <a:glow rad="63500">
              <a:schemeClr val="accent3">
                <a:satMod val="175000"/>
                <a:alpha val="40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a:glow rad="63500">
              <a:schemeClr val="accent2">
                <a:satMod val="175000"/>
                <a:alpha val="40000"/>
              </a:schemeClr>
            </a:glow>
          </a:effectLst>
        </c:spPr>
        <c:marker>
          <c:symbol val="diamond"/>
          <c:size val="5"/>
          <c:spPr>
            <a:solidFill>
              <a:schemeClr val="bg1"/>
            </a:solidFill>
            <a:ln w="9525">
              <a:solidFill>
                <a:srgbClr val="FF0000"/>
              </a:solidFill>
            </a:ln>
            <a:effectLst>
              <a:glow rad="63500">
                <a:schemeClr val="accent2">
                  <a:satMod val="175000"/>
                  <a:alpha val="40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3803149606299214E-2"/>
          <c:y val="5.0925925925925923E-2"/>
          <c:w val="0.60326815398075229"/>
          <c:h val="0.78207276173811602"/>
        </c:manualLayout>
      </c:layout>
      <c:barChart>
        <c:barDir val="col"/>
        <c:grouping val="clustered"/>
        <c:varyColors val="0"/>
        <c:ser>
          <c:idx val="0"/>
          <c:order val="0"/>
          <c:tx>
            <c:strRef>
              <c:f>'tables &amp; charts'!$O$3</c:f>
              <c:strCache>
                <c:ptCount val="1"/>
                <c:pt idx="0">
                  <c:v>Rev</c:v>
                </c:pt>
              </c:strCache>
            </c:strRef>
          </c:tx>
          <c:spPr>
            <a:solidFill>
              <a:srgbClr val="00B050"/>
            </a:solidFill>
            <a:ln>
              <a:noFill/>
            </a:ln>
            <a:effectLst>
              <a:glow rad="63500">
                <a:schemeClr val="accent3">
                  <a:satMod val="175000"/>
                  <a:alpha val="40000"/>
                </a:schemeClr>
              </a:glow>
            </a:effectLst>
          </c:spPr>
          <c:invertIfNegative val="0"/>
          <c:cat>
            <c:strRef>
              <c:f>'tables &amp; charts'!$N$4:$N$14</c:f>
              <c:strCache>
                <c:ptCount val="10"/>
                <c:pt idx="0">
                  <c:v>2020</c:v>
                </c:pt>
                <c:pt idx="1">
                  <c:v>2021</c:v>
                </c:pt>
                <c:pt idx="2">
                  <c:v>2022</c:v>
                </c:pt>
                <c:pt idx="3">
                  <c:v>2023</c:v>
                </c:pt>
                <c:pt idx="4">
                  <c:v>2024</c:v>
                </c:pt>
                <c:pt idx="5">
                  <c:v>2025E</c:v>
                </c:pt>
                <c:pt idx="6">
                  <c:v>2026E</c:v>
                </c:pt>
                <c:pt idx="7">
                  <c:v>2027E</c:v>
                </c:pt>
                <c:pt idx="8">
                  <c:v>2028E</c:v>
                </c:pt>
                <c:pt idx="9">
                  <c:v>2029E</c:v>
                </c:pt>
              </c:strCache>
            </c:strRef>
          </c:cat>
          <c:val>
            <c:numRef>
              <c:f>'tables &amp; charts'!$O$4:$O$14</c:f>
              <c:numCache>
                <c:formatCode>#,##0</c:formatCode>
                <c:ptCount val="10"/>
                <c:pt idx="0">
                  <c:v>67617.84</c:v>
                </c:pt>
                <c:pt idx="1">
                  <c:v>74082.289999999994</c:v>
                </c:pt>
                <c:pt idx="2">
                  <c:v>78717.42</c:v>
                </c:pt>
                <c:pt idx="3">
                  <c:v>80418.080000000002</c:v>
                </c:pt>
                <c:pt idx="4">
                  <c:v>80650.91</c:v>
                </c:pt>
                <c:pt idx="5">
                  <c:v>82263.928200000009</c:v>
                </c:pt>
                <c:pt idx="6">
                  <c:v>84731.846046000006</c:v>
                </c:pt>
                <c:pt idx="7">
                  <c:v>89815.756808760008</c:v>
                </c:pt>
                <c:pt idx="8">
                  <c:v>97001.017353460818</c:v>
                </c:pt>
                <c:pt idx="9">
                  <c:v>108641.13943587613</c:v>
                </c:pt>
              </c:numCache>
            </c:numRef>
          </c:val>
          <c:extLst>
            <c:ext xmlns:c16="http://schemas.microsoft.com/office/drawing/2014/chart" uri="{C3380CC4-5D6E-409C-BE32-E72D297353CC}">
              <c16:uniqueId val="{00000000-B033-43AB-AD6A-10AEDA58EDC7}"/>
            </c:ext>
          </c:extLst>
        </c:ser>
        <c:dLbls>
          <c:showLegendKey val="0"/>
          <c:showVal val="0"/>
          <c:showCatName val="0"/>
          <c:showSerName val="0"/>
          <c:showPercent val="0"/>
          <c:showBubbleSize val="0"/>
        </c:dLbls>
        <c:gapWidth val="150"/>
        <c:overlap val="-27"/>
        <c:axId val="748411944"/>
        <c:axId val="748413024"/>
      </c:barChart>
      <c:lineChart>
        <c:grouping val="standard"/>
        <c:varyColors val="0"/>
        <c:ser>
          <c:idx val="1"/>
          <c:order val="1"/>
          <c:tx>
            <c:strRef>
              <c:f>'tables &amp; charts'!$P$3</c:f>
              <c:strCache>
                <c:ptCount val="1"/>
                <c:pt idx="0">
                  <c:v>NI margin</c:v>
                </c:pt>
              </c:strCache>
            </c:strRef>
          </c:tx>
          <c:spPr>
            <a:ln w="28575" cap="rnd">
              <a:solidFill>
                <a:schemeClr val="accent2"/>
              </a:solidFill>
              <a:round/>
            </a:ln>
            <a:effectLst>
              <a:glow rad="63500">
                <a:schemeClr val="accent2">
                  <a:satMod val="175000"/>
                  <a:alpha val="40000"/>
                </a:schemeClr>
              </a:glow>
            </a:effectLst>
          </c:spPr>
          <c:marker>
            <c:symbol val="diamond"/>
            <c:size val="5"/>
            <c:spPr>
              <a:solidFill>
                <a:schemeClr val="bg1"/>
              </a:solidFill>
              <a:ln w="9525">
                <a:solidFill>
                  <a:srgbClr val="FF0000"/>
                </a:solidFill>
              </a:ln>
              <a:effectLst>
                <a:glow rad="63500">
                  <a:schemeClr val="accent2">
                    <a:satMod val="175000"/>
                    <a:alpha val="40000"/>
                  </a:schemeClr>
                </a:glow>
              </a:effectLst>
            </c:spPr>
          </c:marker>
          <c:cat>
            <c:strRef>
              <c:f>'tables &amp; charts'!$N$4:$N$14</c:f>
              <c:strCache>
                <c:ptCount val="10"/>
                <c:pt idx="0">
                  <c:v>2020</c:v>
                </c:pt>
                <c:pt idx="1">
                  <c:v>2021</c:v>
                </c:pt>
                <c:pt idx="2">
                  <c:v>2022</c:v>
                </c:pt>
                <c:pt idx="3">
                  <c:v>2023</c:v>
                </c:pt>
                <c:pt idx="4">
                  <c:v>2024</c:v>
                </c:pt>
                <c:pt idx="5">
                  <c:v>2025E</c:v>
                </c:pt>
                <c:pt idx="6">
                  <c:v>2026E</c:v>
                </c:pt>
                <c:pt idx="7">
                  <c:v>2027E</c:v>
                </c:pt>
                <c:pt idx="8">
                  <c:v>2028E</c:v>
                </c:pt>
                <c:pt idx="9">
                  <c:v>2029E</c:v>
                </c:pt>
              </c:strCache>
            </c:strRef>
          </c:cat>
          <c:val>
            <c:numRef>
              <c:f>'tables &amp; charts'!$P$4:$P$14</c:f>
              <c:numCache>
                <c:formatCode>#,##0</c:formatCode>
                <c:ptCount val="10"/>
                <c:pt idx="0">
                  <c:v>6.01</c:v>
                </c:pt>
                <c:pt idx="1">
                  <c:v>5.13</c:v>
                </c:pt>
                <c:pt idx="2">
                  <c:v>3.34</c:v>
                </c:pt>
                <c:pt idx="3">
                  <c:v>3.88</c:v>
                </c:pt>
                <c:pt idx="4">
                  <c:v>4.63</c:v>
                </c:pt>
                <c:pt idx="5">
                  <c:v>4</c:v>
                </c:pt>
                <c:pt idx="6">
                  <c:v>5.63</c:v>
                </c:pt>
                <c:pt idx="7">
                  <c:v>6.07</c:v>
                </c:pt>
                <c:pt idx="8">
                  <c:v>7</c:v>
                </c:pt>
                <c:pt idx="9">
                  <c:v>7</c:v>
                </c:pt>
              </c:numCache>
            </c:numRef>
          </c:val>
          <c:smooth val="0"/>
          <c:extLst>
            <c:ext xmlns:c16="http://schemas.microsoft.com/office/drawing/2014/chart" uri="{C3380CC4-5D6E-409C-BE32-E72D297353CC}">
              <c16:uniqueId val="{00000001-B033-43AB-AD6A-10AEDA58EDC7}"/>
            </c:ext>
          </c:extLst>
        </c:ser>
        <c:dLbls>
          <c:showLegendKey val="0"/>
          <c:showVal val="0"/>
          <c:showCatName val="0"/>
          <c:showSerName val="0"/>
          <c:showPercent val="0"/>
          <c:showBubbleSize val="0"/>
        </c:dLbls>
        <c:marker val="1"/>
        <c:smooth val="0"/>
        <c:axId val="749738616"/>
        <c:axId val="749737536"/>
      </c:lineChart>
      <c:catAx>
        <c:axId val="749738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749737536"/>
        <c:crosses val="autoZero"/>
        <c:auto val="1"/>
        <c:lblAlgn val="ctr"/>
        <c:lblOffset val="100"/>
        <c:noMultiLvlLbl val="0"/>
      </c:catAx>
      <c:valAx>
        <c:axId val="749737536"/>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749738616"/>
        <c:crosses val="autoZero"/>
        <c:crossBetween val="between"/>
      </c:valAx>
      <c:valAx>
        <c:axId val="748413024"/>
        <c:scaling>
          <c:orientation val="minMax"/>
          <c:max val="100000"/>
          <c:min val="60000"/>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748411944"/>
        <c:crosses val="max"/>
        <c:crossBetween val="between"/>
        <c:dispUnits>
          <c:builtInUnit val="hundreds"/>
          <c:dispUnitsLbl>
            <c:layout>
              <c:manualLayout>
                <c:xMode val="edge"/>
                <c:yMode val="edge"/>
                <c:x val="0.74720786706926146"/>
                <c:y val="0.36547105141953445"/>
              </c:manualLayout>
            </c:layout>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baseline="0">
                      <a:solidFill>
                        <a:sysClr val="windowText" lastClr="000000"/>
                      </a:solidFill>
                    </a:rPr>
                    <a:t>Mmillion RMB</a:t>
                  </a:r>
                </a:p>
              </c:rich>
            </c:tx>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catAx>
        <c:axId val="748411944"/>
        <c:scaling>
          <c:orientation val="minMax"/>
        </c:scaling>
        <c:delete val="1"/>
        <c:axPos val="b"/>
        <c:numFmt formatCode="General" sourceLinked="1"/>
        <c:majorTickMark val="out"/>
        <c:minorTickMark val="none"/>
        <c:tickLblPos val="nextTo"/>
        <c:crossAx val="748413024"/>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[Tingyi Dashboard.xlsx]tables &amp; charts!PivotTable4</c:name>
    <c:fmtId val="6"/>
  </c:pivotSource>
  <c:chart>
    <c:autoTitleDeleted val="1"/>
    <c:pivotFmts>
      <c:pivotFmt>
        <c:idx val="0"/>
        <c:spPr>
          <a:solidFill>
            <a:srgbClr val="00B050"/>
          </a:solidFill>
          <a:ln>
            <a:noFill/>
          </a:ln>
          <a:effectLst>
            <a:glow rad="63500">
              <a:schemeClr val="accent3">
                <a:satMod val="175000"/>
                <a:alpha val="40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B050"/>
          </a:solidFill>
          <a:ln>
            <a:noFill/>
          </a:ln>
          <a:effectLst>
            <a:glow rad="63500">
              <a:schemeClr val="accent3">
                <a:satMod val="175000"/>
                <a:alpha val="40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50"/>
          </a:solidFill>
          <a:ln>
            <a:noFill/>
          </a:ln>
          <a:effectLst>
            <a:glow rad="63500">
              <a:schemeClr val="accent3">
                <a:satMod val="175000"/>
                <a:alpha val="40000"/>
              </a:schemeClr>
            </a:glow>
          </a:effectLst>
        </c:spPr>
        <c:marker>
          <c:symbol val="none"/>
        </c:marker>
        <c:dLbl>
          <c:idx val="0"/>
          <c:numFmt formatCode="#,##0_);[Red]\(#,##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a:glow rad="63500">
              <a:schemeClr val="accent3">
                <a:satMod val="175000"/>
                <a:alpha val="40000"/>
              </a:schemeClr>
            </a:glow>
          </a:effectLst>
        </c:spPr>
        <c:dLbl>
          <c:idx val="0"/>
          <c:numFmt formatCode="#,##0_);[Red]\(#,##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'tables &amp; charts'!$F$4</c:f>
              <c:strCache>
                <c:ptCount val="1"/>
                <c:pt idx="0">
                  <c:v>Total</c:v>
                </c:pt>
              </c:strCache>
            </c:strRef>
          </c:tx>
          <c:spPr>
            <a:solidFill>
              <a:srgbClr val="00B050"/>
            </a:solidFill>
            <a:ln>
              <a:noFill/>
            </a:ln>
            <a:effectLst>
              <a:glow rad="63500">
                <a:schemeClr val="accent3">
                  <a:satMod val="175000"/>
                  <a:alpha val="40000"/>
                </a:schemeClr>
              </a:glow>
            </a:effectLst>
          </c:spPr>
          <c:invertIfNegative val="0"/>
          <c:dPt>
            <c:idx val="5"/>
            <c:invertIfNegative val="0"/>
            <c:bubble3D val="0"/>
            <c:extLst>
              <c:ext xmlns:c16="http://schemas.microsoft.com/office/drawing/2014/chart" uri="{C3380CC4-5D6E-409C-BE32-E72D297353CC}">
                <c16:uniqueId val="{00000001-4B21-4582-8F11-BB259738FC78}"/>
              </c:ext>
            </c:extLst>
          </c:dPt>
          <c:dLbls>
            <c:dLbl>
              <c:idx val="5"/>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B21-4582-8F11-BB259738FC78}"/>
                </c:ext>
              </c:extLst>
            </c:dLbl>
            <c:numFmt formatCode="#,##0_);[Red]\(#,##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'tables &amp; charts'!$E$5:$E$15</c:f>
              <c:strCache>
                <c:ptCount val="10"/>
                <c:pt idx="0">
                  <c:v>2020</c:v>
                </c:pt>
                <c:pt idx="1">
                  <c:v>2021</c:v>
                </c:pt>
                <c:pt idx="2">
                  <c:v>2022</c:v>
                </c:pt>
                <c:pt idx="3">
                  <c:v>2023</c:v>
                </c:pt>
                <c:pt idx="4">
                  <c:v>2024</c:v>
                </c:pt>
                <c:pt idx="5">
                  <c:v>2025E</c:v>
                </c:pt>
                <c:pt idx="6">
                  <c:v>2026E</c:v>
                </c:pt>
                <c:pt idx="7">
                  <c:v>2027E</c:v>
                </c:pt>
                <c:pt idx="8">
                  <c:v>2028E</c:v>
                </c:pt>
                <c:pt idx="9">
                  <c:v>2029E</c:v>
                </c:pt>
              </c:strCache>
            </c:strRef>
          </c:cat>
          <c:val>
            <c:numRef>
              <c:f>'tables &amp; charts'!$F$5:$F$15</c:f>
              <c:numCache>
                <c:formatCode>General</c:formatCode>
                <c:ptCount val="10"/>
                <c:pt idx="4">
                  <c:v>4655.482</c:v>
                </c:pt>
                <c:pt idx="5">
                  <c:v>-4562.3723600000003</c:v>
                </c:pt>
                <c:pt idx="6">
                  <c:v>4471.1249127999999</c:v>
                </c:pt>
                <c:pt idx="7">
                  <c:v>4538.1917864919997</c:v>
                </c:pt>
                <c:pt idx="8">
                  <c:v>4588.1118961434113</c:v>
                </c:pt>
                <c:pt idx="9">
                  <c:v>4633.9930151048457</c:v>
                </c:pt>
              </c:numCache>
            </c:numRef>
          </c:val>
          <c:extLst>
            <c:ext xmlns:c16="http://schemas.microsoft.com/office/drawing/2014/chart" uri="{C3380CC4-5D6E-409C-BE32-E72D297353CC}">
              <c16:uniqueId val="{00000000-E036-4258-AC35-E6B13D6006DA}"/>
            </c:ext>
          </c:extLst>
        </c:ser>
        <c:dLbls>
          <c:showLegendKey val="0"/>
          <c:showVal val="0"/>
          <c:showCatName val="0"/>
          <c:showSerName val="0"/>
          <c:showPercent val="0"/>
          <c:showBubbleSize val="0"/>
        </c:dLbls>
        <c:gapWidth val="100"/>
        <c:overlap val="-27"/>
        <c:axId val="662110608"/>
        <c:axId val="665400816"/>
      </c:barChart>
      <c:catAx>
        <c:axId val="6621106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665400816"/>
        <c:crosses val="autoZero"/>
        <c:auto val="1"/>
        <c:lblAlgn val="ctr"/>
        <c:lblOffset val="100"/>
        <c:noMultiLvlLbl val="0"/>
      </c:catAx>
      <c:valAx>
        <c:axId val="665400816"/>
        <c:scaling>
          <c:orientation val="minMax"/>
          <c:max val="5000"/>
          <c:min val="-500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solidFill>
                      <a:schemeClr val="tx1"/>
                    </a:solidFill>
                  </a:rPr>
                  <a:t>Million</a:t>
                </a:r>
                <a:r>
                  <a:rPr lang="en-US" b="1" baseline="0">
                    <a:solidFill>
                      <a:schemeClr val="tx1"/>
                    </a:solidFill>
                  </a:rPr>
                  <a:t> RMB</a:t>
                </a:r>
                <a:endParaRPr lang="en-US" b="1">
                  <a:solidFill>
                    <a:schemeClr val="tx1"/>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6621106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b="1">
                <a:solidFill>
                  <a:sysClr val="windowText" lastClr="000000"/>
                </a:solidFill>
              </a:rPr>
              <a:t>Capital</a:t>
            </a:r>
            <a:r>
              <a:rPr lang="en-US" sz="2400" b="1" baseline="0">
                <a:solidFill>
                  <a:sysClr val="windowText" lastClr="000000"/>
                </a:solidFill>
              </a:rPr>
              <a:t> structure</a:t>
            </a:r>
            <a:endParaRPr lang="en-US" sz="2400"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spPr>
            <a:solidFill>
              <a:srgbClr val="00B050"/>
            </a:solidFill>
            <a:effectLst>
              <a:glow rad="63500">
                <a:schemeClr val="accent3">
                  <a:satMod val="175000"/>
                  <a:alpha val="40000"/>
                </a:schemeClr>
              </a:glow>
            </a:effectLst>
          </c:spPr>
          <c:dPt>
            <c:idx val="0"/>
            <c:bubble3D val="0"/>
            <c:spPr>
              <a:solidFill>
                <a:srgbClr val="FF0000"/>
              </a:solidFill>
              <a:ln w="19050">
                <a:noFill/>
              </a:ln>
              <a:effectLst>
                <a:glow rad="63500">
                  <a:schemeClr val="accent3">
                    <a:satMod val="175000"/>
                    <a:alpha val="40000"/>
                  </a:schemeClr>
                </a:glow>
              </a:effectLst>
            </c:spPr>
            <c:extLst>
              <c:ext xmlns:c16="http://schemas.microsoft.com/office/drawing/2014/chart" uri="{C3380CC4-5D6E-409C-BE32-E72D297353CC}">
                <c16:uniqueId val="{00000001-3746-4BC7-8F1D-E259F4AB7782}"/>
              </c:ext>
            </c:extLst>
          </c:dPt>
          <c:dPt>
            <c:idx val="1"/>
            <c:bubble3D val="0"/>
            <c:spPr>
              <a:solidFill>
                <a:srgbClr val="00B050"/>
              </a:solidFill>
              <a:ln w="19050">
                <a:solidFill>
                  <a:schemeClr val="lt1"/>
                </a:solidFill>
              </a:ln>
              <a:effectLst>
                <a:glow rad="63500">
                  <a:schemeClr val="accent3">
                    <a:satMod val="175000"/>
                    <a:alpha val="40000"/>
                  </a:schemeClr>
                </a:glow>
              </a:effectLst>
            </c:spPr>
            <c:extLst>
              <c:ext xmlns:c16="http://schemas.microsoft.com/office/drawing/2014/chart" uri="{C3380CC4-5D6E-409C-BE32-E72D297353CC}">
                <c16:uniqueId val="{00000003-3746-4BC7-8F1D-E259F4AB7782}"/>
              </c:ext>
            </c:extLst>
          </c:dPt>
          <c:dLbls>
            <c:dLbl>
              <c:idx val="0"/>
              <c:layout>
                <c:manualLayout>
                  <c:x val="7.7777777777777779E-2"/>
                  <c:y val="-5.5555555555555601E-2"/>
                </c:manualLayout>
              </c:layout>
              <c:tx>
                <c:rich>
                  <a:bodyPr/>
                  <a:lstStyle/>
                  <a:p>
                    <a:fld id="{01984D7A-DE4C-4B62-9D81-E77577398913}" type="VALUE">
                      <a:rPr lang="en-US" sz="1100" b="1">
                        <a:solidFill>
                          <a:srgbClr val="FF0000"/>
                        </a:solidFill>
                      </a:rPr>
                      <a:pPr/>
                      <a:t>[VALUE]</a:t>
                    </a:fld>
                    <a:endParaRPr lang="en-US"/>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3746-4BC7-8F1D-E259F4AB7782}"/>
                </c:ext>
              </c:extLst>
            </c:dLbl>
            <c:dLbl>
              <c:idx val="1"/>
              <c:layout>
                <c:manualLayout>
                  <c:x val="9.5654041024055336E-2"/>
                  <c:y val="-0.22060203624612693"/>
                </c:manualLayout>
              </c:layout>
              <c:tx>
                <c:rich>
                  <a:bodyPr/>
                  <a:lstStyle/>
                  <a:p>
                    <a:fld id="{C06017CC-B3A6-480B-BBD7-C438F6258C96}" type="VALUE">
                      <a:rPr lang="en-US" sz="1800" b="1">
                        <a:solidFill>
                          <a:srgbClr val="00B050"/>
                        </a:solidFill>
                      </a:rPr>
                      <a:pPr/>
                      <a:t>[VALUE]</a:t>
                    </a:fld>
                    <a:endParaRPr lang="en-US"/>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3746-4BC7-8F1D-E259F4AB7782}"/>
                </c:ext>
              </c:extLst>
            </c:dLbl>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cat>
            <c:strRef>
              <c:f>'tables &amp; charts'!$R$19:$R$20</c:f>
              <c:strCache>
                <c:ptCount val="2"/>
                <c:pt idx="0">
                  <c:v>Debt</c:v>
                </c:pt>
                <c:pt idx="1">
                  <c:v>Equity</c:v>
                </c:pt>
              </c:strCache>
            </c:strRef>
          </c:cat>
          <c:val>
            <c:numRef>
              <c:f>'tables &amp; charts'!$S$19:$S$20</c:f>
              <c:numCache>
                <c:formatCode>0.00%</c:formatCode>
                <c:ptCount val="2"/>
                <c:pt idx="0">
                  <c:v>0.20100000000000001</c:v>
                </c:pt>
                <c:pt idx="1">
                  <c:v>0.79900000000000004</c:v>
                </c:pt>
              </c:numCache>
            </c:numRef>
          </c:val>
          <c:extLst>
            <c:ext xmlns:c16="http://schemas.microsoft.com/office/drawing/2014/chart" uri="{C3380CC4-5D6E-409C-BE32-E72D297353CC}">
              <c16:uniqueId val="{00000004-3746-4BC7-8F1D-E259F4AB7782}"/>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l"/>
      <c:layout>
        <c:manualLayout>
          <c:xMode val="edge"/>
          <c:yMode val="edge"/>
          <c:x val="0.17890567283928133"/>
          <c:y val="0.47198282175417022"/>
          <c:w val="0.10039178583167223"/>
          <c:h val="0.14679557469933757"/>
        </c:manualLayout>
      </c:layout>
      <c:overlay val="0"/>
      <c:spPr>
        <a:noFill/>
        <a:ln>
          <a:noFill/>
        </a:ln>
        <a:effectLst/>
      </c:spPr>
      <c:txPr>
        <a:bodyPr rot="0" spcFirstLastPara="1" vertOverflow="ellipsis" vert="horz" wrap="square" anchor="ctr" anchorCtr="1"/>
        <a:lstStyle/>
        <a:p>
          <a:pPr>
            <a:defRPr sz="1100" b="1" i="0" u="none" strike="noStrike" kern="1200" baseline="0">
              <a:solidFill>
                <a:sysClr val="windowText" lastClr="000000"/>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dLbls>
          <c:showLegendKey val="0"/>
          <c:showVal val="0"/>
          <c:showCatName val="0"/>
          <c:showSerName val="0"/>
          <c:showPercent val="0"/>
          <c:showBubbleSize val="0"/>
          <c:showLeaderLines val="0"/>
        </c:dLbls>
        <c:firstSliceAng val="270"/>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dLbls>
          <c:showLegendKey val="0"/>
          <c:showVal val="0"/>
          <c:showCatName val="0"/>
          <c:showSerName val="0"/>
          <c:showPercent val="0"/>
          <c:showBubbleSize val="0"/>
          <c:showLeaderLines val="0"/>
        </c:dLbls>
        <c:firstSliceAng val="325"/>
      </c:pie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'rec chart'!$B$1</c:f>
              <c:strCache>
                <c:ptCount val="1"/>
                <c:pt idx="0">
                  <c:v>Value</c:v>
                </c:pt>
              </c:strCache>
            </c:strRef>
          </c:tx>
          <c:spPr>
            <a:ln>
              <a:noFill/>
            </a:ln>
          </c:spPr>
          <c:dPt>
            <c:idx val="0"/>
            <c:bubble3D val="0"/>
            <c:spPr>
              <a:solidFill>
                <a:schemeClr val="accent3">
                  <a:lumMod val="60000"/>
                  <a:lumOff val="40000"/>
                </a:schemeClr>
              </a:solidFill>
              <a:ln w="19050">
                <a:noFill/>
              </a:ln>
              <a:effectLst/>
            </c:spPr>
            <c:extLst>
              <c:ext xmlns:c16="http://schemas.microsoft.com/office/drawing/2014/chart" uri="{C3380CC4-5D6E-409C-BE32-E72D297353CC}">
                <c16:uniqueId val="{00000001-C89E-4F51-B3D8-7AD0535D67A9}"/>
              </c:ext>
            </c:extLst>
          </c:dPt>
          <c:dPt>
            <c:idx val="1"/>
            <c:bubble3D val="0"/>
            <c:spPr>
              <a:solidFill>
                <a:schemeClr val="accent3">
                  <a:lumMod val="40000"/>
                  <a:lumOff val="60000"/>
                </a:schemeClr>
              </a:solidFill>
              <a:ln w="19050">
                <a:noFill/>
              </a:ln>
              <a:effectLst/>
            </c:spPr>
            <c:extLst>
              <c:ext xmlns:c16="http://schemas.microsoft.com/office/drawing/2014/chart" uri="{C3380CC4-5D6E-409C-BE32-E72D297353CC}">
                <c16:uniqueId val="{00000003-C89E-4F51-B3D8-7AD0535D67A9}"/>
              </c:ext>
            </c:extLst>
          </c:dPt>
          <c:dPt>
            <c:idx val="2"/>
            <c:bubble3D val="0"/>
            <c:spPr>
              <a:solidFill>
                <a:srgbClr val="FFC000"/>
              </a:solidFill>
              <a:ln w="19050">
                <a:noFill/>
              </a:ln>
              <a:effectLst/>
            </c:spPr>
            <c:extLst>
              <c:ext xmlns:c16="http://schemas.microsoft.com/office/drawing/2014/chart" uri="{C3380CC4-5D6E-409C-BE32-E72D297353CC}">
                <c16:uniqueId val="{00000005-C89E-4F51-B3D8-7AD0535D67A9}"/>
              </c:ext>
            </c:extLst>
          </c:dPt>
          <c:dPt>
            <c:idx val="3"/>
            <c:bubble3D val="0"/>
            <c:spPr>
              <a:solidFill>
                <a:srgbClr val="F86266"/>
              </a:solidFill>
              <a:ln w="19050">
                <a:noFill/>
              </a:ln>
              <a:effectLst/>
            </c:spPr>
            <c:extLst>
              <c:ext xmlns:c16="http://schemas.microsoft.com/office/drawing/2014/chart" uri="{C3380CC4-5D6E-409C-BE32-E72D297353CC}">
                <c16:uniqueId val="{00000007-C89E-4F51-B3D8-7AD0535D67A9}"/>
              </c:ext>
            </c:extLst>
          </c:dPt>
          <c:dPt>
            <c:idx val="4"/>
            <c:bubble3D val="0"/>
            <c:spPr>
              <a:solidFill>
                <a:srgbClr val="FF0000"/>
              </a:solidFill>
              <a:ln w="19050">
                <a:noFill/>
              </a:ln>
              <a:effectLst/>
            </c:spPr>
            <c:extLst>
              <c:ext xmlns:c16="http://schemas.microsoft.com/office/drawing/2014/chart" uri="{C3380CC4-5D6E-409C-BE32-E72D297353CC}">
                <c16:uniqueId val="{00000009-C89E-4F51-B3D8-7AD0535D67A9}"/>
              </c:ext>
            </c:extLst>
          </c:dPt>
          <c:dPt>
            <c:idx val="5"/>
            <c:bubble3D val="0"/>
            <c:spPr>
              <a:noFill/>
              <a:ln w="19050">
                <a:noFill/>
              </a:ln>
              <a:effectLst/>
            </c:spPr>
            <c:extLst>
              <c:ext xmlns:c16="http://schemas.microsoft.com/office/drawing/2014/chart" uri="{C3380CC4-5D6E-409C-BE32-E72D297353CC}">
                <c16:uniqueId val="{0000000B-C89E-4F51-B3D8-7AD0535D67A9}"/>
              </c:ext>
            </c:extLst>
          </c:dPt>
          <c:cat>
            <c:strRef>
              <c:f>'rec chart'!$A$2:$A$7</c:f>
              <c:strCache>
                <c:ptCount val="6"/>
                <c:pt idx="0">
                  <c:v>Strong Buy</c:v>
                </c:pt>
                <c:pt idx="1">
                  <c:v>Buy</c:v>
                </c:pt>
                <c:pt idx="2">
                  <c:v>Hold</c:v>
                </c:pt>
                <c:pt idx="3">
                  <c:v>Sell</c:v>
                </c:pt>
                <c:pt idx="4">
                  <c:v>Strong Sell</c:v>
                </c:pt>
                <c:pt idx="5">
                  <c:v>Invisible</c:v>
                </c:pt>
              </c:strCache>
            </c:strRef>
          </c:cat>
          <c:val>
            <c:numRef>
              <c:f>'rec chart'!$B$2:$B$7</c:f>
              <c:numCache>
                <c:formatCode>General</c:formatCode>
                <c:ptCount val="6"/>
                <c:pt idx="0">
                  <c:v>1</c:v>
                </c:pt>
                <c:pt idx="1">
                  <c:v>1</c:v>
                </c:pt>
                <c:pt idx="2">
                  <c:v>1</c:v>
                </c:pt>
                <c:pt idx="3">
                  <c:v>1</c:v>
                </c:pt>
                <c:pt idx="4">
                  <c:v>1</c:v>
                </c:pt>
                <c:pt idx="5">
                  <c:v>5</c:v>
                </c:pt>
              </c:numCache>
            </c:numRef>
          </c:val>
          <c:extLst>
            <c:ext xmlns:c16="http://schemas.microsoft.com/office/drawing/2014/chart" uri="{C3380CC4-5D6E-409C-BE32-E72D297353CC}">
              <c16:uniqueId val="{0000000C-C89E-4F51-B3D8-7AD0535D67A9}"/>
            </c:ext>
          </c:extLst>
        </c:ser>
        <c:dLbls>
          <c:showLegendKey val="0"/>
          <c:showVal val="0"/>
          <c:showCatName val="0"/>
          <c:showSerName val="0"/>
          <c:showPercent val="0"/>
          <c:showBubbleSize val="0"/>
          <c:showLeaderLines val="1"/>
        </c:dLbls>
        <c:firstSliceAng val="270"/>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'rec chart'!$B$10</c:f>
              <c:strCache>
                <c:ptCount val="1"/>
                <c:pt idx="0">
                  <c:v>Value</c:v>
                </c:pt>
              </c:strCache>
            </c:strRef>
          </c:tx>
          <c:explosion val="4"/>
          <c:dPt>
            <c:idx val="0"/>
            <c:bubble3D val="0"/>
            <c:spPr>
              <a:solidFill>
                <a:srgbClr val="00B0F0"/>
              </a:solidFill>
              <a:ln w="19050">
                <a:solidFill>
                  <a:schemeClr val="lt1"/>
                </a:solidFill>
              </a:ln>
              <a:effectLst/>
            </c:spPr>
            <c:extLst>
              <c:ext xmlns:c16="http://schemas.microsoft.com/office/drawing/2014/chart" uri="{C3380CC4-5D6E-409C-BE32-E72D297353CC}">
                <c16:uniqueId val="{00000001-005B-463D-B1A6-FDD079B87070}"/>
              </c:ext>
            </c:extLst>
          </c:dPt>
          <c:dPt>
            <c:idx val="1"/>
            <c:bubble3D val="0"/>
            <c:spPr>
              <a:noFill/>
              <a:ln w="19050">
                <a:noFill/>
              </a:ln>
              <a:effectLst/>
            </c:spPr>
            <c:extLst>
              <c:ext xmlns:c16="http://schemas.microsoft.com/office/drawing/2014/chart" uri="{C3380CC4-5D6E-409C-BE32-E72D297353CC}">
                <c16:uniqueId val="{00000003-005B-463D-B1A6-FDD079B87070}"/>
              </c:ext>
            </c:extLst>
          </c:dPt>
          <c:cat>
            <c:strRef>
              <c:f>'rec chart'!$A$11:$A$12</c:f>
              <c:strCache>
                <c:ptCount val="2"/>
                <c:pt idx="0">
                  <c:v>Pointer</c:v>
                </c:pt>
                <c:pt idx="1">
                  <c:v>Invisible</c:v>
                </c:pt>
              </c:strCache>
            </c:strRef>
          </c:cat>
          <c:val>
            <c:numRef>
              <c:f>'rec chart'!$B$11:$B$12</c:f>
              <c:numCache>
                <c:formatCode>General</c:formatCode>
                <c:ptCount val="2"/>
                <c:pt idx="0">
                  <c:v>0.151</c:v>
                </c:pt>
                <c:pt idx="1">
                  <c:v>8</c:v>
                </c:pt>
              </c:numCache>
            </c:numRef>
          </c:val>
          <c:extLst>
            <c:ext xmlns:c16="http://schemas.microsoft.com/office/drawing/2014/chart" uri="{C3380CC4-5D6E-409C-BE32-E72D297353CC}">
              <c16:uniqueId val="{00000004-005B-463D-B1A6-FDD079B87070}"/>
            </c:ext>
          </c:extLst>
        </c:ser>
        <c:dLbls>
          <c:showLegendKey val="0"/>
          <c:showVal val="0"/>
          <c:showCatName val="0"/>
          <c:showSerName val="0"/>
          <c:showPercent val="0"/>
          <c:showBubbleSize val="0"/>
          <c:showLeaderLines val="1"/>
        </c:dLbls>
        <c:firstSliceAng val="328"/>
      </c:pie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[Tingyi Dashboard.xlsx]tables &amp; charts!PivotTable4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Free</a:t>
            </a:r>
            <a:r>
              <a:rPr lang="en-US" b="1" baseline="0">
                <a:solidFill>
                  <a:sysClr val="windowText" lastClr="000000"/>
                </a:solidFill>
              </a:rPr>
              <a:t> Cash Flow</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B050"/>
          </a:solidFill>
          <a:ln>
            <a:noFill/>
          </a:ln>
          <a:effectLst>
            <a:glow rad="63500">
              <a:schemeClr val="accent3">
                <a:satMod val="175000"/>
                <a:alpha val="40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'tables &amp; charts'!$F$4</c:f>
              <c:strCache>
                <c:ptCount val="1"/>
                <c:pt idx="0">
                  <c:v>Total</c:v>
                </c:pt>
              </c:strCache>
            </c:strRef>
          </c:tx>
          <c:spPr>
            <a:solidFill>
              <a:srgbClr val="00B050"/>
            </a:solidFill>
            <a:ln>
              <a:noFill/>
            </a:ln>
            <a:effectLst>
              <a:glow rad="63500">
                <a:schemeClr val="accent3">
                  <a:satMod val="175000"/>
                  <a:alpha val="40000"/>
                </a:schemeClr>
              </a:glow>
            </a:effectLst>
          </c:spPr>
          <c:invertIfNegative val="0"/>
          <c:cat>
            <c:strRef>
              <c:f>'tables &amp; charts'!$E$5:$E$15</c:f>
              <c:strCache>
                <c:ptCount val="10"/>
                <c:pt idx="0">
                  <c:v>2020</c:v>
                </c:pt>
                <c:pt idx="1">
                  <c:v>2021</c:v>
                </c:pt>
                <c:pt idx="2">
                  <c:v>2022</c:v>
                </c:pt>
                <c:pt idx="3">
                  <c:v>2023</c:v>
                </c:pt>
                <c:pt idx="4">
                  <c:v>2024</c:v>
                </c:pt>
                <c:pt idx="5">
                  <c:v>2025E</c:v>
                </c:pt>
                <c:pt idx="6">
                  <c:v>2026E</c:v>
                </c:pt>
                <c:pt idx="7">
                  <c:v>2027E</c:v>
                </c:pt>
                <c:pt idx="8">
                  <c:v>2028E</c:v>
                </c:pt>
                <c:pt idx="9">
                  <c:v>2029E</c:v>
                </c:pt>
              </c:strCache>
            </c:strRef>
          </c:cat>
          <c:val>
            <c:numRef>
              <c:f>'tables &amp; charts'!$F$5:$F$15</c:f>
              <c:numCache>
                <c:formatCode>General</c:formatCode>
                <c:ptCount val="10"/>
                <c:pt idx="4">
                  <c:v>4655.482</c:v>
                </c:pt>
                <c:pt idx="5">
                  <c:v>-4562.3723600000003</c:v>
                </c:pt>
                <c:pt idx="6">
                  <c:v>4471.1249127999999</c:v>
                </c:pt>
                <c:pt idx="7">
                  <c:v>4538.1917864919997</c:v>
                </c:pt>
                <c:pt idx="8">
                  <c:v>4588.1118961434113</c:v>
                </c:pt>
                <c:pt idx="9">
                  <c:v>4633.9930151048457</c:v>
                </c:pt>
              </c:numCache>
            </c:numRef>
          </c:val>
          <c:extLst>
            <c:ext xmlns:c16="http://schemas.microsoft.com/office/drawing/2014/chart" uri="{C3380CC4-5D6E-409C-BE32-E72D297353CC}">
              <c16:uniqueId val="{00000000-40E6-4428-A7A9-9CF13072F1E8}"/>
            </c:ext>
          </c:extLst>
        </c:ser>
        <c:dLbls>
          <c:showLegendKey val="0"/>
          <c:showVal val="0"/>
          <c:showCatName val="0"/>
          <c:showSerName val="0"/>
          <c:showPercent val="0"/>
          <c:showBubbleSize val="0"/>
        </c:dLbls>
        <c:gapWidth val="100"/>
        <c:overlap val="-27"/>
        <c:axId val="662110608"/>
        <c:axId val="665400816"/>
      </c:barChart>
      <c:catAx>
        <c:axId val="6621106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665400816"/>
        <c:crosses val="autoZero"/>
        <c:auto val="1"/>
        <c:lblAlgn val="ctr"/>
        <c:lblOffset val="100"/>
        <c:noMultiLvlLbl val="0"/>
      </c:catAx>
      <c:valAx>
        <c:axId val="665400816"/>
        <c:scaling>
          <c:orientation val="minMax"/>
          <c:max val="5000"/>
          <c:min val="-5000"/>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6621106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[Tingyi Dashboard.xlsx]tables &amp; charts!PivotTable5</c:name>
    <c:fmtId val="0"/>
  </c:pivotSource>
  <c:chart>
    <c:autoTitleDeleted val="0"/>
    <c:pivotFmts>
      <c:pivotFmt>
        <c:idx val="0"/>
        <c:spPr>
          <a:solidFill>
            <a:srgbClr val="00B050"/>
          </a:solidFill>
          <a:ln>
            <a:noFill/>
          </a:ln>
          <a:effectLst>
            <a:glow rad="63500">
              <a:schemeClr val="accent3">
                <a:satMod val="175000"/>
                <a:alpha val="40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a:glow rad="63500">
              <a:schemeClr val="accent2">
                <a:satMod val="175000"/>
                <a:alpha val="40000"/>
              </a:schemeClr>
            </a:glow>
          </a:effectLst>
        </c:spPr>
        <c:marker>
          <c:symbol val="diamond"/>
          <c:size val="5"/>
          <c:spPr>
            <a:solidFill>
              <a:schemeClr val="bg1"/>
            </a:solidFill>
            <a:ln w="9525">
              <a:solidFill>
                <a:srgbClr val="FF0000"/>
              </a:solidFill>
            </a:ln>
            <a:effectLst>
              <a:glow rad="63500">
                <a:schemeClr val="accent2">
                  <a:satMod val="175000"/>
                  <a:alpha val="40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3803149606299214E-2"/>
          <c:y val="5.0925925925925923E-2"/>
          <c:w val="0.60326815398075229"/>
          <c:h val="0.78207276173811602"/>
        </c:manualLayout>
      </c:layout>
      <c:barChart>
        <c:barDir val="col"/>
        <c:grouping val="clustered"/>
        <c:varyColors val="0"/>
        <c:ser>
          <c:idx val="0"/>
          <c:order val="0"/>
          <c:tx>
            <c:strRef>
              <c:f>'tables &amp; charts'!$O$3</c:f>
              <c:strCache>
                <c:ptCount val="1"/>
                <c:pt idx="0">
                  <c:v>Rev</c:v>
                </c:pt>
              </c:strCache>
            </c:strRef>
          </c:tx>
          <c:spPr>
            <a:solidFill>
              <a:srgbClr val="00B050"/>
            </a:solidFill>
            <a:ln>
              <a:noFill/>
            </a:ln>
            <a:effectLst>
              <a:glow rad="63500">
                <a:schemeClr val="accent3">
                  <a:satMod val="175000"/>
                  <a:alpha val="40000"/>
                </a:schemeClr>
              </a:glow>
            </a:effectLst>
          </c:spPr>
          <c:invertIfNegative val="0"/>
          <c:cat>
            <c:strRef>
              <c:f>'tables &amp; charts'!$N$4:$N$14</c:f>
              <c:strCache>
                <c:ptCount val="10"/>
                <c:pt idx="0">
                  <c:v>2020</c:v>
                </c:pt>
                <c:pt idx="1">
                  <c:v>2021</c:v>
                </c:pt>
                <c:pt idx="2">
                  <c:v>2022</c:v>
                </c:pt>
                <c:pt idx="3">
                  <c:v>2023</c:v>
                </c:pt>
                <c:pt idx="4">
                  <c:v>2024</c:v>
                </c:pt>
                <c:pt idx="5">
                  <c:v>2025E</c:v>
                </c:pt>
                <c:pt idx="6">
                  <c:v>2026E</c:v>
                </c:pt>
                <c:pt idx="7">
                  <c:v>2027E</c:v>
                </c:pt>
                <c:pt idx="8">
                  <c:v>2028E</c:v>
                </c:pt>
                <c:pt idx="9">
                  <c:v>2029E</c:v>
                </c:pt>
              </c:strCache>
            </c:strRef>
          </c:cat>
          <c:val>
            <c:numRef>
              <c:f>'tables &amp; charts'!$O$4:$O$14</c:f>
              <c:numCache>
                <c:formatCode>#,##0</c:formatCode>
                <c:ptCount val="10"/>
                <c:pt idx="0">
                  <c:v>67617.84</c:v>
                </c:pt>
                <c:pt idx="1">
                  <c:v>74082.289999999994</c:v>
                </c:pt>
                <c:pt idx="2">
                  <c:v>78717.42</c:v>
                </c:pt>
                <c:pt idx="3">
                  <c:v>80418.080000000002</c:v>
                </c:pt>
                <c:pt idx="4">
                  <c:v>80650.91</c:v>
                </c:pt>
                <c:pt idx="5">
                  <c:v>82263.928200000009</c:v>
                </c:pt>
                <c:pt idx="6">
                  <c:v>84731.846046000006</c:v>
                </c:pt>
                <c:pt idx="7">
                  <c:v>89815.756808760008</c:v>
                </c:pt>
                <c:pt idx="8">
                  <c:v>97001.017353460818</c:v>
                </c:pt>
                <c:pt idx="9">
                  <c:v>108641.13943587613</c:v>
                </c:pt>
              </c:numCache>
            </c:numRef>
          </c:val>
          <c:extLst>
            <c:ext xmlns:c16="http://schemas.microsoft.com/office/drawing/2014/chart" uri="{C3380CC4-5D6E-409C-BE32-E72D297353CC}">
              <c16:uniqueId val="{00000000-1478-4179-8C75-ACF014112912}"/>
            </c:ext>
          </c:extLst>
        </c:ser>
        <c:dLbls>
          <c:showLegendKey val="0"/>
          <c:showVal val="0"/>
          <c:showCatName val="0"/>
          <c:showSerName val="0"/>
          <c:showPercent val="0"/>
          <c:showBubbleSize val="0"/>
        </c:dLbls>
        <c:gapWidth val="150"/>
        <c:overlap val="-27"/>
        <c:axId val="748411944"/>
        <c:axId val="748413024"/>
      </c:barChart>
      <c:lineChart>
        <c:grouping val="standard"/>
        <c:varyColors val="0"/>
        <c:ser>
          <c:idx val="1"/>
          <c:order val="1"/>
          <c:tx>
            <c:strRef>
              <c:f>'tables &amp; charts'!$P$3</c:f>
              <c:strCache>
                <c:ptCount val="1"/>
                <c:pt idx="0">
                  <c:v>NI margin</c:v>
                </c:pt>
              </c:strCache>
            </c:strRef>
          </c:tx>
          <c:spPr>
            <a:ln w="28575" cap="rnd">
              <a:solidFill>
                <a:schemeClr val="accent2"/>
              </a:solidFill>
              <a:round/>
            </a:ln>
            <a:effectLst>
              <a:glow rad="63500">
                <a:schemeClr val="accent2">
                  <a:satMod val="175000"/>
                  <a:alpha val="40000"/>
                </a:schemeClr>
              </a:glow>
            </a:effectLst>
          </c:spPr>
          <c:marker>
            <c:symbol val="diamond"/>
            <c:size val="5"/>
            <c:spPr>
              <a:solidFill>
                <a:schemeClr val="bg1"/>
              </a:solidFill>
              <a:ln w="9525">
                <a:solidFill>
                  <a:srgbClr val="FF0000"/>
                </a:solidFill>
              </a:ln>
              <a:effectLst>
                <a:glow rad="63500">
                  <a:schemeClr val="accent2">
                    <a:satMod val="175000"/>
                    <a:alpha val="40000"/>
                  </a:schemeClr>
                </a:glow>
              </a:effectLst>
            </c:spPr>
          </c:marker>
          <c:cat>
            <c:strRef>
              <c:f>'tables &amp; charts'!$N$4:$N$14</c:f>
              <c:strCache>
                <c:ptCount val="10"/>
                <c:pt idx="0">
                  <c:v>2020</c:v>
                </c:pt>
                <c:pt idx="1">
                  <c:v>2021</c:v>
                </c:pt>
                <c:pt idx="2">
                  <c:v>2022</c:v>
                </c:pt>
                <c:pt idx="3">
                  <c:v>2023</c:v>
                </c:pt>
                <c:pt idx="4">
                  <c:v>2024</c:v>
                </c:pt>
                <c:pt idx="5">
                  <c:v>2025E</c:v>
                </c:pt>
                <c:pt idx="6">
                  <c:v>2026E</c:v>
                </c:pt>
                <c:pt idx="7">
                  <c:v>2027E</c:v>
                </c:pt>
                <c:pt idx="8">
                  <c:v>2028E</c:v>
                </c:pt>
                <c:pt idx="9">
                  <c:v>2029E</c:v>
                </c:pt>
              </c:strCache>
            </c:strRef>
          </c:cat>
          <c:val>
            <c:numRef>
              <c:f>'tables &amp; charts'!$P$4:$P$14</c:f>
              <c:numCache>
                <c:formatCode>#,##0</c:formatCode>
                <c:ptCount val="10"/>
                <c:pt idx="0">
                  <c:v>6.01</c:v>
                </c:pt>
                <c:pt idx="1">
                  <c:v>5.13</c:v>
                </c:pt>
                <c:pt idx="2">
                  <c:v>3.34</c:v>
                </c:pt>
                <c:pt idx="3">
                  <c:v>3.88</c:v>
                </c:pt>
                <c:pt idx="4">
                  <c:v>4.63</c:v>
                </c:pt>
                <c:pt idx="5">
                  <c:v>4</c:v>
                </c:pt>
                <c:pt idx="6">
                  <c:v>5.63</c:v>
                </c:pt>
                <c:pt idx="7">
                  <c:v>6.07</c:v>
                </c:pt>
                <c:pt idx="8">
                  <c:v>7</c:v>
                </c:pt>
                <c:pt idx="9">
                  <c:v>7</c:v>
                </c:pt>
              </c:numCache>
            </c:numRef>
          </c:val>
          <c:smooth val="0"/>
          <c:extLst>
            <c:ext xmlns:c16="http://schemas.microsoft.com/office/drawing/2014/chart" uri="{C3380CC4-5D6E-409C-BE32-E72D297353CC}">
              <c16:uniqueId val="{00000001-1478-4179-8C75-ACF014112912}"/>
            </c:ext>
          </c:extLst>
        </c:ser>
        <c:dLbls>
          <c:showLegendKey val="0"/>
          <c:showVal val="0"/>
          <c:showCatName val="0"/>
          <c:showSerName val="0"/>
          <c:showPercent val="0"/>
          <c:showBubbleSize val="0"/>
        </c:dLbls>
        <c:marker val="1"/>
        <c:smooth val="0"/>
        <c:axId val="749738616"/>
        <c:axId val="749737536"/>
      </c:lineChart>
      <c:catAx>
        <c:axId val="749738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749737536"/>
        <c:crosses val="autoZero"/>
        <c:auto val="1"/>
        <c:lblAlgn val="ctr"/>
        <c:lblOffset val="100"/>
        <c:noMultiLvlLbl val="0"/>
      </c:catAx>
      <c:valAx>
        <c:axId val="749737536"/>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749738616"/>
        <c:crosses val="autoZero"/>
        <c:crossBetween val="between"/>
      </c:valAx>
      <c:valAx>
        <c:axId val="748413024"/>
        <c:scaling>
          <c:orientation val="minMax"/>
          <c:max val="100000"/>
          <c:min val="60000"/>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748411944"/>
        <c:crosses val="max"/>
        <c:crossBetween val="between"/>
        <c:dispUnits>
          <c:builtInUnit val="hundreds"/>
          <c:dispUnitsLbl>
            <c:layout>
              <c:manualLayout>
                <c:xMode val="edge"/>
                <c:yMode val="edge"/>
                <c:x val="0.74720778652668418"/>
                <c:y val="0.25"/>
              </c:manualLayout>
            </c:layout>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solidFill>
                        <a:sysClr val="windowText" lastClr="000000"/>
                      </a:solidFill>
                    </a:rPr>
                    <a:t>Hundred</a:t>
                  </a:r>
                  <a:r>
                    <a:rPr lang="en-US" b="1" baseline="0">
                      <a:solidFill>
                        <a:sysClr val="windowText" lastClr="000000"/>
                      </a:solidFill>
                    </a:rPr>
                    <a:t> million RMB</a:t>
                  </a:r>
                </a:p>
              </c:rich>
            </c:tx>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catAx>
        <c:axId val="748411944"/>
        <c:scaling>
          <c:orientation val="minMax"/>
        </c:scaling>
        <c:delete val="1"/>
        <c:axPos val="b"/>
        <c:numFmt formatCode="General" sourceLinked="1"/>
        <c:majorTickMark val="out"/>
        <c:minorTickMark val="none"/>
        <c:tickLblPos val="nextTo"/>
        <c:crossAx val="748413024"/>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Capital</a:t>
            </a:r>
            <a:r>
              <a:rPr lang="en-US" b="1" baseline="0">
                <a:solidFill>
                  <a:sysClr val="windowText" lastClr="000000"/>
                </a:solidFill>
              </a:rPr>
              <a:t> structure</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spPr>
            <a:solidFill>
              <a:srgbClr val="00B050"/>
            </a:solidFill>
            <a:effectLst>
              <a:glow rad="63500">
                <a:schemeClr val="accent3">
                  <a:satMod val="175000"/>
                  <a:alpha val="40000"/>
                </a:schemeClr>
              </a:glow>
            </a:effectLst>
          </c:spPr>
          <c:dPt>
            <c:idx val="0"/>
            <c:bubble3D val="0"/>
            <c:spPr>
              <a:solidFill>
                <a:srgbClr val="FF0000"/>
              </a:solidFill>
              <a:ln w="19050">
                <a:noFill/>
              </a:ln>
              <a:effectLst>
                <a:glow rad="63500">
                  <a:schemeClr val="accent3">
                    <a:satMod val="175000"/>
                    <a:alpha val="40000"/>
                  </a:schemeClr>
                </a:glow>
              </a:effectLst>
            </c:spPr>
            <c:extLst>
              <c:ext xmlns:c16="http://schemas.microsoft.com/office/drawing/2014/chart" uri="{C3380CC4-5D6E-409C-BE32-E72D297353CC}">
                <c16:uniqueId val="{00000001-C22A-4B0F-A2EE-6C0FE14FF03B}"/>
              </c:ext>
            </c:extLst>
          </c:dPt>
          <c:dPt>
            <c:idx val="1"/>
            <c:bubble3D val="0"/>
            <c:spPr>
              <a:solidFill>
                <a:srgbClr val="00B050"/>
              </a:solidFill>
              <a:ln w="19050">
                <a:solidFill>
                  <a:schemeClr val="lt1"/>
                </a:solidFill>
              </a:ln>
              <a:effectLst>
                <a:glow rad="63500">
                  <a:schemeClr val="accent3">
                    <a:satMod val="175000"/>
                    <a:alpha val="40000"/>
                  </a:schemeClr>
                </a:glow>
              </a:effectLst>
            </c:spPr>
            <c:extLst>
              <c:ext xmlns:c16="http://schemas.microsoft.com/office/drawing/2014/chart" uri="{C3380CC4-5D6E-409C-BE32-E72D297353CC}">
                <c16:uniqueId val="{00000002-C22A-4B0F-A2EE-6C0FE14FF03B}"/>
              </c:ext>
            </c:extLst>
          </c:dPt>
          <c:dLbls>
            <c:dLbl>
              <c:idx val="0"/>
              <c:layout>
                <c:manualLayout>
                  <c:x val="7.7777777777777779E-2"/>
                  <c:y val="-5.5555555555555601E-2"/>
                </c:manualLayout>
              </c:layout>
              <c:tx>
                <c:rich>
                  <a:bodyPr/>
                  <a:lstStyle/>
                  <a:p>
                    <a:fld id="{01984D7A-DE4C-4B62-9D81-E77577398913}" type="VALUE">
                      <a:rPr lang="en-US" sz="1100" b="1">
                        <a:solidFill>
                          <a:srgbClr val="FF0000"/>
                        </a:solidFill>
                      </a:rPr>
                      <a:pPr/>
                      <a:t>[VALUE]</a:t>
                    </a:fld>
                    <a:endParaRPr lang="en-US"/>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C22A-4B0F-A2EE-6C0FE14FF03B}"/>
                </c:ext>
              </c:extLst>
            </c:dLbl>
            <c:dLbl>
              <c:idx val="1"/>
              <c:layout>
                <c:manualLayout>
                  <c:x val="8.611111111111111E-2"/>
                  <c:y val="-0.17129629629629639"/>
                </c:manualLayout>
              </c:layout>
              <c:tx>
                <c:rich>
                  <a:bodyPr/>
                  <a:lstStyle/>
                  <a:p>
                    <a:fld id="{C06017CC-B3A6-480B-BBD7-C438F6258C96}" type="VALUE">
                      <a:rPr lang="en-US" sz="1800" b="1">
                        <a:solidFill>
                          <a:srgbClr val="00B050"/>
                        </a:solidFill>
                      </a:rPr>
                      <a:pPr/>
                      <a:t>[VALUE]</a:t>
                    </a:fld>
                    <a:endParaRPr lang="en-US"/>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C22A-4B0F-A2EE-6C0FE14FF03B}"/>
                </c:ext>
              </c:extLst>
            </c:dLbl>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cat>
            <c:strRef>
              <c:f>'tables &amp; charts'!$R$19:$R$20</c:f>
              <c:strCache>
                <c:ptCount val="2"/>
                <c:pt idx="0">
                  <c:v>Debt</c:v>
                </c:pt>
                <c:pt idx="1">
                  <c:v>Equity</c:v>
                </c:pt>
              </c:strCache>
            </c:strRef>
          </c:cat>
          <c:val>
            <c:numRef>
              <c:f>'tables &amp; charts'!$S$19:$S$20</c:f>
              <c:numCache>
                <c:formatCode>0.00%</c:formatCode>
                <c:ptCount val="2"/>
                <c:pt idx="0">
                  <c:v>0.20100000000000001</c:v>
                </c:pt>
                <c:pt idx="1">
                  <c:v>0.79900000000000004</c:v>
                </c:pt>
              </c:numCache>
            </c:numRef>
          </c:val>
          <c:extLst>
            <c:ext xmlns:c16="http://schemas.microsoft.com/office/drawing/2014/chart" uri="{C3380CC4-5D6E-409C-BE32-E72D297353CC}">
              <c16:uniqueId val="{00000000-C22A-4B0F-A2EE-6C0FE14FF03B}"/>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'rec chart'!$B$1</c:f>
              <c:strCache>
                <c:ptCount val="1"/>
                <c:pt idx="0">
                  <c:v>Value</c:v>
                </c:pt>
              </c:strCache>
            </c:strRef>
          </c:tx>
          <c:spPr>
            <a:ln>
              <a:noFill/>
            </a:ln>
          </c:spPr>
          <c:dPt>
            <c:idx val="0"/>
            <c:bubble3D val="0"/>
            <c:spPr>
              <a:solidFill>
                <a:schemeClr val="accent3">
                  <a:lumMod val="60000"/>
                  <a:lumOff val="40000"/>
                </a:schemeClr>
              </a:solidFill>
              <a:ln w="19050">
                <a:noFill/>
              </a:ln>
              <a:effectLst/>
            </c:spPr>
            <c:extLst>
              <c:ext xmlns:c16="http://schemas.microsoft.com/office/drawing/2014/chart" uri="{C3380CC4-5D6E-409C-BE32-E72D297353CC}">
                <c16:uniqueId val="{00000002-A700-41B7-9F0C-1789ED7836D6}"/>
              </c:ext>
            </c:extLst>
          </c:dPt>
          <c:dPt>
            <c:idx val="1"/>
            <c:bubble3D val="0"/>
            <c:spPr>
              <a:solidFill>
                <a:schemeClr val="accent3">
                  <a:lumMod val="40000"/>
                  <a:lumOff val="60000"/>
                </a:schemeClr>
              </a:solidFill>
              <a:ln w="19050">
                <a:noFill/>
              </a:ln>
              <a:effectLst/>
            </c:spPr>
            <c:extLst>
              <c:ext xmlns:c16="http://schemas.microsoft.com/office/drawing/2014/chart" uri="{C3380CC4-5D6E-409C-BE32-E72D297353CC}">
                <c16:uniqueId val="{00000003-501C-405C-94A1-4F3D82F70C7B}"/>
              </c:ext>
            </c:extLst>
          </c:dPt>
          <c:dPt>
            <c:idx val="2"/>
            <c:bubble3D val="0"/>
            <c:spPr>
              <a:solidFill>
                <a:srgbClr val="FFC000"/>
              </a:solidFill>
              <a:ln w="19050">
                <a:noFill/>
              </a:ln>
              <a:effectLst/>
            </c:spPr>
            <c:extLst>
              <c:ext xmlns:c16="http://schemas.microsoft.com/office/drawing/2014/chart" uri="{C3380CC4-5D6E-409C-BE32-E72D297353CC}">
                <c16:uniqueId val="{00000005-501C-405C-94A1-4F3D82F70C7B}"/>
              </c:ext>
            </c:extLst>
          </c:dPt>
          <c:dPt>
            <c:idx val="3"/>
            <c:bubble3D val="0"/>
            <c:spPr>
              <a:solidFill>
                <a:srgbClr val="F86266"/>
              </a:solidFill>
              <a:ln w="19050">
                <a:noFill/>
              </a:ln>
              <a:effectLst/>
            </c:spPr>
            <c:extLst>
              <c:ext xmlns:c16="http://schemas.microsoft.com/office/drawing/2014/chart" uri="{C3380CC4-5D6E-409C-BE32-E72D297353CC}">
                <c16:uniqueId val="{00000007-501C-405C-94A1-4F3D82F70C7B}"/>
              </c:ext>
            </c:extLst>
          </c:dPt>
          <c:dPt>
            <c:idx val="4"/>
            <c:bubble3D val="0"/>
            <c:spPr>
              <a:solidFill>
                <a:srgbClr val="FF0000"/>
              </a:solidFill>
              <a:ln w="19050">
                <a:noFill/>
              </a:ln>
              <a:effectLst/>
            </c:spPr>
            <c:extLst>
              <c:ext xmlns:c16="http://schemas.microsoft.com/office/drawing/2014/chart" uri="{C3380CC4-5D6E-409C-BE32-E72D297353CC}">
                <c16:uniqueId val="{00000009-501C-405C-94A1-4F3D82F70C7B}"/>
              </c:ext>
            </c:extLst>
          </c:dPt>
          <c:dPt>
            <c:idx val="5"/>
            <c:bubble3D val="0"/>
            <c:spPr>
              <a:noFill/>
              <a:ln w="19050">
                <a:noFill/>
              </a:ln>
              <a:effectLst/>
            </c:spPr>
            <c:extLst>
              <c:ext xmlns:c16="http://schemas.microsoft.com/office/drawing/2014/chart" uri="{C3380CC4-5D6E-409C-BE32-E72D297353CC}">
                <c16:uniqueId val="{00000001-A700-41B7-9F0C-1789ED7836D6}"/>
              </c:ext>
            </c:extLst>
          </c:dPt>
          <c:cat>
            <c:strRef>
              <c:f>'rec chart'!$A$2:$A$7</c:f>
              <c:strCache>
                <c:ptCount val="6"/>
                <c:pt idx="0">
                  <c:v>Strong Buy</c:v>
                </c:pt>
                <c:pt idx="1">
                  <c:v>Buy</c:v>
                </c:pt>
                <c:pt idx="2">
                  <c:v>Hold</c:v>
                </c:pt>
                <c:pt idx="3">
                  <c:v>Sell</c:v>
                </c:pt>
                <c:pt idx="4">
                  <c:v>Strong Sell</c:v>
                </c:pt>
                <c:pt idx="5">
                  <c:v>Invisible</c:v>
                </c:pt>
              </c:strCache>
            </c:strRef>
          </c:cat>
          <c:val>
            <c:numRef>
              <c:f>'rec chart'!$B$2:$B$7</c:f>
              <c:numCache>
                <c:formatCode>General</c:formatCode>
                <c:ptCount val="6"/>
                <c:pt idx="0">
                  <c:v>1</c:v>
                </c:pt>
                <c:pt idx="1">
                  <c:v>1</c:v>
                </c:pt>
                <c:pt idx="2">
                  <c:v>1</c:v>
                </c:pt>
                <c:pt idx="3">
                  <c:v>1</c:v>
                </c:pt>
                <c:pt idx="4">
                  <c:v>1</c:v>
                </c:pt>
                <c:pt idx="5">
                  <c:v>5</c:v>
                </c:pt>
              </c:numCache>
            </c:numRef>
          </c:val>
          <c:extLst>
            <c:ext xmlns:c16="http://schemas.microsoft.com/office/drawing/2014/chart" uri="{C3380CC4-5D6E-409C-BE32-E72D297353CC}">
              <c16:uniqueId val="{00000000-A700-41B7-9F0C-1789ED7836D6}"/>
            </c:ext>
          </c:extLst>
        </c:ser>
        <c:dLbls>
          <c:showLegendKey val="0"/>
          <c:showVal val="0"/>
          <c:showCatName val="0"/>
          <c:showSerName val="0"/>
          <c:showPercent val="0"/>
          <c:showBubbleSize val="0"/>
          <c:showLeaderLines val="1"/>
        </c:dLbls>
        <c:firstSliceAng val="270"/>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'rec chart'!$B$10</c:f>
              <c:strCache>
                <c:ptCount val="1"/>
                <c:pt idx="0">
                  <c:v>Value</c:v>
                </c:pt>
              </c:strCache>
            </c:strRef>
          </c:tx>
          <c:dPt>
            <c:idx val="0"/>
            <c:bubble3D val="0"/>
            <c:spPr>
              <a:solidFill>
                <a:srgbClr val="00B0F0"/>
              </a:solidFill>
              <a:ln w="19050">
                <a:solidFill>
                  <a:schemeClr val="lt1"/>
                </a:solidFill>
              </a:ln>
              <a:effectLst/>
            </c:spPr>
            <c:extLst>
              <c:ext xmlns:c16="http://schemas.microsoft.com/office/drawing/2014/chart" uri="{C3380CC4-5D6E-409C-BE32-E72D297353CC}">
                <c16:uniqueId val="{00000001-383F-4100-8495-B362C90FCD7D}"/>
              </c:ext>
            </c:extLst>
          </c:dPt>
          <c:dPt>
            <c:idx val="1"/>
            <c:bubble3D val="0"/>
            <c:spPr>
              <a:noFill/>
              <a:ln w="19050">
                <a:noFill/>
              </a:ln>
              <a:effectLst/>
            </c:spPr>
            <c:extLst>
              <c:ext xmlns:c16="http://schemas.microsoft.com/office/drawing/2014/chart" uri="{C3380CC4-5D6E-409C-BE32-E72D297353CC}">
                <c16:uniqueId val="{00000002-383F-4100-8495-B362C90FCD7D}"/>
              </c:ext>
            </c:extLst>
          </c:dPt>
          <c:cat>
            <c:strRef>
              <c:f>'rec chart'!$A$11:$A$12</c:f>
              <c:strCache>
                <c:ptCount val="2"/>
                <c:pt idx="0">
                  <c:v>Pointer</c:v>
                </c:pt>
                <c:pt idx="1">
                  <c:v>Invisible</c:v>
                </c:pt>
              </c:strCache>
            </c:strRef>
          </c:cat>
          <c:val>
            <c:numRef>
              <c:f>'rec chart'!$B$11:$B$12</c:f>
              <c:numCache>
                <c:formatCode>General</c:formatCode>
                <c:ptCount val="2"/>
                <c:pt idx="0">
                  <c:v>0.151</c:v>
                </c:pt>
                <c:pt idx="1">
                  <c:v>8</c:v>
                </c:pt>
              </c:numCache>
            </c:numRef>
          </c:val>
          <c:extLst>
            <c:ext xmlns:c16="http://schemas.microsoft.com/office/drawing/2014/chart" uri="{C3380CC4-5D6E-409C-BE32-E72D297353CC}">
              <c16:uniqueId val="{00000000-383F-4100-8495-B362C90FCD7D}"/>
            </c:ext>
          </c:extLst>
        </c:ser>
        <c:dLbls>
          <c:showLegendKey val="0"/>
          <c:showVal val="0"/>
          <c:showCatName val="0"/>
          <c:showSerName val="0"/>
          <c:showPercent val="0"/>
          <c:showBubbleSize val="0"/>
          <c:showLeaderLines val="1"/>
        </c:dLbls>
        <c:firstSliceAng val="325"/>
      </c:pie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6">
  <a:schemeClr val="accent3"/>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image" Target="../media/image3.png"/><Relationship Id="rId18" Type="http://schemas.openxmlformats.org/officeDocument/2006/relationships/image" Target="../media/image7.emf"/><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hyperlink" Target="#Contact!A1"/><Relationship Id="rId17" Type="http://schemas.openxmlformats.org/officeDocument/2006/relationships/image" Target="../media/image6.svg"/><Relationship Id="rId2" Type="http://schemas.openxmlformats.org/officeDocument/2006/relationships/chart" Target="../charts/chart2.xml"/><Relationship Id="rId16" Type="http://schemas.openxmlformats.org/officeDocument/2006/relationships/image" Target="../media/image5.png"/><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image" Target="../media/image2.svg"/><Relationship Id="rId5" Type="http://schemas.openxmlformats.org/officeDocument/2006/relationships/chart" Target="../charts/chart5.xml"/><Relationship Id="rId15" Type="http://schemas.openxmlformats.org/officeDocument/2006/relationships/hyperlink" Target="#'tables &amp; charts'!A1"/><Relationship Id="rId10" Type="http://schemas.openxmlformats.org/officeDocument/2006/relationships/image" Target="../media/image1.png"/><Relationship Id="rId4" Type="http://schemas.openxmlformats.org/officeDocument/2006/relationships/chart" Target="../charts/chart4.xml"/><Relationship Id="rId9" Type="http://schemas.openxmlformats.org/officeDocument/2006/relationships/hyperlink" Target="#Valuation!A1"/><Relationship Id="rId14" Type="http://schemas.openxmlformats.org/officeDocument/2006/relationships/image" Target="../media/image4.svg"/></Relationships>
</file>

<file path=xl/drawings/_rels/drawing3.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2" Type="http://schemas.openxmlformats.org/officeDocument/2006/relationships/chart" Target="../charts/chart13.xml"/><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1</xdr:col>
      <xdr:colOff>8659</xdr:colOff>
      <xdr:row>0</xdr:row>
      <xdr:rowOff>0</xdr:rowOff>
    </xdr:from>
    <xdr:to>
      <xdr:col>25</xdr:col>
      <xdr:colOff>601014</xdr:colOff>
      <xdr:row>3</xdr:row>
      <xdr:rowOff>95251</xdr:rowOff>
    </xdr:to>
    <xdr:sp macro="" textlink="">
      <xdr:nvSpPr>
        <xdr:cNvPr id="4" name="TextBox 3">
          <a:extLst>
            <a:ext uri="{FF2B5EF4-FFF2-40B4-BE49-F238E27FC236}">
              <a16:creationId xmlns:a16="http://schemas.microsoft.com/office/drawing/2014/main" id="{CE94388A-CC18-4839-AB04-4F6FD27EC519}"/>
            </a:ext>
          </a:extLst>
        </xdr:cNvPr>
        <xdr:cNvSpPr txBox="1"/>
      </xdr:nvSpPr>
      <xdr:spPr>
        <a:xfrm>
          <a:off x="620405" y="0"/>
          <a:ext cx="18622778" cy="642603"/>
        </a:xfrm>
        <a:prstGeom prst="rect">
          <a:avLst/>
        </a:prstGeom>
        <a:solidFill>
          <a:schemeClr val="accent6">
            <a:lumMod val="75000"/>
          </a:schemeClr>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3600" b="1">
              <a:solidFill>
                <a:schemeClr val="bg1"/>
              </a:solidFill>
            </a:rPr>
            <a:t>Tingyi - DCF Valuation Dashboard</a:t>
          </a:r>
        </a:p>
      </xdr:txBody>
    </xdr:sp>
    <xdr:clientData/>
  </xdr:twoCellAnchor>
  <xdr:twoCellAnchor editAs="oneCell">
    <xdr:from>
      <xdr:col>6</xdr:col>
      <xdr:colOff>0</xdr:colOff>
      <xdr:row>3</xdr:row>
      <xdr:rowOff>0</xdr:rowOff>
    </xdr:from>
    <xdr:to>
      <xdr:col>6</xdr:col>
      <xdr:colOff>304800</xdr:colOff>
      <xdr:row>4</xdr:row>
      <xdr:rowOff>121920</xdr:rowOff>
    </xdr:to>
    <xdr:sp macro="" textlink="">
      <xdr:nvSpPr>
        <xdr:cNvPr id="2049" name="AutoShape 1" descr="Tingyi (Caymen Islands) Holding Corp">
          <a:extLst>
            <a:ext uri="{FF2B5EF4-FFF2-40B4-BE49-F238E27FC236}">
              <a16:creationId xmlns:a16="http://schemas.microsoft.com/office/drawing/2014/main" id="{BA2E30AD-B9D5-7618-0EB3-2831F5B9ABC2}"/>
            </a:ext>
          </a:extLst>
        </xdr:cNvPr>
        <xdr:cNvSpPr>
          <a:spLocks noChangeAspect="1" noChangeArrowheads="1"/>
        </xdr:cNvSpPr>
      </xdr:nvSpPr>
      <xdr:spPr bwMode="auto">
        <a:xfrm>
          <a:off x="3657600" y="5486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xdr:row>
      <xdr:rowOff>0</xdr:rowOff>
    </xdr:from>
    <xdr:to>
      <xdr:col>6</xdr:col>
      <xdr:colOff>304800</xdr:colOff>
      <xdr:row>4</xdr:row>
      <xdr:rowOff>121920</xdr:rowOff>
    </xdr:to>
    <xdr:sp macro="" textlink="">
      <xdr:nvSpPr>
        <xdr:cNvPr id="2050" name="AutoShape 2" descr="Tingyi (Caymen Islands) Holding Corp">
          <a:extLst>
            <a:ext uri="{FF2B5EF4-FFF2-40B4-BE49-F238E27FC236}">
              <a16:creationId xmlns:a16="http://schemas.microsoft.com/office/drawing/2014/main" id="{C6352568-4A67-603F-B614-0E8C1D15CF64}"/>
            </a:ext>
          </a:extLst>
        </xdr:cNvPr>
        <xdr:cNvSpPr>
          <a:spLocks noChangeAspect="1" noChangeArrowheads="1"/>
        </xdr:cNvSpPr>
      </xdr:nvSpPr>
      <xdr:spPr bwMode="auto">
        <a:xfrm>
          <a:off x="3657600" y="5486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xdr:row>
      <xdr:rowOff>0</xdr:rowOff>
    </xdr:from>
    <xdr:to>
      <xdr:col>6</xdr:col>
      <xdr:colOff>304800</xdr:colOff>
      <xdr:row>4</xdr:row>
      <xdr:rowOff>121920</xdr:rowOff>
    </xdr:to>
    <xdr:sp macro="" textlink="">
      <xdr:nvSpPr>
        <xdr:cNvPr id="2051" name="AutoShape 3" descr="Tingyi (Caymen Islands) Holding Corp">
          <a:extLst>
            <a:ext uri="{FF2B5EF4-FFF2-40B4-BE49-F238E27FC236}">
              <a16:creationId xmlns:a16="http://schemas.microsoft.com/office/drawing/2014/main" id="{0E720937-19AF-E2C2-21F1-ED7569503EE9}"/>
            </a:ext>
          </a:extLst>
        </xdr:cNvPr>
        <xdr:cNvSpPr>
          <a:spLocks noChangeAspect="1" noChangeArrowheads="1"/>
        </xdr:cNvSpPr>
      </xdr:nvSpPr>
      <xdr:spPr bwMode="auto">
        <a:xfrm>
          <a:off x="3657600" y="5486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xdr:row>
      <xdr:rowOff>0</xdr:rowOff>
    </xdr:from>
    <xdr:to>
      <xdr:col>6</xdr:col>
      <xdr:colOff>304800</xdr:colOff>
      <xdr:row>4</xdr:row>
      <xdr:rowOff>121920</xdr:rowOff>
    </xdr:to>
    <xdr:sp macro="" textlink="">
      <xdr:nvSpPr>
        <xdr:cNvPr id="2052" name="AutoShape 4" descr="Tingyi (Caymen Islands) Holding Corp">
          <a:extLst>
            <a:ext uri="{FF2B5EF4-FFF2-40B4-BE49-F238E27FC236}">
              <a16:creationId xmlns:a16="http://schemas.microsoft.com/office/drawing/2014/main" id="{7D077B62-651D-8934-B88E-0FE5485C188F}"/>
            </a:ext>
          </a:extLst>
        </xdr:cNvPr>
        <xdr:cNvSpPr>
          <a:spLocks noChangeAspect="1" noChangeArrowheads="1"/>
        </xdr:cNvSpPr>
      </xdr:nvSpPr>
      <xdr:spPr bwMode="auto">
        <a:xfrm>
          <a:off x="3657600" y="5486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xdr:row>
      <xdr:rowOff>0</xdr:rowOff>
    </xdr:from>
    <xdr:to>
      <xdr:col>6</xdr:col>
      <xdr:colOff>304800</xdr:colOff>
      <xdr:row>4</xdr:row>
      <xdr:rowOff>121920</xdr:rowOff>
    </xdr:to>
    <xdr:sp macro="" textlink="">
      <xdr:nvSpPr>
        <xdr:cNvPr id="2053" name="AutoShape 5" descr="Tingyi (Caymen Islands) Holding Corp">
          <a:extLst>
            <a:ext uri="{FF2B5EF4-FFF2-40B4-BE49-F238E27FC236}">
              <a16:creationId xmlns:a16="http://schemas.microsoft.com/office/drawing/2014/main" id="{ACC112B7-1B5A-6C77-A92E-250ABF530DEB}"/>
            </a:ext>
          </a:extLst>
        </xdr:cNvPr>
        <xdr:cNvSpPr>
          <a:spLocks noChangeAspect="1" noChangeArrowheads="1"/>
        </xdr:cNvSpPr>
      </xdr:nvSpPr>
      <xdr:spPr bwMode="auto">
        <a:xfrm>
          <a:off x="3657600" y="5486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18</xdr:col>
      <xdr:colOff>377829</xdr:colOff>
      <xdr:row>4</xdr:row>
      <xdr:rowOff>29148</xdr:rowOff>
    </xdr:from>
    <xdr:to>
      <xdr:col>25</xdr:col>
      <xdr:colOff>588574</xdr:colOff>
      <xdr:row>18</xdr:row>
      <xdr:rowOff>75126</xdr:rowOff>
    </xdr:to>
    <xdr:graphicFrame macro="">
      <xdr:nvGraphicFramePr>
        <xdr:cNvPr id="7" name="Chart 6">
          <a:extLst>
            <a:ext uri="{FF2B5EF4-FFF2-40B4-BE49-F238E27FC236}">
              <a16:creationId xmlns:a16="http://schemas.microsoft.com/office/drawing/2014/main" id="{773CB07E-5A05-493B-953D-783DE1BD79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991891</xdr:colOff>
      <xdr:row>4</xdr:row>
      <xdr:rowOff>154763</xdr:rowOff>
    </xdr:from>
    <xdr:to>
      <xdr:col>3</xdr:col>
      <xdr:colOff>364901</xdr:colOff>
      <xdr:row>10</xdr:row>
      <xdr:rowOff>75127</xdr:rowOff>
    </xdr:to>
    <xdr:sp macro="" textlink="'Data copy'!$B$32">
      <xdr:nvSpPr>
        <xdr:cNvPr id="2" name="Rectangle: Rounded Corners 1">
          <a:extLst>
            <a:ext uri="{FF2B5EF4-FFF2-40B4-BE49-F238E27FC236}">
              <a16:creationId xmlns:a16="http://schemas.microsoft.com/office/drawing/2014/main" id="{614EE5DC-5EAD-27C2-BD3C-91496F9CF37B}"/>
            </a:ext>
          </a:extLst>
        </xdr:cNvPr>
        <xdr:cNvSpPr/>
      </xdr:nvSpPr>
      <xdr:spPr>
        <a:xfrm>
          <a:off x="1603637" y="884566"/>
          <a:ext cx="1841461" cy="1015068"/>
        </a:xfrm>
        <a:prstGeom prst="roundRect">
          <a:avLst/>
        </a:prstGeom>
        <a:solidFill>
          <a:sysClr val="window" lastClr="FFFFFF"/>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400" b="1" i="0" u="none" strike="noStrike">
              <a:ln>
                <a:noFill/>
              </a:ln>
              <a:solidFill>
                <a:sysClr val="windowText" lastClr="000000"/>
              </a:solidFill>
              <a:latin typeface="Aptos Narrow"/>
            </a:rPr>
            <a:t>Market Cap</a:t>
          </a:r>
        </a:p>
        <a:p>
          <a:pPr algn="ctr"/>
          <a:r>
            <a:rPr lang="en-US" sz="2400" b="1" i="0" u="none" strike="noStrike">
              <a:ln>
                <a:noFill/>
              </a:ln>
              <a:solidFill>
                <a:sysClr val="windowText" lastClr="000000"/>
              </a:solidFill>
              <a:latin typeface="Aptos Narrow"/>
            </a:rPr>
            <a:t>$</a:t>
          </a:r>
          <a:fld id="{457B9A19-F94B-458C-B006-41FCCAF53F70}" type="TxLink">
            <a:rPr lang="en-US" sz="2400" b="1" i="0" u="none" strike="noStrike">
              <a:ln>
                <a:noFill/>
              </a:ln>
              <a:solidFill>
                <a:sysClr val="windowText" lastClr="000000"/>
              </a:solidFill>
              <a:latin typeface="Aptos Narrow"/>
            </a:rPr>
            <a:pPr algn="ctr"/>
            <a:t>74,288 M</a:t>
          </a:fld>
          <a:endParaRPr lang="en-US" sz="3600" b="1">
            <a:ln>
              <a:noFill/>
            </a:ln>
            <a:solidFill>
              <a:sysClr val="windowText" lastClr="000000"/>
            </a:solidFill>
          </a:endParaRPr>
        </a:p>
      </xdr:txBody>
    </xdr:sp>
    <xdr:clientData/>
  </xdr:twoCellAnchor>
  <xdr:twoCellAnchor>
    <xdr:from>
      <xdr:col>1</xdr:col>
      <xdr:colOff>1256765</xdr:colOff>
      <xdr:row>10</xdr:row>
      <xdr:rowOff>150253</xdr:rowOff>
    </xdr:from>
    <xdr:to>
      <xdr:col>5</xdr:col>
      <xdr:colOff>225380</xdr:colOff>
      <xdr:row>15</xdr:row>
      <xdr:rowOff>96590</xdr:rowOff>
    </xdr:to>
    <xdr:sp macro="" textlink="Valuation!R56">
      <xdr:nvSpPr>
        <xdr:cNvPr id="3" name="Rectangle: Rounded Corners 2">
          <a:extLst>
            <a:ext uri="{FF2B5EF4-FFF2-40B4-BE49-F238E27FC236}">
              <a16:creationId xmlns:a16="http://schemas.microsoft.com/office/drawing/2014/main" id="{FF13A9B0-CEFE-4E6A-8C2C-97833262F54E}"/>
            </a:ext>
          </a:extLst>
        </xdr:cNvPr>
        <xdr:cNvSpPr/>
      </xdr:nvSpPr>
      <xdr:spPr>
        <a:xfrm>
          <a:off x="1868511" y="1974760"/>
          <a:ext cx="2660559" cy="858591"/>
        </a:xfrm>
        <a:prstGeom prst="roundRect">
          <a:avLst/>
        </a:prstGeom>
        <a:solidFill>
          <a:sysClr val="window" lastClr="FFFFFF"/>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000" b="1" i="0" u="none" strike="noStrike">
              <a:ln>
                <a:noFill/>
              </a:ln>
              <a:solidFill>
                <a:srgbClr val="000000"/>
              </a:solidFill>
              <a:latin typeface="Aptos Narrow"/>
            </a:rPr>
            <a:t>Perpetual Growth</a:t>
          </a:r>
          <a:r>
            <a:rPr lang="en-US" sz="2000" b="1" i="0" u="none" strike="noStrike" baseline="0">
              <a:ln>
                <a:noFill/>
              </a:ln>
              <a:solidFill>
                <a:srgbClr val="000000"/>
              </a:solidFill>
              <a:latin typeface="Aptos Narrow"/>
            </a:rPr>
            <a:t> Rate</a:t>
          </a:r>
          <a:endParaRPr lang="en-US" sz="2000" b="1" i="0" u="none" strike="noStrike">
            <a:ln>
              <a:noFill/>
            </a:ln>
            <a:solidFill>
              <a:srgbClr val="000000"/>
            </a:solidFill>
            <a:latin typeface="Aptos Narrow"/>
          </a:endParaRPr>
        </a:p>
        <a:p>
          <a:pPr algn="ctr"/>
          <a:fld id="{7C6FAFF8-1820-4DB4-BEB4-A937B09275BC}" type="TxLink">
            <a:rPr lang="en-US" sz="2000" b="1" i="0" u="none" strike="noStrike">
              <a:ln>
                <a:noFill/>
              </a:ln>
              <a:solidFill>
                <a:srgbClr val="000000"/>
              </a:solidFill>
              <a:latin typeface="Aptos Narrow"/>
            </a:rPr>
            <a:pPr algn="ctr"/>
            <a:t>4%</a:t>
          </a:fld>
          <a:endParaRPr lang="en-US" sz="2800" b="1">
            <a:ln>
              <a:noFill/>
            </a:ln>
            <a:solidFill>
              <a:sysClr val="windowText" lastClr="000000"/>
            </a:solidFill>
          </a:endParaRPr>
        </a:p>
      </xdr:txBody>
    </xdr:sp>
    <xdr:clientData/>
  </xdr:twoCellAnchor>
  <xdr:twoCellAnchor>
    <xdr:from>
      <xdr:col>15</xdr:col>
      <xdr:colOff>422035</xdr:colOff>
      <xdr:row>4</xdr:row>
      <xdr:rowOff>38100</xdr:rowOff>
    </xdr:from>
    <xdr:to>
      <xdr:col>18</xdr:col>
      <xdr:colOff>292100</xdr:colOff>
      <xdr:row>8</xdr:row>
      <xdr:rowOff>25400</xdr:rowOff>
    </xdr:to>
    <xdr:sp macro="" textlink="Valuation!B61">
      <xdr:nvSpPr>
        <xdr:cNvPr id="5" name="Rectangle: Rounded Corners 4">
          <a:extLst>
            <a:ext uri="{FF2B5EF4-FFF2-40B4-BE49-F238E27FC236}">
              <a16:creationId xmlns:a16="http://schemas.microsoft.com/office/drawing/2014/main" id="{83C09036-2E82-4A9B-99E3-F11B62DB9249}"/>
            </a:ext>
          </a:extLst>
        </xdr:cNvPr>
        <xdr:cNvSpPr/>
      </xdr:nvSpPr>
      <xdr:spPr>
        <a:xfrm>
          <a:off x="11813935" y="749300"/>
          <a:ext cx="1698865" cy="698500"/>
        </a:xfrm>
        <a:prstGeom prst="roundRect">
          <a:avLst/>
        </a:prstGeom>
        <a:solidFill>
          <a:sysClr val="window" lastClr="FFFFFF"/>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i="0" u="none" strike="noStrike">
              <a:ln>
                <a:noFill/>
              </a:ln>
              <a:solidFill>
                <a:srgbClr val="000000"/>
              </a:solidFill>
              <a:latin typeface="Aptos Narrow"/>
            </a:rPr>
            <a:t>Upside</a:t>
          </a:r>
        </a:p>
        <a:p>
          <a:pPr algn="ctr"/>
          <a:r>
            <a:rPr lang="en-US" sz="1600" b="1" i="0" u="none" strike="noStrike">
              <a:ln>
                <a:noFill/>
              </a:ln>
              <a:solidFill>
                <a:srgbClr val="000000"/>
              </a:solidFill>
              <a:latin typeface="Aptos Narrow"/>
            </a:rPr>
            <a:t>                 </a:t>
          </a:r>
          <a:fld id="{BD09C8FD-164B-44BC-AB8C-96B3FBC28320}" type="TxLink">
            <a:rPr lang="en-US" sz="1600" b="1" i="0" u="none" strike="noStrike">
              <a:ln>
                <a:noFill/>
              </a:ln>
              <a:solidFill>
                <a:srgbClr val="000000"/>
              </a:solidFill>
              <a:latin typeface="Aptos Narrow"/>
            </a:rPr>
            <a:pPr algn="ctr"/>
            <a:t>39.57%</a:t>
          </a:fld>
          <a:endParaRPr lang="en-US" sz="2800" b="1" i="0" u="none" strike="noStrike">
            <a:ln>
              <a:noFill/>
            </a:ln>
            <a:solidFill>
              <a:sysClr val="windowText" lastClr="000000"/>
            </a:solidFill>
            <a:latin typeface="Aptos Narrow"/>
          </a:endParaRPr>
        </a:p>
      </xdr:txBody>
    </xdr:sp>
    <xdr:clientData/>
  </xdr:twoCellAnchor>
  <xdr:twoCellAnchor>
    <xdr:from>
      <xdr:col>16</xdr:col>
      <xdr:colOff>191043</xdr:colOff>
      <xdr:row>5</xdr:row>
      <xdr:rowOff>139253</xdr:rowOff>
    </xdr:from>
    <xdr:to>
      <xdr:col>16</xdr:col>
      <xdr:colOff>572832</xdr:colOff>
      <xdr:row>7</xdr:row>
      <xdr:rowOff>48654</xdr:rowOff>
    </xdr:to>
    <xdr:sp macro="" textlink="">
      <xdr:nvSpPr>
        <xdr:cNvPr id="6" name="Arrow: Up 5">
          <a:extLst>
            <a:ext uri="{FF2B5EF4-FFF2-40B4-BE49-F238E27FC236}">
              <a16:creationId xmlns:a16="http://schemas.microsoft.com/office/drawing/2014/main" id="{8D2ABF4A-1C4E-33E0-7A35-769CA08A32F4}"/>
            </a:ext>
          </a:extLst>
        </xdr:cNvPr>
        <xdr:cNvSpPr/>
      </xdr:nvSpPr>
      <xdr:spPr>
        <a:xfrm>
          <a:off x="12192543" y="1028253"/>
          <a:ext cx="381789" cy="265001"/>
        </a:xfrm>
        <a:prstGeom prst="upArrow">
          <a:avLst/>
        </a:prstGeom>
        <a:solidFill>
          <a:schemeClr val="accent6">
            <a:lumMod val="60000"/>
            <a:lumOff val="40000"/>
          </a:schemeClr>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121227</xdr:colOff>
      <xdr:row>16</xdr:row>
      <xdr:rowOff>0</xdr:rowOff>
    </xdr:from>
    <xdr:to>
      <xdr:col>10</xdr:col>
      <xdr:colOff>770580</xdr:colOff>
      <xdr:row>18</xdr:row>
      <xdr:rowOff>107323</xdr:rowOff>
    </xdr:to>
    <xdr:sp macro="" textlink="">
      <xdr:nvSpPr>
        <xdr:cNvPr id="9" name="TextBox 8">
          <a:extLst>
            <a:ext uri="{FF2B5EF4-FFF2-40B4-BE49-F238E27FC236}">
              <a16:creationId xmlns:a16="http://schemas.microsoft.com/office/drawing/2014/main" id="{9BF9782F-E0D0-B575-EB41-58925BC806FD}"/>
            </a:ext>
          </a:extLst>
        </xdr:cNvPr>
        <xdr:cNvSpPr txBox="1"/>
      </xdr:nvSpPr>
      <xdr:spPr>
        <a:xfrm>
          <a:off x="2085255" y="2919211"/>
          <a:ext cx="5961888" cy="472225"/>
        </a:xfrm>
        <a:prstGeom prst="roundRect">
          <a:avLst/>
        </a:prstGeom>
        <a:solidFill>
          <a:schemeClr val="accent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b="1">
              <a:solidFill>
                <a:schemeClr val="bg1"/>
              </a:solidFill>
            </a:rPr>
            <a:t>Historical and Projections </a:t>
          </a:r>
        </a:p>
      </xdr:txBody>
    </xdr:sp>
    <xdr:clientData/>
  </xdr:twoCellAnchor>
  <xdr:twoCellAnchor>
    <xdr:from>
      <xdr:col>2</xdr:col>
      <xdr:colOff>188461</xdr:colOff>
      <xdr:row>19</xdr:row>
      <xdr:rowOff>127061</xdr:rowOff>
    </xdr:from>
    <xdr:to>
      <xdr:col>11</xdr:col>
      <xdr:colOff>10579</xdr:colOff>
      <xdr:row>38</xdr:row>
      <xdr:rowOff>130475</xdr:rowOff>
    </xdr:to>
    <xdr:graphicFrame macro="">
      <xdr:nvGraphicFramePr>
        <xdr:cNvPr id="8" name="Chart 7">
          <a:extLst>
            <a:ext uri="{FF2B5EF4-FFF2-40B4-BE49-F238E27FC236}">
              <a16:creationId xmlns:a16="http://schemas.microsoft.com/office/drawing/2014/main" id="{B5C4C0D5-B3FC-457B-A101-99C014ABDB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151687</xdr:colOff>
      <xdr:row>18</xdr:row>
      <xdr:rowOff>79372</xdr:rowOff>
    </xdr:from>
    <xdr:to>
      <xdr:col>18</xdr:col>
      <xdr:colOff>343283</xdr:colOff>
      <xdr:row>37</xdr:row>
      <xdr:rowOff>86931</xdr:rowOff>
    </xdr:to>
    <xdr:graphicFrame macro="">
      <xdr:nvGraphicFramePr>
        <xdr:cNvPr id="10" name="Chart 9">
          <a:extLst>
            <a:ext uri="{FF2B5EF4-FFF2-40B4-BE49-F238E27FC236}">
              <a16:creationId xmlns:a16="http://schemas.microsoft.com/office/drawing/2014/main" id="{82FE4E6B-6BB1-47F8-94E8-E311249DB5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10734</xdr:colOff>
      <xdr:row>18</xdr:row>
      <xdr:rowOff>182448</xdr:rowOff>
    </xdr:from>
    <xdr:to>
      <xdr:col>2</xdr:col>
      <xdr:colOff>42932</xdr:colOff>
      <xdr:row>38</xdr:row>
      <xdr:rowOff>21463</xdr:rowOff>
    </xdr:to>
    <mc:AlternateContent xmlns:mc="http://schemas.openxmlformats.org/markup-compatibility/2006" xmlns:a14="http://schemas.microsoft.com/office/drawing/2010/main">
      <mc:Choice Requires="a14">
        <xdr:graphicFrame macro="">
          <xdr:nvGraphicFramePr>
            <xdr:cNvPr id="11" name="year 2">
              <a:extLst>
                <a:ext uri="{FF2B5EF4-FFF2-40B4-BE49-F238E27FC236}">
                  <a16:creationId xmlns:a16="http://schemas.microsoft.com/office/drawing/2014/main" id="{A52FC075-1D31-4AB5-A462-3C8CE1D10795}"/>
                </a:ext>
              </a:extLst>
            </xdr:cNvPr>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mlns="">
        <xdr:sp macro="" textlink="">
          <xdr:nvSpPr>
            <xdr:cNvPr id="0" name=""/>
            <xdr:cNvSpPr>
              <a:spLocks noTextEdit="1"/>
            </xdr:cNvSpPr>
          </xdr:nvSpPr>
          <xdr:spPr>
            <a:xfrm>
              <a:off x="618622" y="3418808"/>
              <a:ext cx="1384962" cy="343497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364900</xdr:colOff>
      <xdr:row>19</xdr:row>
      <xdr:rowOff>96593</xdr:rowOff>
    </xdr:from>
    <xdr:to>
      <xdr:col>26</xdr:col>
      <xdr:colOff>241905</xdr:colOff>
      <xdr:row>37</xdr:row>
      <xdr:rowOff>151191</xdr:rowOff>
    </xdr:to>
    <xdr:graphicFrame macro="">
      <xdr:nvGraphicFramePr>
        <xdr:cNvPr id="13" name="Chart 12">
          <a:extLst>
            <a:ext uri="{FF2B5EF4-FFF2-40B4-BE49-F238E27FC236}">
              <a16:creationId xmlns:a16="http://schemas.microsoft.com/office/drawing/2014/main" id="{D6D94923-1AAD-4824-A051-76C98B6217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461494</xdr:colOff>
      <xdr:row>4</xdr:row>
      <xdr:rowOff>118054</xdr:rowOff>
    </xdr:from>
    <xdr:to>
      <xdr:col>5</xdr:col>
      <xdr:colOff>397099</xdr:colOff>
      <xdr:row>10</xdr:row>
      <xdr:rowOff>53662</xdr:rowOff>
    </xdr:to>
    <xdr:sp macro="" textlink="Valuation!B38">
      <xdr:nvSpPr>
        <xdr:cNvPr id="14" name="Rectangle: Rounded Corners 13">
          <a:extLst>
            <a:ext uri="{FF2B5EF4-FFF2-40B4-BE49-F238E27FC236}">
              <a16:creationId xmlns:a16="http://schemas.microsoft.com/office/drawing/2014/main" id="{A6A3EDAF-4B5A-4A23-B427-394704BE5262}"/>
            </a:ext>
          </a:extLst>
        </xdr:cNvPr>
        <xdr:cNvSpPr/>
      </xdr:nvSpPr>
      <xdr:spPr>
        <a:xfrm>
          <a:off x="3541691" y="847857"/>
          <a:ext cx="1159098" cy="1030312"/>
        </a:xfrm>
        <a:prstGeom prst="roundRect">
          <a:avLst/>
        </a:prstGeom>
        <a:solidFill>
          <a:sysClr val="window" lastClr="FFFFFF"/>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400" b="1" i="0" u="none" strike="noStrike">
              <a:ln>
                <a:noFill/>
              </a:ln>
              <a:solidFill>
                <a:sysClr val="windowText" lastClr="000000"/>
              </a:solidFill>
              <a:latin typeface="Aptos Narrow"/>
            </a:rPr>
            <a:t>WACC</a:t>
          </a:r>
        </a:p>
        <a:p>
          <a:pPr algn="ctr"/>
          <a:fld id="{9CF91E7C-A6E9-4473-B03F-231FDEBA2DEB}" type="TxLink">
            <a:rPr lang="en-US" sz="2400" b="1" i="0" u="none" strike="noStrike">
              <a:ln>
                <a:noFill/>
              </a:ln>
              <a:solidFill>
                <a:sysClr val="windowText" lastClr="000000"/>
              </a:solidFill>
              <a:latin typeface="Aptos Narrow"/>
            </a:rPr>
            <a:pPr algn="ctr"/>
            <a:t>7.54%</a:t>
          </a:fld>
          <a:endParaRPr lang="en-US" sz="5400" b="1">
            <a:ln>
              <a:noFill/>
            </a:ln>
            <a:solidFill>
              <a:sysClr val="windowText" lastClr="000000"/>
            </a:solidFill>
          </a:endParaRPr>
        </a:p>
      </xdr:txBody>
    </xdr:sp>
    <xdr:clientData/>
  </xdr:twoCellAnchor>
  <xdr:twoCellAnchor>
    <xdr:from>
      <xdr:col>11</xdr:col>
      <xdr:colOff>160986</xdr:colOff>
      <xdr:row>16</xdr:row>
      <xdr:rowOff>21465</xdr:rowOff>
    </xdr:from>
    <xdr:to>
      <xdr:col>18</xdr:col>
      <xdr:colOff>354169</xdr:colOff>
      <xdr:row>18</xdr:row>
      <xdr:rowOff>96590</xdr:rowOff>
    </xdr:to>
    <xdr:sp macro="" textlink="">
      <xdr:nvSpPr>
        <xdr:cNvPr id="15" name="TextBox 14">
          <a:extLst>
            <a:ext uri="{FF2B5EF4-FFF2-40B4-BE49-F238E27FC236}">
              <a16:creationId xmlns:a16="http://schemas.microsoft.com/office/drawing/2014/main" id="{1FBDA6C2-9156-4134-8F4A-74F6FA6ACB70}"/>
            </a:ext>
          </a:extLst>
        </xdr:cNvPr>
        <xdr:cNvSpPr txBox="1"/>
      </xdr:nvSpPr>
      <xdr:spPr>
        <a:xfrm>
          <a:off x="8263944" y="2940676"/>
          <a:ext cx="5334000" cy="440027"/>
        </a:xfrm>
        <a:prstGeom prst="roundRect">
          <a:avLst/>
        </a:prstGeom>
        <a:solidFill>
          <a:schemeClr val="accent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b="1">
              <a:solidFill>
                <a:schemeClr val="bg1"/>
              </a:solidFill>
            </a:rPr>
            <a:t>Free</a:t>
          </a:r>
          <a:r>
            <a:rPr lang="en-US" sz="2400" b="1" baseline="0">
              <a:solidFill>
                <a:schemeClr val="bg1"/>
              </a:solidFill>
            </a:rPr>
            <a:t> Cash Flow</a:t>
          </a:r>
          <a:endParaRPr lang="en-US" sz="2400" b="1">
            <a:solidFill>
              <a:schemeClr val="bg1"/>
            </a:solidFill>
          </a:endParaRPr>
        </a:p>
      </xdr:txBody>
    </xdr:sp>
    <xdr:clientData/>
  </xdr:twoCellAnchor>
  <xdr:twoCellAnchor>
    <xdr:from>
      <xdr:col>14</xdr:col>
      <xdr:colOff>643943</xdr:colOff>
      <xdr:row>17</xdr:row>
      <xdr:rowOff>150255</xdr:rowOff>
    </xdr:from>
    <xdr:to>
      <xdr:col>19</xdr:col>
      <xdr:colOff>719070</xdr:colOff>
      <xdr:row>29</xdr:row>
      <xdr:rowOff>0</xdr:rowOff>
    </xdr:to>
    <xdr:graphicFrame macro="">
      <xdr:nvGraphicFramePr>
        <xdr:cNvPr id="12" name="Chart 11">
          <a:extLst>
            <a:ext uri="{FF2B5EF4-FFF2-40B4-BE49-F238E27FC236}">
              <a16:creationId xmlns:a16="http://schemas.microsoft.com/office/drawing/2014/main" id="{C513B8D9-D730-4E83-B22B-844CE67555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294282</xdr:colOff>
      <xdr:row>8</xdr:row>
      <xdr:rowOff>139521</xdr:rowOff>
    </xdr:from>
    <xdr:to>
      <xdr:col>19</xdr:col>
      <xdr:colOff>279043</xdr:colOff>
      <xdr:row>19</xdr:row>
      <xdr:rowOff>53663</xdr:rowOff>
    </xdr:to>
    <xdr:graphicFrame macro="">
      <xdr:nvGraphicFramePr>
        <xdr:cNvPr id="16" name="Chart 15">
          <a:extLst>
            <a:ext uri="{FF2B5EF4-FFF2-40B4-BE49-F238E27FC236}">
              <a16:creationId xmlns:a16="http://schemas.microsoft.com/office/drawing/2014/main" id="{31DC8AF9-3FA3-48E5-B419-606331FEA5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246845</xdr:colOff>
      <xdr:row>7</xdr:row>
      <xdr:rowOff>171718</xdr:rowOff>
    </xdr:from>
    <xdr:to>
      <xdr:col>18</xdr:col>
      <xdr:colOff>1186788</xdr:colOff>
      <xdr:row>18</xdr:row>
      <xdr:rowOff>128681</xdr:rowOff>
    </xdr:to>
    <xdr:graphicFrame macro="">
      <xdr:nvGraphicFramePr>
        <xdr:cNvPr id="19" name="Chart 18">
          <a:extLst>
            <a:ext uri="{FF2B5EF4-FFF2-40B4-BE49-F238E27FC236}">
              <a16:creationId xmlns:a16="http://schemas.microsoft.com/office/drawing/2014/main" id="{7A09D38D-025E-42E2-A538-408BE6A68F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14</xdr:col>
      <xdr:colOff>240620</xdr:colOff>
      <xdr:row>8</xdr:row>
      <xdr:rowOff>118163</xdr:rowOff>
    </xdr:from>
    <xdr:to>
      <xdr:col>18</xdr:col>
      <xdr:colOff>1180563</xdr:colOff>
      <xdr:row>19</xdr:row>
      <xdr:rowOff>75127</xdr:rowOff>
    </xdr:to>
    <xdr:graphicFrame macro="">
      <xdr:nvGraphicFramePr>
        <xdr:cNvPr id="20" name="Chart 19">
          <a:extLst>
            <a:ext uri="{FF2B5EF4-FFF2-40B4-BE49-F238E27FC236}">
              <a16:creationId xmlns:a16="http://schemas.microsoft.com/office/drawing/2014/main" id="{9930B0AC-7B6A-4820-8D86-E9EBEBA5D8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14</xdr:col>
      <xdr:colOff>815662</xdr:colOff>
      <xdr:row>13</xdr:row>
      <xdr:rowOff>21465</xdr:rowOff>
    </xdr:from>
    <xdr:to>
      <xdr:col>16</xdr:col>
      <xdr:colOff>397098</xdr:colOff>
      <xdr:row>15</xdr:row>
      <xdr:rowOff>0</xdr:rowOff>
    </xdr:to>
    <xdr:sp macro="" textlink="">
      <xdr:nvSpPr>
        <xdr:cNvPr id="21" name="TextBox 20">
          <a:extLst>
            <a:ext uri="{FF2B5EF4-FFF2-40B4-BE49-F238E27FC236}">
              <a16:creationId xmlns:a16="http://schemas.microsoft.com/office/drawing/2014/main" id="{4797A702-74EC-E169-7085-B30FC0D4DE82}"/>
            </a:ext>
          </a:extLst>
        </xdr:cNvPr>
        <xdr:cNvSpPr txBox="1"/>
      </xdr:nvSpPr>
      <xdr:spPr>
        <a:xfrm>
          <a:off x="11397803" y="2393324"/>
          <a:ext cx="1019577" cy="3434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solidFill>
                <a:srgbClr val="00B050"/>
              </a:solidFill>
            </a:rPr>
            <a:t>BUY</a:t>
          </a:r>
        </a:p>
      </xdr:txBody>
    </xdr:sp>
    <xdr:clientData/>
  </xdr:twoCellAnchor>
  <xdr:twoCellAnchor editAs="oneCell">
    <xdr:from>
      <xdr:col>1</xdr:col>
      <xdr:colOff>42930</xdr:colOff>
      <xdr:row>4</xdr:row>
      <xdr:rowOff>75126</xdr:rowOff>
    </xdr:from>
    <xdr:to>
      <xdr:col>1</xdr:col>
      <xdr:colOff>871472</xdr:colOff>
      <xdr:row>8</xdr:row>
      <xdr:rowOff>173865</xdr:rowOff>
    </xdr:to>
    <xdr:pic>
      <xdr:nvPicPr>
        <xdr:cNvPr id="26" name="Graphic 25" descr="Bar chart with solid fill">
          <a:hlinkClick xmlns:r="http://schemas.openxmlformats.org/officeDocument/2006/relationships" r:id="rId9"/>
          <a:extLst>
            <a:ext uri="{FF2B5EF4-FFF2-40B4-BE49-F238E27FC236}">
              <a16:creationId xmlns:a16="http://schemas.microsoft.com/office/drawing/2014/main" id="{5094F0AF-E484-2017-32A2-8E224CE1055D}"/>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654676" y="804929"/>
          <a:ext cx="828542" cy="828542"/>
        </a:xfrm>
        <a:prstGeom prst="rect">
          <a:avLst/>
        </a:prstGeom>
      </xdr:spPr>
    </xdr:pic>
    <xdr:clientData/>
  </xdr:twoCellAnchor>
  <xdr:twoCellAnchor editAs="oneCell">
    <xdr:from>
      <xdr:col>1</xdr:col>
      <xdr:colOff>13644</xdr:colOff>
      <xdr:row>13</xdr:row>
      <xdr:rowOff>118058</xdr:rowOff>
    </xdr:from>
    <xdr:to>
      <xdr:col>1</xdr:col>
      <xdr:colOff>925898</xdr:colOff>
      <xdr:row>18</xdr:row>
      <xdr:rowOff>120204</xdr:rowOff>
    </xdr:to>
    <xdr:pic>
      <xdr:nvPicPr>
        <xdr:cNvPr id="2055" name="Graphic 2054" descr="Envelope with solid fill">
          <a:hlinkClick xmlns:r="http://schemas.openxmlformats.org/officeDocument/2006/relationships" r:id="rId12"/>
          <a:extLst>
            <a:ext uri="{FF2B5EF4-FFF2-40B4-BE49-F238E27FC236}">
              <a16:creationId xmlns:a16="http://schemas.microsoft.com/office/drawing/2014/main" id="{2FF5DF8F-8EC0-72BD-17CC-222B55C926AD}"/>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623244" y="2523801"/>
          <a:ext cx="912254" cy="927432"/>
        </a:xfrm>
        <a:prstGeom prst="rect">
          <a:avLst/>
        </a:prstGeom>
      </xdr:spPr>
    </xdr:pic>
    <xdr:clientData/>
  </xdr:twoCellAnchor>
  <xdr:twoCellAnchor editAs="oneCell">
    <xdr:from>
      <xdr:col>1</xdr:col>
      <xdr:colOff>0</xdr:colOff>
      <xdr:row>8</xdr:row>
      <xdr:rowOff>171719</xdr:rowOff>
    </xdr:from>
    <xdr:to>
      <xdr:col>1</xdr:col>
      <xdr:colOff>914400</xdr:colOff>
      <xdr:row>13</xdr:row>
      <xdr:rowOff>173866</xdr:rowOff>
    </xdr:to>
    <xdr:pic>
      <xdr:nvPicPr>
        <xdr:cNvPr id="2057" name="Graphic 2056" descr="Presentation with pie chart outline">
          <a:hlinkClick xmlns:r="http://schemas.openxmlformats.org/officeDocument/2006/relationships" r:id="rId15"/>
          <a:extLst>
            <a:ext uri="{FF2B5EF4-FFF2-40B4-BE49-F238E27FC236}">
              <a16:creationId xmlns:a16="http://schemas.microsoft.com/office/drawing/2014/main" id="{B49420D6-8DA9-BBA6-DD92-1C0D49BF3AFA}"/>
            </a:ext>
          </a:extLst>
        </xdr:cNvPr>
        <xdr:cNvPicPr>
          <a:picLocks noChangeAspect="1"/>
        </xdr:cNvPicPr>
      </xdr:nvPicPr>
      <xdr:blipFill>
        <a:blip xmlns:r="http://schemas.openxmlformats.org/officeDocument/2006/relationships" r:embed="rId16">
          <a:extLst>
            <a:ext uri="{96DAC541-7B7A-43D3-8B79-37D633B846F1}">
              <asvg:svgBlip xmlns:asvg="http://schemas.microsoft.com/office/drawing/2016/SVG/main" r:embed="rId17"/>
            </a:ext>
          </a:extLst>
        </a:blip>
        <a:stretch>
          <a:fillRect/>
        </a:stretch>
      </xdr:blipFill>
      <xdr:spPr>
        <a:xfrm>
          <a:off x="611746" y="1631325"/>
          <a:ext cx="914400" cy="914400"/>
        </a:xfrm>
        <a:prstGeom prst="rect">
          <a:avLst/>
        </a:prstGeom>
      </xdr:spPr>
    </xdr:pic>
    <xdr:clientData/>
  </xdr:twoCellAnchor>
  <xdr:twoCellAnchor editAs="oneCell">
    <xdr:from>
      <xdr:col>5</xdr:col>
      <xdr:colOff>556518</xdr:colOff>
      <xdr:row>4</xdr:row>
      <xdr:rowOff>85618</xdr:rowOff>
    </xdr:from>
    <xdr:to>
      <xdr:col>15</xdr:col>
      <xdr:colOff>155603</xdr:colOff>
      <xdr:row>15</xdr:row>
      <xdr:rowOff>94180</xdr:rowOff>
    </xdr:to>
    <xdr:pic>
      <xdr:nvPicPr>
        <xdr:cNvPr id="2059" name="Picture 2058">
          <a:extLst>
            <a:ext uri="{FF2B5EF4-FFF2-40B4-BE49-F238E27FC236}">
              <a16:creationId xmlns:a16="http://schemas.microsoft.com/office/drawing/2014/main" id="{CBC6EFC6-9A76-5553-11C8-7D58943F4316}"/>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854540" y="804809"/>
          <a:ext cx="6671130" cy="198633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c:userShapes xmlns:c="http://schemas.openxmlformats.org/drawingml/2006/chart">
  <cdr:relSizeAnchor xmlns:cdr="http://schemas.openxmlformats.org/drawingml/2006/chartDrawing">
    <cdr:from>
      <cdr:x>0.55049</cdr:x>
      <cdr:y>0.47944</cdr:y>
    </cdr:from>
    <cdr:to>
      <cdr:x>0.83358</cdr:x>
      <cdr:y>0.65432</cdr:y>
    </cdr:to>
    <cdr:sp macro="" textlink="">
      <cdr:nvSpPr>
        <cdr:cNvPr id="2" name="TextBox 20">
          <a:extLst xmlns:a="http://schemas.openxmlformats.org/drawingml/2006/main">
            <a:ext uri="{FF2B5EF4-FFF2-40B4-BE49-F238E27FC236}">
              <a16:creationId xmlns:a16="http://schemas.microsoft.com/office/drawing/2014/main" id="{4797A702-74EC-E169-7085-B30FC0D4DE82}"/>
            </a:ext>
          </a:extLst>
        </cdr:cNvPr>
        <cdr:cNvSpPr txBox="1"/>
      </cdr:nvSpPr>
      <cdr:spPr>
        <a:xfrm xmlns:a="http://schemas.openxmlformats.org/drawingml/2006/main">
          <a:off x="1982631" y="941589"/>
          <a:ext cx="1019577" cy="343437"/>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2000" b="1">
              <a:solidFill>
                <a:srgbClr val="FF0000"/>
              </a:solidFill>
            </a:rPr>
            <a:t>SELL</a:t>
          </a:r>
        </a:p>
      </cdr:txBody>
    </cdr:sp>
  </cdr:relSizeAnchor>
</c:userShapes>
</file>

<file path=xl/drawings/drawing3.xml><?xml version="1.0" encoding="utf-8"?>
<xdr:wsDr xmlns:xdr="http://schemas.openxmlformats.org/drawingml/2006/spreadsheetDrawing" xmlns:a="http://schemas.openxmlformats.org/drawingml/2006/main">
  <xdr:twoCellAnchor>
    <xdr:from>
      <xdr:col>7</xdr:col>
      <xdr:colOff>289560</xdr:colOff>
      <xdr:row>19</xdr:row>
      <xdr:rowOff>114300</xdr:rowOff>
    </xdr:from>
    <xdr:to>
      <xdr:col>14</xdr:col>
      <xdr:colOff>594360</xdr:colOff>
      <xdr:row>34</xdr:row>
      <xdr:rowOff>114300</xdr:rowOff>
    </xdr:to>
    <xdr:graphicFrame macro="">
      <xdr:nvGraphicFramePr>
        <xdr:cNvPr id="3" name="Chart 2">
          <a:extLst>
            <a:ext uri="{FF2B5EF4-FFF2-40B4-BE49-F238E27FC236}">
              <a16:creationId xmlns:a16="http://schemas.microsoft.com/office/drawing/2014/main" id="{C7492A2F-64B6-69A8-1118-CD2EDBCD71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537010</xdr:colOff>
      <xdr:row>8</xdr:row>
      <xdr:rowOff>108514</xdr:rowOff>
    </xdr:from>
    <xdr:to>
      <xdr:col>16</xdr:col>
      <xdr:colOff>423970</xdr:colOff>
      <xdr:row>23</xdr:row>
      <xdr:rowOff>108514</xdr:rowOff>
    </xdr:to>
    <xdr:graphicFrame macro="">
      <xdr:nvGraphicFramePr>
        <xdr:cNvPr id="12" name="Chart 11">
          <a:extLst>
            <a:ext uri="{FF2B5EF4-FFF2-40B4-BE49-F238E27FC236}">
              <a16:creationId xmlns:a16="http://schemas.microsoft.com/office/drawing/2014/main" id="{FF7C2C68-BA8E-30B4-A0E2-5961CC67AE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xdr:col>
      <xdr:colOff>525780</xdr:colOff>
      <xdr:row>6</xdr:row>
      <xdr:rowOff>99060</xdr:rowOff>
    </xdr:from>
    <xdr:to>
      <xdr:col>9</xdr:col>
      <xdr:colOff>213361</xdr:colOff>
      <xdr:row>20</xdr:row>
      <xdr:rowOff>120015</xdr:rowOff>
    </xdr:to>
    <mc:AlternateContent xmlns:mc="http://schemas.openxmlformats.org/markup-compatibility/2006" xmlns:a14="http://schemas.microsoft.com/office/drawing/2010/main">
      <mc:Choice Requires="a14">
        <xdr:graphicFrame macro="">
          <xdr:nvGraphicFramePr>
            <xdr:cNvPr id="2" name="year 1">
              <a:extLst>
                <a:ext uri="{FF2B5EF4-FFF2-40B4-BE49-F238E27FC236}">
                  <a16:creationId xmlns:a16="http://schemas.microsoft.com/office/drawing/2014/main" id="{FCEBD00A-1F2D-1AA4-7E25-703E1F624B7D}"/>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5463122" y="1226402"/>
              <a:ext cx="1817005" cy="265142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421105</xdr:colOff>
      <xdr:row>22</xdr:row>
      <xdr:rowOff>155264</xdr:rowOff>
    </xdr:from>
    <xdr:to>
      <xdr:col>22</xdr:col>
      <xdr:colOff>346624</xdr:colOff>
      <xdr:row>37</xdr:row>
      <xdr:rowOff>148389</xdr:rowOff>
    </xdr:to>
    <xdr:graphicFrame macro="">
      <xdr:nvGraphicFramePr>
        <xdr:cNvPr id="4" name="Chart 3">
          <a:extLst>
            <a:ext uri="{FF2B5EF4-FFF2-40B4-BE49-F238E27FC236}">
              <a16:creationId xmlns:a16="http://schemas.microsoft.com/office/drawing/2014/main" id="{BE7A9F66-1410-9890-6121-7375054748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266700</xdr:colOff>
      <xdr:row>3</xdr:row>
      <xdr:rowOff>125730</xdr:rowOff>
    </xdr:from>
    <xdr:to>
      <xdr:col>11</xdr:col>
      <xdr:colOff>571500</xdr:colOff>
      <xdr:row>17</xdr:row>
      <xdr:rowOff>125730</xdr:rowOff>
    </xdr:to>
    <xdr:graphicFrame macro="">
      <xdr:nvGraphicFramePr>
        <xdr:cNvPr id="2" name="Chart 1">
          <a:extLst>
            <a:ext uri="{FF2B5EF4-FFF2-40B4-BE49-F238E27FC236}">
              <a16:creationId xmlns:a16="http://schemas.microsoft.com/office/drawing/2014/main" id="{1202E6A4-25D6-B73D-7DDC-C8EBCC7DCF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281940</xdr:colOff>
      <xdr:row>4</xdr:row>
      <xdr:rowOff>179070</xdr:rowOff>
    </xdr:from>
    <xdr:to>
      <xdr:col>11</xdr:col>
      <xdr:colOff>586740</xdr:colOff>
      <xdr:row>18</xdr:row>
      <xdr:rowOff>179070</xdr:rowOff>
    </xdr:to>
    <xdr:graphicFrame macro="">
      <xdr:nvGraphicFramePr>
        <xdr:cNvPr id="3" name="Chart 2">
          <a:extLst>
            <a:ext uri="{FF2B5EF4-FFF2-40B4-BE49-F238E27FC236}">
              <a16:creationId xmlns:a16="http://schemas.microsoft.com/office/drawing/2014/main" id="{7D1315FC-8B05-5131-B415-830A11733D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istrator" refreshedDate="45873.733826967589" createdVersion="8" refreshedVersion="8" minRefreshableVersion="3" recordCount="10" xr:uid="{4AF5CEEC-1467-44DD-A525-6B6052063FE7}">
  <cacheSource type="worksheet">
    <worksheetSource name="Table7"/>
  </cacheSource>
  <cacheFields count="4">
    <cacheField name="year" numFmtId="0">
      <sharedItems count="10">
        <s v="2020"/>
        <s v="2021"/>
        <s v="2022"/>
        <s v="2023"/>
        <s v="2024"/>
        <s v="2025E"/>
        <s v="2026E"/>
        <s v="2027E"/>
        <s v="2028E"/>
        <s v="2029E"/>
      </sharedItems>
    </cacheField>
    <cacheField name="Revenue" numFmtId="0">
      <sharedItems containsSemiMixedTypes="0" containsString="0" containsNumber="1" minValue="67617.84" maxValue="108641.13943587613"/>
    </cacheField>
    <cacheField name="Net income margin" numFmtId="0">
      <sharedItems containsSemiMixedTypes="0" containsString="0" containsNumber="1" minValue="3.34" maxValue="7"/>
    </cacheField>
    <cacheField name="FCF" numFmtId="0">
      <sharedItems containsString="0" containsBlank="1" containsNumber="1" minValue="-4562.3723600000003" maxValue="4655.482"/>
    </cacheField>
  </cacheFields>
  <extLst>
    <ext xmlns:x14="http://schemas.microsoft.com/office/spreadsheetml/2009/9/main" uri="{725AE2AE-9491-48be-B2B4-4EB974FC3084}">
      <x14:pivotCacheDefinition pivotCacheId="200864253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x v="0"/>
    <n v="67617.84"/>
    <n v="6.01"/>
    <m/>
  </r>
  <r>
    <x v="1"/>
    <n v="74082.289999999994"/>
    <n v="5.13"/>
    <m/>
  </r>
  <r>
    <x v="2"/>
    <n v="78717.42"/>
    <n v="3.34"/>
    <m/>
  </r>
  <r>
    <x v="3"/>
    <n v="80418.080000000002"/>
    <n v="3.88"/>
    <m/>
  </r>
  <r>
    <x v="4"/>
    <n v="80650.91"/>
    <n v="4.63"/>
    <n v="4655.482"/>
  </r>
  <r>
    <x v="5"/>
    <n v="82263.928200000009"/>
    <n v="4"/>
    <n v="-4562.3723600000003"/>
  </r>
  <r>
    <x v="6"/>
    <n v="84731.846046000006"/>
    <n v="5.63"/>
    <n v="4471.1249127999999"/>
  </r>
  <r>
    <x v="7"/>
    <n v="89815.756808760008"/>
    <n v="6.07"/>
    <n v="4538.1917864919997"/>
  </r>
  <r>
    <x v="8"/>
    <n v="97001.017353460818"/>
    <n v="7"/>
    <n v="4588.1118961434113"/>
  </r>
  <r>
    <x v="9"/>
    <n v="108641.13943587613"/>
    <n v="7"/>
    <n v="4633.993015104845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66743DD-15A4-459E-B7CD-2B7422E3CE12}"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year">
  <location ref="N3:P14" firstHeaderRow="0" firstDataRow="1" firstDataCol="1"/>
  <pivotFields count="4">
    <pivotField axis="axisRow" showAll="0">
      <items count="11">
        <item x="0"/>
        <item x="1"/>
        <item x="2"/>
        <item x="3"/>
        <item x="4"/>
        <item x="5"/>
        <item x="6"/>
        <item x="7"/>
        <item x="8"/>
        <item x="9"/>
        <item t="default"/>
      </items>
    </pivotField>
    <pivotField dataField="1" showAll="0"/>
    <pivotField dataField="1" showAll="0"/>
    <pivotField showAll="0"/>
  </pivotFields>
  <rowFields count="1">
    <field x="0"/>
  </rowFields>
  <rowItems count="11">
    <i>
      <x/>
    </i>
    <i>
      <x v="1"/>
    </i>
    <i>
      <x v="2"/>
    </i>
    <i>
      <x v="3"/>
    </i>
    <i>
      <x v="4"/>
    </i>
    <i>
      <x v="5"/>
    </i>
    <i>
      <x v="6"/>
    </i>
    <i>
      <x v="7"/>
    </i>
    <i>
      <x v="8"/>
    </i>
    <i>
      <x v="9"/>
    </i>
    <i t="grand">
      <x/>
    </i>
  </rowItems>
  <colFields count="1">
    <field x="-2"/>
  </colFields>
  <colItems count="2">
    <i>
      <x/>
    </i>
    <i i="1">
      <x v="1"/>
    </i>
  </colItems>
  <dataFields count="2">
    <dataField name="Rev" fld="1" baseField="0" baseItem="0"/>
    <dataField name="NI margin" fld="2" baseField="0" baseItem="0"/>
  </dataFields>
  <formats count="1">
    <format dxfId="0">
      <pivotArea collapsedLevelsAreSubtotals="1" fieldPosition="0">
        <references count="1">
          <reference field="0" count="0"/>
        </references>
      </pivotArea>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3CEB64B-3F24-4FA4-9A12-B7A6254FA155}"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year">
  <location ref="E4:F15" firstHeaderRow="1" firstDataRow="1" firstDataCol="1"/>
  <pivotFields count="4">
    <pivotField axis="axisRow" showAll="0">
      <items count="11">
        <item x="0"/>
        <item x="1"/>
        <item x="2"/>
        <item x="3"/>
        <item x="4"/>
        <item x="5"/>
        <item x="6"/>
        <item x="7"/>
        <item x="8"/>
        <item x="9"/>
        <item t="default"/>
      </items>
    </pivotField>
    <pivotField showAll="0"/>
    <pivotField showAll="0"/>
    <pivotField dataField="1" showAll="0"/>
  </pivotFields>
  <rowFields count="1">
    <field x="0"/>
  </rowFields>
  <rowItems count="11">
    <i>
      <x/>
    </i>
    <i>
      <x v="1"/>
    </i>
    <i>
      <x v="2"/>
    </i>
    <i>
      <x v="3"/>
    </i>
    <i>
      <x v="4"/>
    </i>
    <i>
      <x v="5"/>
    </i>
    <i>
      <x v="6"/>
    </i>
    <i>
      <x v="7"/>
    </i>
    <i>
      <x v="8"/>
    </i>
    <i>
      <x v="9"/>
    </i>
    <i t="grand">
      <x/>
    </i>
  </rowItems>
  <colItems count="1">
    <i/>
  </colItems>
  <dataFields count="1">
    <dataField name="Free Cash Flow" fld="3" baseField="0" baseItem="4"/>
  </dataFields>
  <formats count="1">
    <format dxfId="1">
      <pivotArea collapsedLevelsAreSubtotals="1" fieldPosition="0">
        <references count="1">
          <reference field="0" count="6">
            <x v="4"/>
            <x v="5"/>
            <x v="6"/>
            <x v="7"/>
            <x v="8"/>
            <x v="9"/>
          </reference>
        </references>
      </pivotArea>
    </format>
  </formats>
  <chartFormats count="3">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6" format="3">
      <pivotArea type="data" outline="0" fieldPosition="0">
        <references count="2">
          <reference field="4294967294" count="1" selected="0">
            <x v="0"/>
          </reference>
          <reference field="0"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B4FA90BC-093A-4CC2-995A-91645975ECCF}" sourceName="year">
  <pivotTables>
    <pivotTable tabId="13" name="PivotTable4"/>
    <pivotTable tabId="13" name="PivotTable5"/>
  </pivotTables>
  <data>
    <tabular pivotCacheId="2008642530">
      <items count="10">
        <i x="0" s="1"/>
        <i x="1" s="1"/>
        <i x="2" s="1"/>
        <i x="3" s="1"/>
        <i x="4" s="1"/>
        <i x="5" s="1"/>
        <i x="6" s="1"/>
        <i x="7" s="1"/>
        <i x="8" s="1"/>
        <i x="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2" xr10:uid="{DDFFDE13-183E-4AF2-A315-97EB48BC3565}" cache="Slicer_year1" caption="year" style="SlicerStyleLight3"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E9A120D3-79E6-4887-949E-84D445F36C37}" cache="Slicer_year1" caption="year"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4FA5F06-4FDA-403A-A9E4-D2BBD00CFB10}" name="Table5" displayName="Table5" ref="A4:K21" totalsRowShown="0" headerRowDxfId="8">
  <tableColumns count="11">
    <tableColumn id="1" xr3:uid="{1ED587AC-7E11-4969-B4CC-C42BFC623AC8}" name="Particulars" dataDxfId="7"/>
    <tableColumn id="2" xr3:uid="{265DB68C-91F5-4522-A563-8DAC89247D7E}" name="2020" dataDxfId="6"/>
    <tableColumn id="3" xr3:uid="{1C55ECC3-FE31-46B2-8AA7-2E4910EA63C2}" name="2021" dataDxfId="5"/>
    <tableColumn id="4" xr3:uid="{61AA0237-76D0-45F8-A65A-2E59900B49DF}" name="2022" dataDxfId="4"/>
    <tableColumn id="5" xr3:uid="{BEC79529-B41A-41B9-A806-DE8799700C6A}" name="2023" dataDxfId="3"/>
    <tableColumn id="6" xr3:uid="{E2552366-30FB-4A29-8B5C-A0F0AB342F8F}" name="2024" dataDxfId="2"/>
    <tableColumn id="7" xr3:uid="{A0A203F8-B97B-4211-B6AE-F854F00D7385}" name="2025E"/>
    <tableColumn id="8" xr3:uid="{B8A7774E-7DED-49E2-AB5D-87E391652618}" name="2026E"/>
    <tableColumn id="9" xr3:uid="{B511A623-C0E5-4E57-82D3-A1FA49816245}" name="2027E"/>
    <tableColumn id="10" xr3:uid="{02558E7F-C8AE-428A-AB7E-5D2F717486C1}" name="2028E"/>
    <tableColumn id="11" xr3:uid="{1002BABB-174E-459E-AAB5-602B5DAE085E}" name="2029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00A5001-9A72-49B0-8B37-0C806BD794DF}" name="Table7" displayName="Table7" ref="A16:D26" totalsRowShown="0">
  <autoFilter ref="A16:D26" xr:uid="{700A5001-9A72-49B0-8B37-0C806BD794DF}"/>
  <tableColumns count="4">
    <tableColumn id="1" xr3:uid="{DC31BDF9-02EA-4DD6-9201-A7C17CECD685}" name="year"/>
    <tableColumn id="2" xr3:uid="{A2BB0D1A-B76C-43B4-BF1F-0E693833CCF1}" name="Revenue"/>
    <tableColumn id="3" xr3:uid="{85662AFA-F59A-4D18-A97A-9CFD1C013196}" name="Net income margin"/>
    <tableColumn id="4" xr3:uid="{DF066A69-3C33-4C7C-9596-338945653C13}" name="FCF"/>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2.xml"/><Relationship Id="rId4"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hyperlink" Target="mailto:nguyenchinh6a9@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A1EE0-5A70-4A28-931A-38D86045B440}">
  <dimension ref="B4:T31"/>
  <sheetViews>
    <sheetView zoomScale="89" zoomScaleNormal="70" workbookViewId="0">
      <selection activeCell="A23" sqref="A23"/>
    </sheetView>
  </sheetViews>
  <sheetFormatPr defaultRowHeight="14.4" x14ac:dyDescent="0.3"/>
  <cols>
    <col min="1" max="1" width="8.88671875" style="21"/>
    <col min="2" max="2" width="19.77734375" style="21" bestFit="1" customWidth="1"/>
    <col min="3" max="3" width="16.33203125" style="21" bestFit="1" customWidth="1"/>
    <col min="4" max="8" width="8.88671875" style="21"/>
    <col min="9" max="9" width="10.44140625" style="21" bestFit="1" customWidth="1"/>
    <col min="10" max="10" width="6.109375" style="21" bestFit="1" customWidth="1"/>
    <col min="11" max="15" width="12" style="21" bestFit="1" customWidth="1"/>
    <col min="16" max="18" width="8.88671875" style="21"/>
    <col min="19" max="19" width="19.77734375" style="21" bestFit="1" customWidth="1"/>
    <col min="20" max="20" width="14.33203125" style="21" bestFit="1" customWidth="1"/>
    <col min="21" max="16384" width="8.88671875" style="21"/>
  </cols>
  <sheetData>
    <row r="4" spans="2:20" x14ac:dyDescent="0.3">
      <c r="G4"/>
    </row>
    <row r="5" spans="2:20" x14ac:dyDescent="0.3">
      <c r="B5" s="95"/>
      <c r="C5" s="95"/>
    </row>
    <row r="6" spans="2:20" ht="14.4" customHeight="1" x14ac:dyDescent="0.3">
      <c r="B6" s="23"/>
      <c r="C6" s="65"/>
    </row>
    <row r="7" spans="2:20" ht="14.4" customHeight="1" x14ac:dyDescent="0.3">
      <c r="B7" s="23"/>
      <c r="C7" s="65"/>
      <c r="S7" s="95"/>
      <c r="T7" s="95"/>
    </row>
    <row r="8" spans="2:20" ht="14.4" customHeight="1" x14ac:dyDescent="0.3">
      <c r="B8" s="23"/>
      <c r="C8" s="63"/>
      <c r="S8" s="23"/>
      <c r="T8" s="51"/>
    </row>
    <row r="9" spans="2:20" ht="14.4" customHeight="1" x14ac:dyDescent="0.3">
      <c r="B9" s="23"/>
      <c r="C9" s="65"/>
      <c r="S9" s="23"/>
      <c r="T9" s="51"/>
    </row>
    <row r="10" spans="2:20" ht="14.4" customHeight="1" x14ac:dyDescent="0.3">
      <c r="B10" s="23"/>
      <c r="C10" s="63"/>
      <c r="S10" s="23"/>
      <c r="T10" s="25"/>
    </row>
    <row r="11" spans="2:20" ht="14.4" customHeight="1" x14ac:dyDescent="0.3">
      <c r="C11" s="66"/>
      <c r="S11" s="23"/>
      <c r="T11" s="51"/>
    </row>
    <row r="12" spans="2:20" ht="14.4" customHeight="1" x14ac:dyDescent="0.3">
      <c r="B12" s="23"/>
      <c r="C12" s="66"/>
      <c r="S12" s="23"/>
      <c r="T12" s="25"/>
    </row>
    <row r="13" spans="2:20" x14ac:dyDescent="0.3">
      <c r="C13" s="65"/>
      <c r="S13" s="23"/>
      <c r="T13" s="54"/>
    </row>
    <row r="14" spans="2:20" x14ac:dyDescent="0.3">
      <c r="B14" s="23"/>
      <c r="C14" s="64"/>
      <c r="S14" s="23"/>
      <c r="T14" s="54"/>
    </row>
    <row r="15" spans="2:20" x14ac:dyDescent="0.3">
      <c r="B15" s="23"/>
      <c r="C15" s="66"/>
      <c r="S15" s="23"/>
      <c r="T15" s="51"/>
    </row>
    <row r="16" spans="2:20" x14ac:dyDescent="0.3">
      <c r="B16" s="23"/>
      <c r="C16" s="65"/>
      <c r="S16" s="23"/>
      <c r="T16" s="51"/>
    </row>
    <row r="17" spans="2:20" x14ac:dyDescent="0.3">
      <c r="B17" s="23"/>
      <c r="C17" s="65"/>
      <c r="I17" s="95"/>
      <c r="J17" s="95"/>
      <c r="K17" s="95"/>
      <c r="L17" s="95"/>
      <c r="M17" s="95"/>
      <c r="N17" s="95"/>
      <c r="O17" s="95"/>
      <c r="S17" s="23"/>
      <c r="T17" s="52"/>
    </row>
    <row r="18" spans="2:20" x14ac:dyDescent="0.3">
      <c r="B18" s="23"/>
      <c r="C18" s="64"/>
      <c r="I18" s="95"/>
      <c r="J18" s="95"/>
      <c r="K18" s="95"/>
      <c r="L18" s="95"/>
      <c r="M18" s="95"/>
      <c r="N18" s="95"/>
      <c r="O18" s="95"/>
      <c r="S18" s="23"/>
      <c r="T18" s="51"/>
    </row>
    <row r="19" spans="2:20" x14ac:dyDescent="0.3">
      <c r="B19" s="23"/>
      <c r="C19" s="65"/>
      <c r="I19" s="70"/>
      <c r="J19" s="70"/>
      <c r="K19" s="30"/>
      <c r="L19" s="30"/>
      <c r="M19" s="31"/>
      <c r="N19" s="32"/>
      <c r="O19" s="32"/>
      <c r="S19" s="23"/>
      <c r="T19" s="51"/>
    </row>
    <row r="20" spans="2:20" x14ac:dyDescent="0.3">
      <c r="I20" s="97"/>
      <c r="J20" s="24"/>
      <c r="K20" s="25"/>
      <c r="L20" s="25"/>
      <c r="M20" s="25"/>
      <c r="N20" s="25"/>
      <c r="O20" s="25"/>
      <c r="S20" s="23"/>
      <c r="T20" s="51"/>
    </row>
    <row r="21" spans="2:20" x14ac:dyDescent="0.3">
      <c r="I21" s="97"/>
      <c r="J21" s="24"/>
      <c r="K21" s="25"/>
      <c r="L21" s="25"/>
      <c r="M21" s="25"/>
      <c r="N21" s="25"/>
      <c r="O21" s="25"/>
    </row>
    <row r="22" spans="2:20" x14ac:dyDescent="0.3">
      <c r="I22" s="97"/>
      <c r="J22" s="26"/>
      <c r="K22" s="25"/>
      <c r="L22" s="25"/>
      <c r="M22" s="27"/>
      <c r="N22" s="28"/>
      <c r="O22" s="28"/>
    </row>
    <row r="23" spans="2:20" x14ac:dyDescent="0.3">
      <c r="I23" s="97"/>
      <c r="J23" s="24"/>
      <c r="K23" s="25"/>
      <c r="L23" s="25"/>
      <c r="M23" s="25"/>
      <c r="N23" s="25"/>
      <c r="O23" s="25"/>
    </row>
    <row r="24" spans="2:20" x14ac:dyDescent="0.3">
      <c r="I24" s="97"/>
      <c r="J24" s="24"/>
      <c r="K24" s="25"/>
      <c r="L24" s="25"/>
      <c r="M24" s="25"/>
      <c r="N24" s="28"/>
      <c r="O24" s="25"/>
    </row>
    <row r="25" spans="2:20" x14ac:dyDescent="0.3">
      <c r="I25" s="95"/>
      <c r="J25" s="95"/>
      <c r="K25" s="95"/>
      <c r="L25" s="95"/>
      <c r="M25" s="95"/>
      <c r="N25" s="95"/>
      <c r="O25" s="95"/>
    </row>
    <row r="26" spans="2:20" x14ac:dyDescent="0.3">
      <c r="I26" s="23"/>
      <c r="J26" s="70"/>
      <c r="K26" s="30"/>
      <c r="L26" s="30"/>
      <c r="M26" s="31"/>
      <c r="N26" s="32"/>
      <c r="O26" s="32"/>
    </row>
    <row r="27" spans="2:20" x14ac:dyDescent="0.3">
      <c r="I27" s="96"/>
      <c r="J27" s="24"/>
      <c r="N27" s="22"/>
    </row>
    <row r="28" spans="2:20" x14ac:dyDescent="0.3">
      <c r="I28" s="96"/>
      <c r="J28" s="24"/>
      <c r="N28" s="22"/>
    </row>
    <row r="29" spans="2:20" x14ac:dyDescent="0.3">
      <c r="I29" s="96"/>
      <c r="J29" s="26"/>
      <c r="M29" s="23"/>
      <c r="N29" s="22"/>
    </row>
    <row r="30" spans="2:20" x14ac:dyDescent="0.3">
      <c r="I30" s="96"/>
      <c r="J30" s="24"/>
      <c r="N30" s="22"/>
    </row>
    <row r="31" spans="2:20" x14ac:dyDescent="0.3">
      <c r="I31" s="96"/>
      <c r="J31" s="24"/>
      <c r="N31" s="22"/>
    </row>
  </sheetData>
  <mergeCells count="7">
    <mergeCell ref="I25:O25"/>
    <mergeCell ref="I27:I31"/>
    <mergeCell ref="S7:T7"/>
    <mergeCell ref="B5:C5"/>
    <mergeCell ref="I17:O17"/>
    <mergeCell ref="I18:O18"/>
    <mergeCell ref="I20:I24"/>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4C848-2BAD-4DCD-98B9-DB162B2C0028}">
  <dimension ref="A1:R62"/>
  <sheetViews>
    <sheetView topLeftCell="A8" zoomScale="134" zoomScaleNormal="80" workbookViewId="0"/>
  </sheetViews>
  <sheetFormatPr defaultRowHeight="14.4" x14ac:dyDescent="0.3"/>
  <cols>
    <col min="1" max="1" width="19.77734375" bestFit="1" customWidth="1"/>
    <col min="2" max="2" width="15.5546875" bestFit="1" customWidth="1"/>
    <col min="3" max="9" width="10.5546875" bestFit="1" customWidth="1"/>
    <col min="10" max="10" width="10.109375" bestFit="1" customWidth="1"/>
    <col min="11" max="11" width="13.21875" bestFit="1" customWidth="1"/>
    <col min="12" max="14" width="11.33203125" bestFit="1" customWidth="1"/>
    <col min="15" max="15" width="12" style="5" bestFit="1" customWidth="1"/>
    <col min="16" max="16" width="11" bestFit="1" customWidth="1"/>
    <col min="17" max="17" width="19.77734375" bestFit="1" customWidth="1"/>
    <col min="18" max="18" width="15.5546875" bestFit="1" customWidth="1"/>
  </cols>
  <sheetData>
    <row r="1" spans="1:17" x14ac:dyDescent="0.3">
      <c r="E1" s="7"/>
    </row>
    <row r="3" spans="1:17" x14ac:dyDescent="0.3">
      <c r="A3" s="47" t="s">
        <v>62</v>
      </c>
      <c r="B3" s="6"/>
      <c r="C3" s="6" t="s">
        <v>0</v>
      </c>
      <c r="D3" s="6"/>
      <c r="E3" s="6"/>
      <c r="F3" s="6"/>
      <c r="G3" s="98" t="s">
        <v>61</v>
      </c>
      <c r="H3" s="98"/>
      <c r="I3" s="98"/>
      <c r="J3" s="98"/>
      <c r="K3" s="98"/>
    </row>
    <row r="4" spans="1:17" ht="18" x14ac:dyDescent="0.35">
      <c r="A4" s="41"/>
      <c r="B4" s="6">
        <v>2020</v>
      </c>
      <c r="C4" s="6">
        <v>2021</v>
      </c>
      <c r="D4" s="6">
        <v>2022</v>
      </c>
      <c r="E4" s="6">
        <v>2023</v>
      </c>
      <c r="F4" s="6">
        <v>2024</v>
      </c>
      <c r="G4" s="40" t="s">
        <v>28</v>
      </c>
      <c r="H4" s="40" t="s">
        <v>29</v>
      </c>
      <c r="I4" s="40" t="s">
        <v>30</v>
      </c>
      <c r="J4" s="40" t="s">
        <v>31</v>
      </c>
      <c r="K4" s="40" t="s">
        <v>32</v>
      </c>
      <c r="M4" s="8" t="s">
        <v>33</v>
      </c>
      <c r="N4" s="9" t="s">
        <v>37</v>
      </c>
    </row>
    <row r="5" spans="1:17" ht="18" x14ac:dyDescent="0.35">
      <c r="A5" s="41" t="s">
        <v>1</v>
      </c>
      <c r="B5" s="28">
        <v>67617.84</v>
      </c>
      <c r="C5" s="28">
        <v>74082.289999999994</v>
      </c>
      <c r="D5" s="28">
        <v>78717.42</v>
      </c>
      <c r="E5" s="28">
        <v>80418.080000000002</v>
      </c>
      <c r="F5" s="28">
        <v>80650.91</v>
      </c>
      <c r="G5" s="33">
        <f>F5*(1+G6)</f>
        <v>82263.928200000009</v>
      </c>
      <c r="H5" s="25">
        <f>G5*(1+H6)</f>
        <v>84731.846046000006</v>
      </c>
      <c r="I5" s="25">
        <f>H5*(1+I6)</f>
        <v>89815.756808760008</v>
      </c>
      <c r="J5" s="25">
        <f>I5*(1+J6)</f>
        <v>97001.017353460818</v>
      </c>
      <c r="K5" s="25">
        <f>J5*(1+K6)</f>
        <v>108641.13943587613</v>
      </c>
      <c r="L5" s="3"/>
      <c r="M5" s="10" t="s">
        <v>34</v>
      </c>
      <c r="N5" s="11">
        <v>13.34</v>
      </c>
    </row>
    <row r="6" spans="1:17" ht="18" x14ac:dyDescent="0.35">
      <c r="A6" s="41" t="s">
        <v>2</v>
      </c>
      <c r="B6" s="32"/>
      <c r="C6" s="32">
        <v>0.1</v>
      </c>
      <c r="D6" s="32">
        <v>0.06</v>
      </c>
      <c r="E6" s="32">
        <v>0.02</v>
      </c>
      <c r="F6" s="32">
        <v>0</v>
      </c>
      <c r="G6" s="42">
        <v>0.02</v>
      </c>
      <c r="H6" s="30">
        <v>0.03</v>
      </c>
      <c r="I6" s="30">
        <v>0.06</v>
      </c>
      <c r="J6" s="30">
        <v>0.08</v>
      </c>
      <c r="K6" s="30">
        <v>0.12</v>
      </c>
      <c r="L6" s="1"/>
      <c r="M6" s="12" t="s">
        <v>35</v>
      </c>
      <c r="N6" s="11">
        <v>12.41</v>
      </c>
    </row>
    <row r="7" spans="1:17" ht="18" x14ac:dyDescent="0.35">
      <c r="A7" s="41" t="s">
        <v>3</v>
      </c>
      <c r="B7" s="28">
        <v>1958.23</v>
      </c>
      <c r="C7" s="28">
        <v>1424.98</v>
      </c>
      <c r="D7" s="28">
        <v>1072.97</v>
      </c>
      <c r="E7" s="28">
        <v>1262.79</v>
      </c>
      <c r="F7" s="28">
        <v>1737.52</v>
      </c>
      <c r="G7" s="33">
        <f>G5*G8</f>
        <v>22211.260614000003</v>
      </c>
      <c r="H7" s="25">
        <f>H5*H8</f>
        <v>22877.598432420004</v>
      </c>
      <c r="I7" s="25">
        <f>I5*I8</f>
        <v>24250.254338365205</v>
      </c>
      <c r="J7" s="25">
        <f>J5*J8</f>
        <v>26190.274685434422</v>
      </c>
      <c r="K7" s="25">
        <f>K5*K8</f>
        <v>29333.107647686556</v>
      </c>
      <c r="L7" s="3"/>
      <c r="M7" s="13" t="s">
        <v>36</v>
      </c>
      <c r="N7" s="14">
        <v>13.88</v>
      </c>
    </row>
    <row r="8" spans="1:17" ht="18" x14ac:dyDescent="0.35">
      <c r="A8" s="41" t="s">
        <v>4</v>
      </c>
      <c r="B8" s="28">
        <v>29.98</v>
      </c>
      <c r="C8" s="28">
        <v>24.53</v>
      </c>
      <c r="D8" s="28">
        <v>25.86</v>
      </c>
      <c r="E8" s="28">
        <v>26.42</v>
      </c>
      <c r="F8" s="28">
        <v>28.67</v>
      </c>
      <c r="G8" s="42">
        <v>0.27</v>
      </c>
      <c r="H8" s="30">
        <v>0.27</v>
      </c>
      <c r="I8" s="30">
        <v>0.27</v>
      </c>
      <c r="J8" s="30">
        <v>0.27</v>
      </c>
      <c r="K8" s="30">
        <v>0.27</v>
      </c>
      <c r="L8" s="3"/>
      <c r="M8" s="13" t="s">
        <v>39</v>
      </c>
      <c r="N8" s="14" t="s">
        <v>38</v>
      </c>
    </row>
    <row r="9" spans="1:17" ht="18" x14ac:dyDescent="0.35">
      <c r="A9" s="41" t="s">
        <v>5</v>
      </c>
      <c r="B9" s="28">
        <v>4062.45</v>
      </c>
      <c r="C9" s="28">
        <v>3683.99</v>
      </c>
      <c r="D9" s="28">
        <v>2674.16</v>
      </c>
      <c r="E9" s="28">
        <v>3117.46</v>
      </c>
      <c r="F9" s="28">
        <v>3734.43</v>
      </c>
      <c r="G9" s="33">
        <f>G5*G10/100</f>
        <v>3290.5571280000004</v>
      </c>
      <c r="H9" s="25">
        <f>H5*H10/100</f>
        <v>4770.4029323898003</v>
      </c>
      <c r="I9" s="25">
        <f>I5*I10/100</f>
        <v>5451.816438291733</v>
      </c>
      <c r="J9" s="25">
        <f>J5*J10/100</f>
        <v>6790.0712147422573</v>
      </c>
      <c r="K9" s="25">
        <f>K5*K10/100</f>
        <v>7604.8797605113286</v>
      </c>
      <c r="L9" s="3"/>
      <c r="M9" s="15" t="s">
        <v>40</v>
      </c>
      <c r="N9" s="16" t="s">
        <v>41</v>
      </c>
    </row>
    <row r="10" spans="1:17" x14ac:dyDescent="0.3">
      <c r="A10" s="41" t="s">
        <v>6</v>
      </c>
      <c r="B10" s="22">
        <v>6.01</v>
      </c>
      <c r="C10" s="22">
        <v>5.13</v>
      </c>
      <c r="D10" s="22">
        <v>3.34</v>
      </c>
      <c r="E10" s="22">
        <v>3.88</v>
      </c>
      <c r="F10" s="22">
        <v>4.63</v>
      </c>
      <c r="G10" s="43">
        <v>4</v>
      </c>
      <c r="H10" s="28">
        <v>5.63</v>
      </c>
      <c r="I10" s="28">
        <v>6.07</v>
      </c>
      <c r="J10" s="28">
        <v>7</v>
      </c>
      <c r="K10" s="28">
        <v>7</v>
      </c>
    </row>
    <row r="11" spans="1:17" x14ac:dyDescent="0.3">
      <c r="A11" s="41" t="s">
        <v>7</v>
      </c>
      <c r="B11" s="28">
        <v>384.64</v>
      </c>
      <c r="C11" s="28">
        <v>223.49</v>
      </c>
      <c r="D11" s="28">
        <v>446.02</v>
      </c>
      <c r="E11" s="28">
        <v>519.12</v>
      </c>
      <c r="F11" s="28">
        <v>423.31</v>
      </c>
      <c r="G11" s="33"/>
      <c r="H11" s="25"/>
      <c r="I11" s="25"/>
      <c r="J11" s="25"/>
      <c r="K11" s="25"/>
      <c r="L11" s="3"/>
      <c r="M11" s="3"/>
      <c r="N11" s="3"/>
      <c r="O11" s="4"/>
      <c r="P11" s="3"/>
      <c r="Q11" s="3"/>
    </row>
    <row r="12" spans="1:17" x14ac:dyDescent="0.3">
      <c r="A12" s="41" t="s">
        <v>8</v>
      </c>
      <c r="B12" s="28">
        <v>14013.3</v>
      </c>
      <c r="C12" s="28">
        <v>14016.9</v>
      </c>
      <c r="D12" s="28">
        <v>17920.099999999999</v>
      </c>
      <c r="E12" s="28">
        <v>14055.4</v>
      </c>
      <c r="F12" s="28">
        <v>13518.8</v>
      </c>
      <c r="G12" s="33"/>
      <c r="H12" s="25"/>
      <c r="I12" s="25"/>
      <c r="J12" s="25"/>
      <c r="K12" s="25"/>
      <c r="L12" s="3"/>
      <c r="M12" s="3"/>
    </row>
    <row r="13" spans="1:17" x14ac:dyDescent="0.3">
      <c r="A13" s="41" t="s">
        <v>9</v>
      </c>
      <c r="B13" s="32">
        <v>0.02</v>
      </c>
      <c r="C13" s="32">
        <v>0.02</v>
      </c>
      <c r="D13" s="32">
        <v>0.02</v>
      </c>
      <c r="E13" s="32">
        <v>0.04</v>
      </c>
      <c r="F13" s="32">
        <v>0.03</v>
      </c>
      <c r="G13" s="44">
        <v>1.3999999999999999E-2</v>
      </c>
      <c r="H13" s="39">
        <v>1.3999999999999999E-2</v>
      </c>
      <c r="I13" s="39">
        <v>1.3999999999999999E-2</v>
      </c>
      <c r="J13" s="39">
        <v>1.3999999999999999E-2</v>
      </c>
      <c r="K13" s="39">
        <v>1.3999999999999999E-2</v>
      </c>
    </row>
    <row r="14" spans="1:17" x14ac:dyDescent="0.3">
      <c r="A14" s="41" t="s">
        <v>10</v>
      </c>
      <c r="B14" s="28">
        <v>3141.63</v>
      </c>
      <c r="C14" s="28">
        <v>3134.16</v>
      </c>
      <c r="D14" s="28">
        <v>3258.9</v>
      </c>
      <c r="E14" s="28">
        <v>3441.8</v>
      </c>
      <c r="F14" s="28">
        <v>3494.97</v>
      </c>
      <c r="G14" s="33">
        <f>G5*G15</f>
        <v>3290.5571280000004</v>
      </c>
      <c r="H14" s="25">
        <f>H5*H15</f>
        <v>4236.5923023000005</v>
      </c>
      <c r="I14" s="25">
        <f>I5*I15</f>
        <v>4490.7878404380008</v>
      </c>
      <c r="J14" s="25">
        <f>J5*J15</f>
        <v>4850.0508676730415</v>
      </c>
      <c r="K14" s="25">
        <f>K5*K15</f>
        <v>5432.056971793807</v>
      </c>
      <c r="L14" s="3"/>
      <c r="M14" s="3"/>
      <c r="N14" s="3"/>
    </row>
    <row r="15" spans="1:17" x14ac:dyDescent="0.3">
      <c r="A15" s="41" t="s">
        <v>11</v>
      </c>
      <c r="B15" s="32">
        <v>0.05</v>
      </c>
      <c r="C15" s="32">
        <v>0.04</v>
      </c>
      <c r="D15" s="32">
        <v>0.04</v>
      </c>
      <c r="E15" s="32">
        <v>0.04</v>
      </c>
      <c r="F15" s="32">
        <v>0.04</v>
      </c>
      <c r="G15" s="42">
        <v>0.04</v>
      </c>
      <c r="H15" s="30">
        <v>0.05</v>
      </c>
      <c r="I15" s="30">
        <v>0.05</v>
      </c>
      <c r="J15" s="30">
        <v>0.05</v>
      </c>
      <c r="K15" s="30">
        <v>0.05</v>
      </c>
    </row>
    <row r="16" spans="1:17" x14ac:dyDescent="0.3">
      <c r="A16" s="41" t="s">
        <v>12</v>
      </c>
      <c r="B16" s="22"/>
      <c r="C16" s="22">
        <v>2980.6</v>
      </c>
      <c r="D16" s="22">
        <v>3238.9</v>
      </c>
      <c r="E16" s="22">
        <v>3644.4</v>
      </c>
      <c r="F16" s="22">
        <v>3608.4</v>
      </c>
      <c r="G16" s="33">
        <f>G5*G17</f>
        <v>3496.2169485000009</v>
      </c>
      <c r="H16" s="25">
        <f>H5*H17</f>
        <v>3601.1034569550006</v>
      </c>
      <c r="I16" s="25">
        <f>I5*I17</f>
        <v>3817.1696643723008</v>
      </c>
      <c r="J16" s="25">
        <f>J5*J17</f>
        <v>4122.5432375220853</v>
      </c>
      <c r="K16" s="25">
        <f>K5*K17</f>
        <v>4617.2484260247356</v>
      </c>
    </row>
    <row r="17" spans="1:16" x14ac:dyDescent="0.3">
      <c r="A17" s="41" t="s">
        <v>11</v>
      </c>
      <c r="B17" s="32">
        <v>0</v>
      </c>
      <c r="C17" s="32">
        <v>0.04</v>
      </c>
      <c r="D17" s="32">
        <v>0.04</v>
      </c>
      <c r="E17" s="32">
        <v>0.05</v>
      </c>
      <c r="F17" s="32">
        <v>0.04</v>
      </c>
      <c r="G17" s="45">
        <v>4.2500000000000003E-2</v>
      </c>
      <c r="H17" s="24">
        <v>4.2500000000000003E-2</v>
      </c>
      <c r="I17" s="24">
        <v>4.2500000000000003E-2</v>
      </c>
      <c r="J17" s="24">
        <v>4.2500000000000003E-2</v>
      </c>
      <c r="K17" s="24">
        <v>4.2500000000000003E-2</v>
      </c>
    </row>
    <row r="18" spans="1:16" x14ac:dyDescent="0.3">
      <c r="A18" s="41" t="s">
        <v>13</v>
      </c>
      <c r="B18" s="28">
        <v>28701.31</v>
      </c>
      <c r="C18" s="28">
        <v>25666.74</v>
      </c>
      <c r="D18" s="28">
        <v>24027.07</v>
      </c>
      <c r="E18" s="28">
        <v>20473.580000000002</v>
      </c>
      <c r="F18" s="28">
        <v>17985.740000000002</v>
      </c>
      <c r="G18" s="33">
        <f>G5*G19</f>
        <v>18098.064204000002</v>
      </c>
      <c r="H18" s="25">
        <f>H5*H19</f>
        <v>18641.00613012</v>
      </c>
      <c r="I18" s="25">
        <f>I5*I19</f>
        <v>19759.466497927202</v>
      </c>
      <c r="J18" s="25">
        <f>J5*J19</f>
        <v>21340.22381776138</v>
      </c>
      <c r="K18" s="25">
        <f>K5*K19</f>
        <v>23901.050675892748</v>
      </c>
      <c r="L18" s="3"/>
      <c r="M18" s="3"/>
      <c r="N18" s="3"/>
    </row>
    <row r="19" spans="1:16" x14ac:dyDescent="0.3">
      <c r="A19" s="41" t="s">
        <v>11</v>
      </c>
      <c r="B19" s="32">
        <v>0.42</v>
      </c>
      <c r="C19" s="32">
        <v>0.35</v>
      </c>
      <c r="D19" s="32">
        <v>0.31</v>
      </c>
      <c r="E19" s="32">
        <v>0.25</v>
      </c>
      <c r="F19" s="32">
        <v>0.22</v>
      </c>
      <c r="G19" s="46">
        <v>0.22</v>
      </c>
      <c r="H19" s="32">
        <v>0.22</v>
      </c>
      <c r="I19" s="32">
        <v>0.22</v>
      </c>
      <c r="J19" s="32">
        <v>0.22</v>
      </c>
      <c r="K19" s="32">
        <v>0.22</v>
      </c>
    </row>
    <row r="20" spans="1:16" x14ac:dyDescent="0.3">
      <c r="A20" s="41" t="s">
        <v>14</v>
      </c>
      <c r="B20" s="28">
        <v>27072.01</v>
      </c>
      <c r="C20" s="28">
        <v>29825.01</v>
      </c>
      <c r="D20" s="28">
        <v>31704.54</v>
      </c>
      <c r="E20" s="28">
        <v>29193.01</v>
      </c>
      <c r="F20" s="28">
        <v>32423.23</v>
      </c>
      <c r="G20" s="33">
        <f>G5*G21</f>
        <v>32905.571280000004</v>
      </c>
      <c r="H20" s="25">
        <f>H5*H21</f>
        <v>33892.738418400004</v>
      </c>
      <c r="I20" s="25">
        <f>I5*I21</f>
        <v>35926.302723504006</v>
      </c>
      <c r="J20" s="25">
        <f>J5*J21</f>
        <v>38800.406941384332</v>
      </c>
      <c r="K20" s="25">
        <f>K5*K21</f>
        <v>43456.455774350456</v>
      </c>
      <c r="L20" s="3"/>
      <c r="M20" s="3"/>
      <c r="N20" s="3"/>
      <c r="O20" s="4"/>
    </row>
    <row r="21" spans="1:16" x14ac:dyDescent="0.3">
      <c r="A21" s="41" t="s">
        <v>11</v>
      </c>
      <c r="B21" s="32">
        <v>0.4</v>
      </c>
      <c r="C21" s="32">
        <v>0.4</v>
      </c>
      <c r="D21" s="32">
        <v>0.4</v>
      </c>
      <c r="E21" s="32">
        <v>0.36</v>
      </c>
      <c r="F21" s="32">
        <v>0.4</v>
      </c>
      <c r="G21" s="42">
        <f>F21</f>
        <v>0.4</v>
      </c>
      <c r="H21" s="30">
        <f>G21</f>
        <v>0.4</v>
      </c>
      <c r="I21" s="30">
        <f>H21</f>
        <v>0.4</v>
      </c>
      <c r="J21" s="30">
        <f>I21</f>
        <v>0.4</v>
      </c>
      <c r="K21" s="30">
        <f>J21</f>
        <v>0.4</v>
      </c>
    </row>
    <row r="22" spans="1:16" x14ac:dyDescent="0.3">
      <c r="A22" t="s">
        <v>15</v>
      </c>
    </row>
    <row r="23" spans="1:16" x14ac:dyDescent="0.3">
      <c r="A23" s="23" t="s">
        <v>43</v>
      </c>
      <c r="B23" s="62">
        <f>5418079/1000</f>
        <v>5418.0789999999997</v>
      </c>
      <c r="C23" s="62">
        <f>4475313/1000</f>
        <v>4475.3130000000001</v>
      </c>
      <c r="D23" s="62">
        <f>5494843/1000</f>
        <v>5494.8429999999998</v>
      </c>
      <c r="E23" s="62">
        <f>8263872/1.07/1000</f>
        <v>7723.2448598130841</v>
      </c>
      <c r="F23" s="62">
        <f>8263872/1.07/1000</f>
        <v>7723.2448598130841</v>
      </c>
      <c r="G23" s="62"/>
      <c r="H23" s="62"/>
      <c r="I23" s="62"/>
      <c r="J23" s="62"/>
      <c r="K23" s="18"/>
      <c r="L23" s="18"/>
    </row>
    <row r="24" spans="1:16" x14ac:dyDescent="0.3">
      <c r="A24" s="23" t="s">
        <v>54</v>
      </c>
      <c r="B24" s="51">
        <f>B23/B5</f>
        <v>8.0127951440034165E-2</v>
      </c>
      <c r="C24" s="51">
        <f t="shared" ref="C24:J24" si="0">C23/C5</f>
        <v>6.0410025122063594E-2</v>
      </c>
      <c r="D24" s="51">
        <f t="shared" si="0"/>
        <v>6.9804663313406359E-2</v>
      </c>
      <c r="E24" s="51">
        <f t="shared" si="0"/>
        <v>9.6038662696412105E-2</v>
      </c>
      <c r="F24" s="51">
        <f t="shared" si="0"/>
        <v>9.5761410005331421E-2</v>
      </c>
      <c r="G24" s="51">
        <f t="shared" si="0"/>
        <v>0</v>
      </c>
      <c r="H24" s="51">
        <f t="shared" si="0"/>
        <v>0</v>
      </c>
      <c r="I24" s="51">
        <f t="shared" si="0"/>
        <v>0</v>
      </c>
      <c r="J24" s="51">
        <f t="shared" si="0"/>
        <v>0</v>
      </c>
      <c r="K24" s="7"/>
      <c r="L24" s="7"/>
    </row>
    <row r="25" spans="1:16" x14ac:dyDescent="0.3">
      <c r="A25" s="99" t="s">
        <v>63</v>
      </c>
      <c r="B25" s="99"/>
    </row>
    <row r="26" spans="1:16" ht="18" x14ac:dyDescent="0.35">
      <c r="A26" s="23" t="s">
        <v>16</v>
      </c>
      <c r="B26" s="51">
        <v>3.5400000000000001E-2</v>
      </c>
      <c r="D26" s="57"/>
      <c r="E26" s="58"/>
    </row>
    <row r="27" spans="1:16" ht="18" x14ac:dyDescent="0.35">
      <c r="A27" s="23" t="s">
        <v>17</v>
      </c>
      <c r="B27" s="51">
        <v>5.1700000000000003E-2</v>
      </c>
      <c r="D27" s="57"/>
      <c r="E27" s="58"/>
    </row>
    <row r="28" spans="1:16" ht="18" x14ac:dyDescent="0.35">
      <c r="A28" s="23" t="s">
        <v>18</v>
      </c>
      <c r="B28" s="25">
        <v>0.73799999999999999</v>
      </c>
      <c r="D28" s="59"/>
      <c r="E28" s="58"/>
    </row>
    <row r="29" spans="1:16" ht="18" x14ac:dyDescent="0.35">
      <c r="A29" s="23" t="s">
        <v>19</v>
      </c>
      <c r="B29" s="51">
        <v>7.1999999999999995E-2</v>
      </c>
      <c r="D29" s="60"/>
      <c r="E29" s="61"/>
      <c r="J29" t="s">
        <v>75</v>
      </c>
      <c r="K29" s="3">
        <f>B58</f>
        <v>104578.15356036423</v>
      </c>
      <c r="L29" s="1">
        <f>M29-0.01</f>
        <v>1.9999999999999997E-2</v>
      </c>
      <c r="M29" s="1">
        <f>N29-0.01</f>
        <v>0.03</v>
      </c>
      <c r="N29" s="1">
        <f>R56</f>
        <v>0.04</v>
      </c>
      <c r="O29" s="78">
        <f>N29+0.01</f>
        <v>0.05</v>
      </c>
      <c r="P29" s="78">
        <f>O29+0.01</f>
        <v>6.0000000000000005E-2</v>
      </c>
    </row>
    <row r="30" spans="1:16" ht="18" x14ac:dyDescent="0.35">
      <c r="A30" s="23" t="s">
        <v>20</v>
      </c>
      <c r="B30" s="25">
        <v>13.18</v>
      </c>
      <c r="D30" s="60"/>
      <c r="E30" s="61"/>
      <c r="K30" s="7">
        <f>K31-0.01</f>
        <v>5.5399999999999998E-2</v>
      </c>
      <c r="L30" s="18">
        <f t="dataTable" ref="L30:P34" dt2D="1" dtr="1" r1="R56" r2="B38" ca="1"/>
        <v>112757.1489993307</v>
      </c>
      <c r="M30" s="18">
        <v>89517.589031961281</v>
      </c>
      <c r="N30" s="18">
        <v>89517.589031961281</v>
      </c>
      <c r="O30" s="73">
        <v>112757.1489993307</v>
      </c>
      <c r="P30" s="18">
        <v>249780.00906667777</v>
      </c>
    </row>
    <row r="31" spans="1:16" ht="18" x14ac:dyDescent="0.35">
      <c r="A31" s="23" t="s">
        <v>21</v>
      </c>
      <c r="B31" s="54">
        <v>5635000000</v>
      </c>
      <c r="D31" s="60"/>
      <c r="E31" s="58"/>
      <c r="K31" s="7">
        <f>K32-0.01</f>
        <v>6.54E-2</v>
      </c>
      <c r="L31" s="18">
        <v>160294.41905958948</v>
      </c>
      <c r="M31" s="18">
        <v>117143.66264250434</v>
      </c>
      <c r="N31" s="18">
        <v>117143.66264250434</v>
      </c>
      <c r="O31" s="73">
        <v>160294.41905958948</v>
      </c>
      <c r="P31" s="73">
        <v>726048.78097248473</v>
      </c>
    </row>
    <row r="32" spans="1:16" x14ac:dyDescent="0.3">
      <c r="A32" s="23" t="s">
        <v>22</v>
      </c>
      <c r="B32" s="54">
        <v>74288000000</v>
      </c>
      <c r="J32" t="s">
        <v>27</v>
      </c>
      <c r="K32" s="7">
        <f>B38</f>
        <v>7.5399999999999995E-2</v>
      </c>
      <c r="L32" s="18">
        <v>160294.41905958948</v>
      </c>
      <c r="M32" s="18">
        <v>117143.66264250434</v>
      </c>
      <c r="N32" s="18">
        <v>117143.66264250434</v>
      </c>
      <c r="O32" s="73">
        <v>160294.41905958948</v>
      </c>
      <c r="P32" s="18">
        <v>726048.78097248473</v>
      </c>
    </row>
    <row r="33" spans="1:18" x14ac:dyDescent="0.3">
      <c r="A33" s="23" t="s">
        <v>9</v>
      </c>
      <c r="B33" s="51">
        <v>1.4E-2</v>
      </c>
      <c r="E33" s="3"/>
      <c r="F33" s="3"/>
      <c r="G33" s="3"/>
      <c r="H33" s="3"/>
      <c r="K33" s="7">
        <f>K32+0.01</f>
        <v>8.539999999999999E-2</v>
      </c>
      <c r="L33" s="18">
        <v>112757.1489993307</v>
      </c>
      <c r="M33" s="18">
        <v>89517.589031961281</v>
      </c>
      <c r="N33" s="18">
        <v>89517.589031961281</v>
      </c>
      <c r="O33" s="73">
        <v>112757.1489993307</v>
      </c>
      <c r="P33" s="18">
        <v>249780.00906667777</v>
      </c>
    </row>
    <row r="34" spans="1:18" x14ac:dyDescent="0.3">
      <c r="A34" s="23" t="s">
        <v>23</v>
      </c>
      <c r="B34" s="51">
        <v>0.27</v>
      </c>
      <c r="C34" s="2"/>
      <c r="K34" s="7">
        <f>K33+0.01</f>
        <v>9.5399999999999985E-2</v>
      </c>
      <c r="L34" s="18">
        <v>69244.201523639276</v>
      </c>
      <c r="M34" s="18">
        <v>59681.342944892611</v>
      </c>
      <c r="N34" s="18">
        <v>59681.342944892611</v>
      </c>
      <c r="O34" s="73">
        <v>69244.201523639276</v>
      </c>
      <c r="P34" s="18">
        <v>104578.15356036423</v>
      </c>
    </row>
    <row r="35" spans="1:18" x14ac:dyDescent="0.3">
      <c r="A35" s="23" t="s">
        <v>24</v>
      </c>
      <c r="B35" s="52">
        <v>3110300000</v>
      </c>
      <c r="K35" s="77"/>
    </row>
    <row r="36" spans="1:18" x14ac:dyDescent="0.3">
      <c r="A36" s="23" t="s">
        <v>25</v>
      </c>
      <c r="B36" s="51">
        <v>0.20100000000000001</v>
      </c>
      <c r="K36" s="77"/>
    </row>
    <row r="37" spans="1:18" x14ac:dyDescent="0.3">
      <c r="A37" s="23" t="s">
        <v>26</v>
      </c>
      <c r="B37" s="51">
        <v>0.79900000000000004</v>
      </c>
    </row>
    <row r="38" spans="1:18" x14ac:dyDescent="0.3">
      <c r="A38" s="50" t="s">
        <v>27</v>
      </c>
      <c r="B38" s="53">
        <v>7.5399999999999995E-2</v>
      </c>
      <c r="G38" s="1"/>
    </row>
    <row r="39" spans="1:18" x14ac:dyDescent="0.3">
      <c r="A39" t="s">
        <v>15</v>
      </c>
    </row>
    <row r="43" spans="1:18" x14ac:dyDescent="0.3">
      <c r="B43" s="3"/>
      <c r="C43" s="3"/>
      <c r="D43" s="3"/>
      <c r="E43" s="3"/>
      <c r="F43" s="3"/>
      <c r="G43" s="3"/>
      <c r="H43" s="3"/>
      <c r="I43" s="3"/>
      <c r="J43" s="99" t="s">
        <v>56</v>
      </c>
      <c r="K43" s="99"/>
      <c r="L43" s="99"/>
      <c r="M43" s="99"/>
      <c r="N43" s="99"/>
      <c r="O43" s="99"/>
      <c r="P43" s="99"/>
      <c r="Q43" s="100" t="s">
        <v>63</v>
      </c>
      <c r="R43" s="101"/>
    </row>
    <row r="44" spans="1:18" x14ac:dyDescent="0.3">
      <c r="A44" s="17"/>
      <c r="B44" s="4"/>
      <c r="C44" s="4"/>
      <c r="D44" s="4"/>
      <c r="E44" s="4"/>
      <c r="F44" s="4"/>
      <c r="G44" s="3"/>
      <c r="H44" s="3"/>
      <c r="I44" s="3"/>
      <c r="J44" s="104" t="s">
        <v>59</v>
      </c>
      <c r="K44" s="104"/>
      <c r="L44" s="104"/>
      <c r="M44" s="104"/>
      <c r="N44" s="104"/>
      <c r="O44" s="104"/>
      <c r="P44" s="104"/>
      <c r="Q44" s="55" t="s">
        <v>16</v>
      </c>
      <c r="R44" s="51">
        <v>3.5400000000000001E-2</v>
      </c>
    </row>
    <row r="45" spans="1:18" x14ac:dyDescent="0.3">
      <c r="A45" s="17"/>
      <c r="B45" s="4"/>
      <c r="C45" s="4"/>
      <c r="D45" s="4"/>
      <c r="E45" s="4"/>
      <c r="F45" s="4"/>
      <c r="G45" s="3"/>
      <c r="H45" s="3"/>
      <c r="I45" s="3"/>
      <c r="J45" s="19" t="s">
        <v>58</v>
      </c>
      <c r="K45" s="19">
        <f>$B$58</f>
        <v>104578.15356036423</v>
      </c>
      <c r="L45" s="30">
        <f>R56</f>
        <v>0.04</v>
      </c>
      <c r="M45" s="30">
        <f>L45+0.01</f>
        <v>0.05</v>
      </c>
      <c r="N45" s="30">
        <f t="shared" ref="N45:P45" si="1">M45+0.01</f>
        <v>6.0000000000000005E-2</v>
      </c>
      <c r="O45" s="30">
        <f t="shared" si="1"/>
        <v>7.0000000000000007E-2</v>
      </c>
      <c r="P45" s="30">
        <f t="shared" si="1"/>
        <v>0.08</v>
      </c>
      <c r="Q45" s="55" t="s">
        <v>17</v>
      </c>
      <c r="R45" s="51">
        <v>5.1700000000000003E-2</v>
      </c>
    </row>
    <row r="46" spans="1:18" x14ac:dyDescent="0.3">
      <c r="A46" s="17"/>
      <c r="B46" s="3"/>
      <c r="C46" s="3"/>
      <c r="D46" s="3"/>
      <c r="E46" s="3"/>
      <c r="F46" s="3"/>
      <c r="G46" s="3"/>
      <c r="H46" s="3"/>
      <c r="I46" s="3"/>
      <c r="J46" s="105" t="s">
        <v>27</v>
      </c>
      <c r="K46" s="24">
        <f>B38</f>
        <v>7.5399999999999995E-2</v>
      </c>
      <c r="L46" s="74">
        <f t="dataTable" ref="L46:P50" dt2D="1" dtr="1" r1="R56" r2="B38" ca="1"/>
        <v>104578.15356036423</v>
      </c>
      <c r="M46" s="75">
        <v>143111.63668702886</v>
      </c>
      <c r="N46" s="75">
        <v>648328.4154588551</v>
      </c>
      <c r="O46" s="75">
        <v>-134141.47361458244</v>
      </c>
      <c r="P46" s="75">
        <v>-46931.207340143701</v>
      </c>
      <c r="Q46" s="55" t="s">
        <v>18</v>
      </c>
      <c r="R46" s="25">
        <v>0.73799999999999999</v>
      </c>
    </row>
    <row r="47" spans="1:18" x14ac:dyDescent="0.3">
      <c r="A47" s="17"/>
      <c r="B47" s="3"/>
      <c r="C47" s="3"/>
      <c r="D47" s="3"/>
      <c r="E47" s="3"/>
      <c r="F47" s="3"/>
      <c r="G47" s="3"/>
      <c r="H47" s="3"/>
      <c r="I47" s="3"/>
      <c r="J47" s="105"/>
      <c r="K47" s="24">
        <f>K46+0.01</f>
        <v>8.539999999999999E-2</v>
      </c>
      <c r="L47" s="76">
        <v>-54704.319468455062</v>
      </c>
      <c r="M47" s="3">
        <v>-45238.222582894145</v>
      </c>
      <c r="N47" s="3">
        <v>-33019.572702241043</v>
      </c>
      <c r="O47" s="3">
        <v>-22688.09649425426</v>
      </c>
      <c r="P47" s="3">
        <v>-15149.994836680464</v>
      </c>
      <c r="Q47" s="55" t="s">
        <v>19</v>
      </c>
      <c r="R47" s="51">
        <v>7.1999999999999995E-2</v>
      </c>
    </row>
    <row r="48" spans="1:18" x14ac:dyDescent="0.3">
      <c r="A48" s="17"/>
      <c r="B48" s="4"/>
      <c r="C48" s="4"/>
      <c r="D48" s="4"/>
      <c r="E48" s="4"/>
      <c r="F48" s="4"/>
      <c r="G48" s="3"/>
      <c r="H48" s="3"/>
      <c r="I48" s="3"/>
      <c r="J48" s="105"/>
      <c r="K48" s="24">
        <f>K47+0.01</f>
        <v>9.5399999999999985E-2</v>
      </c>
      <c r="L48" s="76">
        <v>-17093.954708516856</v>
      </c>
      <c r="M48" s="3">
        <v>-15499.309100740144</v>
      </c>
      <c r="N48" s="4">
        <v>-12891.29817963751</v>
      </c>
      <c r="O48" s="4">
        <v>-9984.4247531875517</v>
      </c>
      <c r="P48" s="4">
        <v>-7265.0649009928238</v>
      </c>
      <c r="Q48" s="55" t="s">
        <v>20</v>
      </c>
      <c r="R48" s="25">
        <v>13.18</v>
      </c>
    </row>
    <row r="49" spans="1:18" x14ac:dyDescent="0.3">
      <c r="A49" s="17"/>
      <c r="B49" s="3"/>
      <c r="C49" s="3"/>
      <c r="D49" s="3"/>
      <c r="E49" s="3"/>
      <c r="F49" s="3"/>
      <c r="G49" s="3"/>
      <c r="H49" s="3"/>
      <c r="I49" s="3"/>
      <c r="J49" s="105"/>
      <c r="K49" s="24">
        <f t="shared" ref="K49:K50" si="2">K48+0.01</f>
        <v>0.10539999999999998</v>
      </c>
      <c r="L49" s="76">
        <v>-8317.314649721402</v>
      </c>
      <c r="M49" s="3">
        <v>-7682.240451968979</v>
      </c>
      <c r="N49" s="3">
        <v>-6574.515124943011</v>
      </c>
      <c r="O49" s="3">
        <v>-5226.9082361687961</v>
      </c>
      <c r="P49" s="3">
        <v>-3843.0230266856147</v>
      </c>
      <c r="Q49" s="55" t="s">
        <v>21</v>
      </c>
      <c r="R49" s="54">
        <v>5635000000</v>
      </c>
    </row>
    <row r="50" spans="1:18" x14ac:dyDescent="0.3">
      <c r="A50" s="17"/>
      <c r="J50" s="105"/>
      <c r="K50" s="24">
        <f t="shared" si="2"/>
        <v>0.11539999999999997</v>
      </c>
      <c r="L50" s="76">
        <v>-4622.2264944886501</v>
      </c>
      <c r="M50" s="3">
        <v>-4288.0912736512382</v>
      </c>
      <c r="N50" s="3">
        <v>-3687.8728117803639</v>
      </c>
      <c r="O50" s="4">
        <v>-2926.2277580384925</v>
      </c>
      <c r="P50" s="3">
        <v>-2105.6732404581071</v>
      </c>
      <c r="Q50" s="55" t="s">
        <v>22</v>
      </c>
      <c r="R50" s="54">
        <v>74288000000</v>
      </c>
    </row>
    <row r="51" spans="1:18" x14ac:dyDescent="0.3">
      <c r="A51" s="102" t="s">
        <v>45</v>
      </c>
      <c r="B51" s="102"/>
      <c r="C51" s="102"/>
      <c r="D51" s="102"/>
      <c r="E51" s="102"/>
      <c r="F51" s="102"/>
      <c r="G51" s="102"/>
      <c r="J51" s="104" t="s">
        <v>59</v>
      </c>
      <c r="K51" s="104"/>
      <c r="L51" s="104"/>
      <c r="M51" s="104"/>
      <c r="N51" s="104"/>
      <c r="O51" s="104"/>
      <c r="P51" s="104"/>
      <c r="Q51" s="55" t="s">
        <v>9</v>
      </c>
      <c r="R51" s="51">
        <v>1.4E-2</v>
      </c>
    </row>
    <row r="52" spans="1:18" x14ac:dyDescent="0.3">
      <c r="A52" s="37" t="s">
        <v>42</v>
      </c>
      <c r="B52" s="23">
        <v>2024</v>
      </c>
      <c r="C52" s="36" t="s">
        <v>28</v>
      </c>
      <c r="D52" s="36" t="s">
        <v>29</v>
      </c>
      <c r="E52" s="36" t="s">
        <v>30</v>
      </c>
      <c r="F52" s="36" t="s">
        <v>31</v>
      </c>
      <c r="G52" s="36" t="s">
        <v>32</v>
      </c>
      <c r="J52" s="20" t="s">
        <v>60</v>
      </c>
      <c r="K52" s="34">
        <f>$B$60</f>
        <v>17.321015893587262</v>
      </c>
      <c r="L52" s="29">
        <f>R56</f>
        <v>0.04</v>
      </c>
      <c r="M52" s="29">
        <f>L52+0.01</f>
        <v>0.05</v>
      </c>
      <c r="N52" s="29">
        <f>M52+0.01</f>
        <v>6.0000000000000005E-2</v>
      </c>
      <c r="O52" s="29">
        <f>N52+0.01</f>
        <v>7.0000000000000007E-2</v>
      </c>
      <c r="P52" s="29">
        <f>O52+0.01</f>
        <v>0.08</v>
      </c>
      <c r="Q52" s="55" t="s">
        <v>23</v>
      </c>
      <c r="R52" s="51">
        <v>0.27</v>
      </c>
    </row>
    <row r="53" spans="1:18" x14ac:dyDescent="0.3">
      <c r="A53" s="38" t="s">
        <v>46</v>
      </c>
      <c r="B53" s="48">
        <f>(1+B38)^0</f>
        <v>1</v>
      </c>
      <c r="C53" s="49">
        <f>(1+B38)^1</f>
        <v>1.0753999999999999</v>
      </c>
      <c r="D53" s="49">
        <f>(1+$B$38)^2</f>
        <v>1.1564851599999999</v>
      </c>
      <c r="E53" s="49">
        <f>(1+$B$38)^3</f>
        <v>1.2436841410639998</v>
      </c>
      <c r="F53" s="49">
        <f>(1+$B$38)^4</f>
        <v>1.3374579253002254</v>
      </c>
      <c r="G53" s="49">
        <f>(1+$B$38)^5</f>
        <v>1.4383022528678624</v>
      </c>
      <c r="J53" s="103" t="s">
        <v>27</v>
      </c>
      <c r="K53" s="35">
        <f>B38</f>
        <v>7.5399999999999995E-2</v>
      </c>
      <c r="L53" s="71">
        <f t="dataTable" ref="L53:P57" dt2D="1" dtr="1" r1="R56" r2="B38" ca="1"/>
        <v>17.321015893587262</v>
      </c>
      <c r="M53" s="71">
        <v>24.159256022542834</v>
      </c>
      <c r="N53" s="71">
        <v>113.81618215773827</v>
      </c>
      <c r="O53" s="72">
        <v>-25.042715637015515</v>
      </c>
      <c r="P53" s="71">
        <v>-9.5661821366714648</v>
      </c>
      <c r="Q53" s="55" t="s">
        <v>24</v>
      </c>
      <c r="R53" s="52">
        <v>3110300000</v>
      </c>
    </row>
    <row r="54" spans="1:18" x14ac:dyDescent="0.3">
      <c r="A54" s="38" t="s">
        <v>47</v>
      </c>
      <c r="B54" s="28">
        <f>(G56*(1+$R$56))/(B38-$R$56)</f>
        <v>136139.90778839096</v>
      </c>
      <c r="C54" s="28"/>
      <c r="D54" s="28"/>
      <c r="E54" s="28"/>
      <c r="F54" s="28"/>
      <c r="G54" s="28"/>
      <c r="J54" s="103"/>
      <c r="K54" s="35">
        <f>K53+0.01</f>
        <v>8.539999999999999E-2</v>
      </c>
      <c r="L54" s="71">
        <v>-10.945616409663721</v>
      </c>
      <c r="M54" s="71">
        <v>-9.2657411859616925</v>
      </c>
      <c r="N54" s="71">
        <v>-7.0973916064314189</v>
      </c>
      <c r="O54" s="72">
        <v>-5.2639441870903738</v>
      </c>
      <c r="P54" s="71">
        <v>-3.9262154102361069</v>
      </c>
      <c r="Q54" s="55" t="s">
        <v>25</v>
      </c>
      <c r="R54" s="51">
        <v>0.20100000000000001</v>
      </c>
    </row>
    <row r="55" spans="1:18" x14ac:dyDescent="0.3">
      <c r="A55" s="38" t="s">
        <v>48</v>
      </c>
      <c r="B55" s="28">
        <f>B54/G53</f>
        <v>94653.197905334993</v>
      </c>
      <c r="C55" s="28"/>
      <c r="D55" s="28"/>
      <c r="E55" s="28"/>
      <c r="F55" s="28"/>
      <c r="G55" s="28"/>
      <c r="J55" s="103"/>
      <c r="K55" s="35">
        <f>K54+0.01</f>
        <v>9.5399999999999985E-2</v>
      </c>
      <c r="L55" s="71">
        <v>-4.2711949793286346</v>
      </c>
      <c r="M55" s="71">
        <v>-3.9882055192085435</v>
      </c>
      <c r="N55" s="71">
        <v>-3.5253819307253784</v>
      </c>
      <c r="O55" s="72">
        <v>-3.0095215178682433</v>
      </c>
      <c r="P55" s="71">
        <v>-2.526937693166428</v>
      </c>
      <c r="Q55" s="55" t="s">
        <v>26</v>
      </c>
      <c r="R55" s="51">
        <v>0.79900000000000004</v>
      </c>
    </row>
    <row r="56" spans="1:18" x14ac:dyDescent="0.3">
      <c r="A56" s="38" t="s">
        <v>44</v>
      </c>
      <c r="B56" s="28">
        <f>4655482/1000</f>
        <v>4655.482</v>
      </c>
      <c r="C56" s="28">
        <f>B56*(1-1.98)</f>
        <v>-4562.3723600000003</v>
      </c>
      <c r="D56" s="28">
        <f>C56*(1-1.98)</f>
        <v>4471.1249127999999</v>
      </c>
      <c r="E56" s="28">
        <f>D56*(1+0.015)</f>
        <v>4538.1917864919997</v>
      </c>
      <c r="F56" s="28">
        <f>E56*(1+0.011)</f>
        <v>4588.1118961434113</v>
      </c>
      <c r="G56" s="28">
        <f>F56*(1+0.01)</f>
        <v>4633.9930151048457</v>
      </c>
      <c r="J56" s="103"/>
      <c r="K56" s="35">
        <f>K55+0.01</f>
        <v>0.10539999999999998</v>
      </c>
      <c r="L56" s="71">
        <v>-2.713672342452778</v>
      </c>
      <c r="M56" s="71">
        <v>-2.6009706214674324</v>
      </c>
      <c r="N56" s="71">
        <v>-2.4043911490582097</v>
      </c>
      <c r="O56" s="72">
        <v>-2.1652417455490323</v>
      </c>
      <c r="P56" s="71">
        <v>-1.919654308196205</v>
      </c>
      <c r="Q56" s="55" t="s">
        <v>59</v>
      </c>
      <c r="R56" s="1">
        <v>0.04</v>
      </c>
    </row>
    <row r="57" spans="1:18" x14ac:dyDescent="0.3">
      <c r="A57" s="38" t="s">
        <v>49</v>
      </c>
      <c r="B57" s="28"/>
      <c r="C57" s="28">
        <f>C56/C53</f>
        <v>-4242.4887111772368</v>
      </c>
      <c r="D57" s="28">
        <f>D56/D53</f>
        <v>3866.1325431966634</v>
      </c>
      <c r="E57" s="28">
        <f>E56/E53</f>
        <v>3648.9906372927408</v>
      </c>
      <c r="F57" s="28">
        <f>F56/F53</f>
        <v>3430.4719493239359</v>
      </c>
      <c r="G57" s="28">
        <f>G56/G53</f>
        <v>3221.8492363931332</v>
      </c>
      <c r="J57" s="103"/>
      <c r="K57" s="35">
        <f>K56+0.01</f>
        <v>0.11539999999999997</v>
      </c>
      <c r="L57" s="71">
        <v>-2.0579335393946141</v>
      </c>
      <c r="M57" s="71">
        <v>-1.9986371381812316</v>
      </c>
      <c r="N57" s="71">
        <v>-1.8921209958793903</v>
      </c>
      <c r="O57" s="72">
        <v>-1.7569577210361125</v>
      </c>
      <c r="P57" s="71">
        <v>-1.6113402378807646</v>
      </c>
      <c r="Q57" s="56" t="s">
        <v>27</v>
      </c>
      <c r="R57" s="53">
        <v>7.5399999999999995E-2</v>
      </c>
    </row>
    <row r="58" spans="1:18" x14ac:dyDescent="0.3">
      <c r="A58" s="38" t="s">
        <v>50</v>
      </c>
      <c r="B58" s="28">
        <f>B55+C57+D57+E57+F57+G57</f>
        <v>104578.15356036423</v>
      </c>
      <c r="C58" s="28"/>
      <c r="D58" s="28"/>
      <c r="E58" s="28"/>
      <c r="F58" s="28"/>
      <c r="G58" s="28"/>
    </row>
    <row r="59" spans="1:18" x14ac:dyDescent="0.3">
      <c r="A59" s="38" t="s">
        <v>51</v>
      </c>
      <c r="B59" s="28">
        <f>B58-(6974229/1000)</f>
        <v>97603.924560364219</v>
      </c>
      <c r="C59" s="28"/>
      <c r="D59" s="28"/>
      <c r="E59" s="28"/>
      <c r="F59" s="28"/>
      <c r="G59" s="28"/>
    </row>
    <row r="60" spans="1:18" x14ac:dyDescent="0.3">
      <c r="A60" s="38" t="s">
        <v>57</v>
      </c>
      <c r="B60" s="28">
        <f>B59*1000000/B31</f>
        <v>17.321015893587262</v>
      </c>
      <c r="C60" s="28"/>
      <c r="D60" s="28"/>
      <c r="E60" s="28"/>
      <c r="F60" s="28"/>
      <c r="G60" s="28"/>
    </row>
    <row r="61" spans="1:18" x14ac:dyDescent="0.3">
      <c r="A61" s="38" t="s">
        <v>52</v>
      </c>
      <c r="B61" s="24">
        <f>(B60-12.41)/12.41</f>
        <v>0.39573053131243047</v>
      </c>
      <c r="C61" s="22"/>
      <c r="D61" s="22"/>
      <c r="E61" s="22"/>
      <c r="F61" s="22"/>
      <c r="G61" s="22"/>
    </row>
    <row r="62" spans="1:18" x14ac:dyDescent="0.3">
      <c r="A62" s="38" t="s">
        <v>53</v>
      </c>
      <c r="B62" s="36" t="s">
        <v>55</v>
      </c>
      <c r="C62" s="22"/>
      <c r="D62" s="22"/>
      <c r="E62" s="22"/>
      <c r="F62" s="22"/>
      <c r="G62" s="22"/>
    </row>
  </sheetData>
  <mergeCells count="9">
    <mergeCell ref="G3:K3"/>
    <mergeCell ref="A25:B25"/>
    <mergeCell ref="Q43:R43"/>
    <mergeCell ref="A51:G51"/>
    <mergeCell ref="J53:J57"/>
    <mergeCell ref="J51:P51"/>
    <mergeCell ref="J44:P44"/>
    <mergeCell ref="J46:J50"/>
    <mergeCell ref="J43:P43"/>
  </mergeCells>
  <conditionalFormatting sqref="L46:P50">
    <cfRule type="colorScale" priority="2">
      <colorScale>
        <cfvo type="min"/>
        <cfvo type="percentile" val="50"/>
        <cfvo type="max"/>
        <color rgb="FFF8696B"/>
        <color rgb="FFFFEB84"/>
        <color rgb="FF63BE7B"/>
      </colorScale>
    </cfRule>
  </conditionalFormatting>
  <conditionalFormatting sqref="L53:P57">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7BA93-BEAB-4A69-9EF6-5DCCF6174F9D}">
  <dimension ref="A1:R62"/>
  <sheetViews>
    <sheetView topLeftCell="E19" zoomScale="81" zoomScaleNormal="115" workbookViewId="0">
      <selection activeCell="J28" sqref="J28:P35"/>
    </sheetView>
  </sheetViews>
  <sheetFormatPr defaultRowHeight="14.4" x14ac:dyDescent="0.3"/>
  <cols>
    <col min="1" max="1" width="19.77734375" bestFit="1" customWidth="1"/>
    <col min="2" max="2" width="15.5546875" bestFit="1" customWidth="1"/>
    <col min="3" max="9" width="10.5546875" bestFit="1" customWidth="1"/>
    <col min="10" max="10" width="10.109375" bestFit="1" customWidth="1"/>
    <col min="11" max="11" width="13.21875" bestFit="1" customWidth="1"/>
    <col min="12" max="12" width="12.6640625" bestFit="1" customWidth="1"/>
    <col min="13" max="13" width="11.109375" bestFit="1" customWidth="1"/>
    <col min="14" max="14" width="13.21875" bestFit="1" customWidth="1"/>
    <col min="15" max="15" width="11.109375" style="5" bestFit="1" customWidth="1"/>
    <col min="16" max="16" width="11.109375" bestFit="1" customWidth="1"/>
    <col min="17" max="17" width="19.77734375" bestFit="1" customWidth="1"/>
    <col min="18" max="18" width="15.5546875" bestFit="1" customWidth="1"/>
  </cols>
  <sheetData>
    <row r="1" spans="1:17" x14ac:dyDescent="0.3">
      <c r="E1" s="7"/>
    </row>
    <row r="3" spans="1:17" x14ac:dyDescent="0.3">
      <c r="A3" s="47" t="s">
        <v>62</v>
      </c>
      <c r="B3" s="6"/>
      <c r="C3" s="6" t="s">
        <v>0</v>
      </c>
      <c r="D3" s="6"/>
      <c r="E3" s="6"/>
      <c r="F3" s="6"/>
      <c r="G3" s="98" t="s">
        <v>61</v>
      </c>
      <c r="H3" s="98"/>
      <c r="I3" s="98"/>
      <c r="J3" s="98"/>
      <c r="K3" s="98"/>
    </row>
    <row r="4" spans="1:17" ht="18" x14ac:dyDescent="0.35">
      <c r="A4" s="41" t="s">
        <v>69</v>
      </c>
      <c r="B4" s="6" t="s">
        <v>64</v>
      </c>
      <c r="C4" s="6" t="s">
        <v>65</v>
      </c>
      <c r="D4" s="6" t="s">
        <v>66</v>
      </c>
      <c r="E4" s="6" t="s">
        <v>67</v>
      </c>
      <c r="F4" s="6" t="s">
        <v>68</v>
      </c>
      <c r="G4" s="40" t="s">
        <v>28</v>
      </c>
      <c r="H4" s="40" t="s">
        <v>29</v>
      </c>
      <c r="I4" s="40" t="s">
        <v>30</v>
      </c>
      <c r="J4" s="40" t="s">
        <v>31</v>
      </c>
      <c r="K4" s="40" t="s">
        <v>32</v>
      </c>
      <c r="M4" s="8" t="s">
        <v>33</v>
      </c>
      <c r="N4" s="9" t="s">
        <v>37</v>
      </c>
    </row>
    <row r="5" spans="1:17" ht="18" x14ac:dyDescent="0.35">
      <c r="A5" s="41" t="s">
        <v>1</v>
      </c>
      <c r="B5" s="28">
        <v>67617.84</v>
      </c>
      <c r="C5" s="28">
        <v>74082.289999999994</v>
      </c>
      <c r="D5" s="28">
        <v>78717.42</v>
      </c>
      <c r="E5" s="28">
        <v>80418.080000000002</v>
      </c>
      <c r="F5" s="28">
        <v>80650.91</v>
      </c>
      <c r="G5" s="33">
        <f>F5*(1+G6)</f>
        <v>82263.928200000009</v>
      </c>
      <c r="H5" s="25">
        <f>G5*(1+H6)</f>
        <v>84731.846046000006</v>
      </c>
      <c r="I5" s="25">
        <f>H5*(1+I6)</f>
        <v>89815.756808760008</v>
      </c>
      <c r="J5" s="25">
        <f>I5*(1+J6)</f>
        <v>97001.017353460818</v>
      </c>
      <c r="K5" s="25">
        <f>J5*(1+K6)</f>
        <v>108641.13943587613</v>
      </c>
      <c r="L5" s="3"/>
      <c r="M5" s="10" t="s">
        <v>34</v>
      </c>
      <c r="N5" s="11">
        <v>13.34</v>
      </c>
    </row>
    <row r="6" spans="1:17" ht="18" x14ac:dyDescent="0.35">
      <c r="A6" s="41" t="s">
        <v>2</v>
      </c>
      <c r="B6" s="32"/>
      <c r="C6" s="32">
        <v>0.1</v>
      </c>
      <c r="D6" s="32">
        <v>0.06</v>
      </c>
      <c r="E6" s="32">
        <v>0.02</v>
      </c>
      <c r="F6" s="32">
        <v>0</v>
      </c>
      <c r="G6" s="42">
        <v>0.02</v>
      </c>
      <c r="H6" s="30">
        <v>0.03</v>
      </c>
      <c r="I6" s="30">
        <v>0.06</v>
      </c>
      <c r="J6" s="30">
        <v>0.08</v>
      </c>
      <c r="K6" s="30">
        <v>0.12</v>
      </c>
      <c r="L6" s="1"/>
      <c r="M6" s="12" t="s">
        <v>35</v>
      </c>
      <c r="N6" s="11">
        <v>12.41</v>
      </c>
    </row>
    <row r="7" spans="1:17" ht="18" x14ac:dyDescent="0.35">
      <c r="A7" s="41" t="s">
        <v>3</v>
      </c>
      <c r="B7" s="28">
        <v>1958.23</v>
      </c>
      <c r="C7" s="28">
        <v>1424.98</v>
      </c>
      <c r="D7" s="28">
        <v>1072.97</v>
      </c>
      <c r="E7" s="28">
        <v>1262.79</v>
      </c>
      <c r="F7" s="28">
        <v>1737.52</v>
      </c>
      <c r="G7" s="33">
        <f>G5*G8</f>
        <v>22211.260614000003</v>
      </c>
      <c r="H7" s="25">
        <f>H5*H8</f>
        <v>22877.598432420004</v>
      </c>
      <c r="I7" s="25">
        <f>I5*I8</f>
        <v>24250.254338365205</v>
      </c>
      <c r="J7" s="25">
        <f>J5*J8</f>
        <v>26190.274685434422</v>
      </c>
      <c r="K7" s="25">
        <f>K5*K8</f>
        <v>29333.107647686556</v>
      </c>
      <c r="L7" s="3"/>
      <c r="M7" s="13" t="s">
        <v>36</v>
      </c>
      <c r="N7" s="14">
        <v>13.88</v>
      </c>
    </row>
    <row r="8" spans="1:17" ht="18" x14ac:dyDescent="0.35">
      <c r="A8" s="41" t="s">
        <v>4</v>
      </c>
      <c r="B8" s="28">
        <v>29.98</v>
      </c>
      <c r="C8" s="28">
        <v>24.53</v>
      </c>
      <c r="D8" s="28">
        <v>25.86</v>
      </c>
      <c r="E8" s="28">
        <v>26.42</v>
      </c>
      <c r="F8" s="28">
        <v>28.67</v>
      </c>
      <c r="G8" s="42">
        <v>0.27</v>
      </c>
      <c r="H8" s="30">
        <v>0.27</v>
      </c>
      <c r="I8" s="30">
        <v>0.27</v>
      </c>
      <c r="J8" s="30">
        <v>0.27</v>
      </c>
      <c r="K8" s="30">
        <v>0.27</v>
      </c>
      <c r="L8" s="3"/>
      <c r="M8" s="13" t="s">
        <v>39</v>
      </c>
      <c r="N8" s="14" t="s">
        <v>38</v>
      </c>
    </row>
    <row r="9" spans="1:17" ht="18" x14ac:dyDescent="0.35">
      <c r="A9" s="41" t="s">
        <v>5</v>
      </c>
      <c r="B9" s="28">
        <v>4062.45</v>
      </c>
      <c r="C9" s="28">
        <v>3683.99</v>
      </c>
      <c r="D9" s="28">
        <v>2674.16</v>
      </c>
      <c r="E9" s="28">
        <v>3117.46</v>
      </c>
      <c r="F9" s="28">
        <v>3734.43</v>
      </c>
      <c r="G9" s="33">
        <f>G5*G10/100</f>
        <v>3290.5571280000004</v>
      </c>
      <c r="H9" s="25">
        <f>H5*H10/100</f>
        <v>4770.4029323898003</v>
      </c>
      <c r="I9" s="25">
        <f>I5*I10/100</f>
        <v>5451.816438291733</v>
      </c>
      <c r="J9" s="25">
        <f>J5*J10/100</f>
        <v>6790.0712147422573</v>
      </c>
      <c r="K9" s="25">
        <f>K5*K10/100</f>
        <v>7604.8797605113286</v>
      </c>
      <c r="L9" s="3"/>
      <c r="M9" s="15" t="s">
        <v>40</v>
      </c>
      <c r="N9" s="16" t="s">
        <v>41</v>
      </c>
    </row>
    <row r="10" spans="1:17" x14ac:dyDescent="0.3">
      <c r="A10" s="41" t="s">
        <v>6</v>
      </c>
      <c r="B10" s="22">
        <v>6.01</v>
      </c>
      <c r="C10" s="22">
        <v>5.13</v>
      </c>
      <c r="D10" s="22">
        <v>3.34</v>
      </c>
      <c r="E10" s="22">
        <v>3.88</v>
      </c>
      <c r="F10" s="22">
        <v>4.63</v>
      </c>
      <c r="G10" s="43">
        <v>4</v>
      </c>
      <c r="H10" s="28">
        <v>5.63</v>
      </c>
      <c r="I10" s="28">
        <v>6.07</v>
      </c>
      <c r="J10" s="28">
        <v>7</v>
      </c>
      <c r="K10" s="28">
        <v>7</v>
      </c>
    </row>
    <row r="11" spans="1:17" x14ac:dyDescent="0.3">
      <c r="A11" s="41" t="s">
        <v>7</v>
      </c>
      <c r="B11" s="28">
        <v>384.64</v>
      </c>
      <c r="C11" s="28">
        <v>223.49</v>
      </c>
      <c r="D11" s="28">
        <v>446.02</v>
      </c>
      <c r="E11" s="28">
        <v>519.12</v>
      </c>
      <c r="F11" s="28">
        <v>423.31</v>
      </c>
      <c r="G11" s="33"/>
      <c r="H11" s="25"/>
      <c r="I11" s="25"/>
      <c r="J11" s="25"/>
      <c r="K11" s="25"/>
      <c r="L11" s="3"/>
      <c r="M11" s="3"/>
      <c r="N11" s="3"/>
      <c r="O11" s="4"/>
      <c r="P11" s="3"/>
      <c r="Q11" s="3"/>
    </row>
    <row r="12" spans="1:17" x14ac:dyDescent="0.3">
      <c r="A12" s="41" t="s">
        <v>8</v>
      </c>
      <c r="B12" s="28">
        <v>14013.3</v>
      </c>
      <c r="C12" s="28">
        <v>14016.9</v>
      </c>
      <c r="D12" s="28">
        <v>17920.099999999999</v>
      </c>
      <c r="E12" s="28">
        <v>14055.4</v>
      </c>
      <c r="F12" s="28">
        <v>13518.8</v>
      </c>
      <c r="G12" s="33"/>
      <c r="H12" s="25"/>
      <c r="I12" s="25"/>
      <c r="J12" s="25"/>
      <c r="K12" s="25"/>
      <c r="L12" s="3"/>
      <c r="M12" s="3"/>
    </row>
    <row r="13" spans="1:17" x14ac:dyDescent="0.3">
      <c r="A13" s="41" t="s">
        <v>9</v>
      </c>
      <c r="B13" s="32">
        <v>0.02</v>
      </c>
      <c r="C13" s="32">
        <v>0.02</v>
      </c>
      <c r="D13" s="32">
        <v>0.02</v>
      </c>
      <c r="E13" s="32">
        <v>0.04</v>
      </c>
      <c r="F13" s="32">
        <v>0.03</v>
      </c>
      <c r="G13" s="44">
        <v>1.3999999999999999E-2</v>
      </c>
      <c r="H13" s="39">
        <v>1.3999999999999999E-2</v>
      </c>
      <c r="I13" s="39">
        <v>1.3999999999999999E-2</v>
      </c>
      <c r="J13" s="39">
        <v>1.3999999999999999E-2</v>
      </c>
      <c r="K13" s="39">
        <v>1.3999999999999999E-2</v>
      </c>
    </row>
    <row r="14" spans="1:17" x14ac:dyDescent="0.3">
      <c r="A14" s="41" t="s">
        <v>10</v>
      </c>
      <c r="B14" s="28">
        <v>3141.63</v>
      </c>
      <c r="C14" s="28">
        <v>3134.16</v>
      </c>
      <c r="D14" s="28">
        <v>3258.9</v>
      </c>
      <c r="E14" s="28">
        <v>3441.8</v>
      </c>
      <c r="F14" s="28">
        <v>3494.97</v>
      </c>
      <c r="G14" s="33">
        <f>G5*G15</f>
        <v>3290.5571280000004</v>
      </c>
      <c r="H14" s="25">
        <f>H5*H15</f>
        <v>4236.5923023000005</v>
      </c>
      <c r="I14" s="25">
        <f>I5*I15</f>
        <v>4490.7878404380008</v>
      </c>
      <c r="J14" s="25">
        <f>J5*J15</f>
        <v>4850.0508676730415</v>
      </c>
      <c r="K14" s="25">
        <f>K5*K15</f>
        <v>5432.056971793807</v>
      </c>
      <c r="L14" s="3"/>
      <c r="M14" s="3"/>
      <c r="N14" s="3"/>
    </row>
    <row r="15" spans="1:17" x14ac:dyDescent="0.3">
      <c r="A15" s="41" t="s">
        <v>11</v>
      </c>
      <c r="B15" s="32">
        <v>0.05</v>
      </c>
      <c r="C15" s="32">
        <v>0.04</v>
      </c>
      <c r="D15" s="32">
        <v>0.04</v>
      </c>
      <c r="E15" s="32">
        <v>0.04</v>
      </c>
      <c r="F15" s="32">
        <v>0.04</v>
      </c>
      <c r="G15" s="42">
        <v>0.04</v>
      </c>
      <c r="H15" s="30">
        <v>0.05</v>
      </c>
      <c r="I15" s="30">
        <v>0.05</v>
      </c>
      <c r="J15" s="30">
        <v>0.05</v>
      </c>
      <c r="K15" s="30">
        <v>0.05</v>
      </c>
    </row>
    <row r="16" spans="1:17" x14ac:dyDescent="0.3">
      <c r="A16" s="41" t="s">
        <v>12</v>
      </c>
      <c r="B16" s="22"/>
      <c r="C16" s="22">
        <v>2980.6</v>
      </c>
      <c r="D16" s="22">
        <v>3238.9</v>
      </c>
      <c r="E16" s="22">
        <v>3644.4</v>
      </c>
      <c r="F16" s="22">
        <v>3608.4</v>
      </c>
      <c r="G16" s="33">
        <f>G5*G17</f>
        <v>3496.2169485000009</v>
      </c>
      <c r="H16" s="25">
        <f>H5*H17</f>
        <v>3601.1034569550006</v>
      </c>
      <c r="I16" s="25">
        <f>I5*I17</f>
        <v>3817.1696643723008</v>
      </c>
      <c r="J16" s="25">
        <f>J5*J17</f>
        <v>4122.5432375220853</v>
      </c>
      <c r="K16" s="25">
        <f>K5*K17</f>
        <v>4617.2484260247356</v>
      </c>
    </row>
    <row r="17" spans="1:16" x14ac:dyDescent="0.3">
      <c r="A17" s="41" t="s">
        <v>11</v>
      </c>
      <c r="B17" s="32">
        <v>0</v>
      </c>
      <c r="C17" s="32">
        <v>0.04</v>
      </c>
      <c r="D17" s="32">
        <v>0.04</v>
      </c>
      <c r="E17" s="32">
        <v>0.05</v>
      </c>
      <c r="F17" s="32">
        <v>0.04</v>
      </c>
      <c r="G17" s="45">
        <v>4.2500000000000003E-2</v>
      </c>
      <c r="H17" s="24">
        <v>4.2500000000000003E-2</v>
      </c>
      <c r="I17" s="24">
        <v>4.2500000000000003E-2</v>
      </c>
      <c r="J17" s="24">
        <v>4.2500000000000003E-2</v>
      </c>
      <c r="K17" s="24">
        <v>4.2500000000000003E-2</v>
      </c>
    </row>
    <row r="18" spans="1:16" x14ac:dyDescent="0.3">
      <c r="A18" s="41" t="s">
        <v>13</v>
      </c>
      <c r="B18" s="28">
        <v>28701.31</v>
      </c>
      <c r="C18" s="28">
        <v>25666.74</v>
      </c>
      <c r="D18" s="28">
        <v>24027.07</v>
      </c>
      <c r="E18" s="28">
        <v>20473.580000000002</v>
      </c>
      <c r="F18" s="28">
        <v>17985.740000000002</v>
      </c>
      <c r="G18" s="33">
        <f>G5*G19</f>
        <v>18098.064204000002</v>
      </c>
      <c r="H18" s="25">
        <f>H5*H19</f>
        <v>18641.00613012</v>
      </c>
      <c r="I18" s="25">
        <f>I5*I19</f>
        <v>19759.466497927202</v>
      </c>
      <c r="J18" s="25">
        <f>J5*J19</f>
        <v>21340.22381776138</v>
      </c>
      <c r="K18" s="25">
        <f>K5*K19</f>
        <v>23901.050675892748</v>
      </c>
      <c r="L18" s="3"/>
      <c r="M18" s="3"/>
      <c r="N18" s="3"/>
    </row>
    <row r="19" spans="1:16" x14ac:dyDescent="0.3">
      <c r="A19" s="41" t="s">
        <v>11</v>
      </c>
      <c r="B19" s="32">
        <v>0.42</v>
      </c>
      <c r="C19" s="32">
        <v>0.35</v>
      </c>
      <c r="D19" s="32">
        <v>0.31</v>
      </c>
      <c r="E19" s="32">
        <v>0.25</v>
      </c>
      <c r="F19" s="32">
        <v>0.22</v>
      </c>
      <c r="G19" s="46">
        <v>0.22</v>
      </c>
      <c r="H19" s="32">
        <v>0.22</v>
      </c>
      <c r="I19" s="32">
        <v>0.22</v>
      </c>
      <c r="J19" s="32">
        <v>0.22</v>
      </c>
      <c r="K19" s="32">
        <v>0.22</v>
      </c>
    </row>
    <row r="20" spans="1:16" x14ac:dyDescent="0.3">
      <c r="A20" s="41" t="s">
        <v>14</v>
      </c>
      <c r="B20" s="28">
        <v>27072.01</v>
      </c>
      <c r="C20" s="28">
        <v>29825.01</v>
      </c>
      <c r="D20" s="28">
        <v>31704.54</v>
      </c>
      <c r="E20" s="28">
        <v>29193.01</v>
      </c>
      <c r="F20" s="28">
        <v>32423.23</v>
      </c>
      <c r="G20" s="33">
        <f>G5*G21</f>
        <v>32905.571280000004</v>
      </c>
      <c r="H20" s="25">
        <f>H5*H21</f>
        <v>33892.738418400004</v>
      </c>
      <c r="I20" s="25">
        <f>I5*I21</f>
        <v>35926.302723504006</v>
      </c>
      <c r="J20" s="25">
        <f>J5*J21</f>
        <v>38800.406941384332</v>
      </c>
      <c r="K20" s="25">
        <f>K5*K21</f>
        <v>43456.455774350456</v>
      </c>
      <c r="L20" s="3"/>
      <c r="M20" s="3"/>
      <c r="N20" s="3"/>
      <c r="O20" s="4"/>
    </row>
    <row r="21" spans="1:16" x14ac:dyDescent="0.3">
      <c r="A21" s="41" t="s">
        <v>11</v>
      </c>
      <c r="B21" s="32">
        <v>0.4</v>
      </c>
      <c r="C21" s="32">
        <v>0.4</v>
      </c>
      <c r="D21" s="32">
        <v>0.4</v>
      </c>
      <c r="E21" s="32">
        <v>0.36</v>
      </c>
      <c r="F21" s="32">
        <v>0.4</v>
      </c>
      <c r="G21" s="42">
        <f>F21</f>
        <v>0.4</v>
      </c>
      <c r="H21" s="30">
        <f>G21</f>
        <v>0.4</v>
      </c>
      <c r="I21" s="30">
        <f>H21</f>
        <v>0.4</v>
      </c>
      <c r="J21" s="30">
        <f>I21</f>
        <v>0.4</v>
      </c>
      <c r="K21" s="30">
        <f>J21</f>
        <v>0.4</v>
      </c>
    </row>
    <row r="22" spans="1:16" x14ac:dyDescent="0.3">
      <c r="A22" t="s">
        <v>15</v>
      </c>
    </row>
    <row r="23" spans="1:16" x14ac:dyDescent="0.3">
      <c r="A23" s="23" t="s">
        <v>43</v>
      </c>
      <c r="B23" s="62">
        <f>5418079/1000</f>
        <v>5418.0789999999997</v>
      </c>
      <c r="C23" s="62">
        <f>4475313/1000</f>
        <v>4475.3130000000001</v>
      </c>
      <c r="D23" s="62">
        <f>5494843/1000</f>
        <v>5494.8429999999998</v>
      </c>
      <c r="E23" s="62">
        <f>8263872/1.07/1000</f>
        <v>7723.2448598130841</v>
      </c>
      <c r="F23" s="62">
        <f>8263872/1.07/1000</f>
        <v>7723.2448598130841</v>
      </c>
      <c r="G23" s="62"/>
      <c r="H23" s="62"/>
      <c r="I23" s="62"/>
      <c r="J23" s="62"/>
      <c r="K23" s="18"/>
      <c r="L23" s="18"/>
    </row>
    <row r="24" spans="1:16" x14ac:dyDescent="0.3">
      <c r="A24" s="23" t="s">
        <v>54</v>
      </c>
      <c r="B24" s="51">
        <f>B23/B5</f>
        <v>8.0127951440034165E-2</v>
      </c>
      <c r="C24" s="51">
        <f t="shared" ref="C24:J24" si="0">C23/C5</f>
        <v>6.0410025122063594E-2</v>
      </c>
      <c r="D24" s="51">
        <f t="shared" si="0"/>
        <v>6.9804663313406359E-2</v>
      </c>
      <c r="E24" s="51">
        <f t="shared" si="0"/>
        <v>9.6038662696412105E-2</v>
      </c>
      <c r="F24" s="51">
        <f t="shared" si="0"/>
        <v>9.5761410005331421E-2</v>
      </c>
      <c r="G24" s="51">
        <f t="shared" si="0"/>
        <v>0</v>
      </c>
      <c r="H24" s="51">
        <f t="shared" si="0"/>
        <v>0</v>
      </c>
      <c r="I24" s="51">
        <f t="shared" si="0"/>
        <v>0</v>
      </c>
      <c r="J24" s="51">
        <f t="shared" si="0"/>
        <v>0</v>
      </c>
      <c r="K24" s="7"/>
      <c r="L24" s="7"/>
    </row>
    <row r="25" spans="1:16" x14ac:dyDescent="0.3">
      <c r="A25" s="99" t="s">
        <v>63</v>
      </c>
      <c r="B25" s="99"/>
    </row>
    <row r="26" spans="1:16" ht="18" x14ac:dyDescent="0.35">
      <c r="A26" s="23" t="s">
        <v>16</v>
      </c>
      <c r="B26" s="51">
        <v>3.5400000000000001E-2</v>
      </c>
      <c r="D26" s="57"/>
      <c r="E26" s="58"/>
    </row>
    <row r="27" spans="1:16" ht="18" x14ac:dyDescent="0.35">
      <c r="A27" s="23" t="s">
        <v>17</v>
      </c>
      <c r="B27" s="51">
        <v>5.1700000000000003E-2</v>
      </c>
      <c r="D27" s="57"/>
      <c r="E27" s="58"/>
      <c r="L27">
        <v>1.9999999999999997E-2</v>
      </c>
      <c r="M27">
        <v>0.03</v>
      </c>
      <c r="N27">
        <v>0.04</v>
      </c>
      <c r="O27" s="5">
        <v>0.05</v>
      </c>
      <c r="P27">
        <v>6.0000000000000005E-2</v>
      </c>
    </row>
    <row r="28" spans="1:16" ht="18" x14ac:dyDescent="0.35">
      <c r="A28" s="23" t="s">
        <v>18</v>
      </c>
      <c r="B28" s="25">
        <v>0.73799999999999999</v>
      </c>
      <c r="D28" s="59"/>
      <c r="E28" s="58"/>
      <c r="J28" s="110" t="s">
        <v>56</v>
      </c>
      <c r="K28" s="111"/>
      <c r="L28" s="111"/>
      <c r="M28" s="111"/>
      <c r="N28" s="111"/>
      <c r="O28" s="111"/>
      <c r="P28" s="112"/>
    </row>
    <row r="29" spans="1:16" ht="18" x14ac:dyDescent="0.35">
      <c r="A29" s="23" t="s">
        <v>19</v>
      </c>
      <c r="B29" s="51">
        <v>7.1999999999999995E-2</v>
      </c>
      <c r="D29" s="60"/>
      <c r="E29" s="61"/>
      <c r="J29" s="109" t="s">
        <v>59</v>
      </c>
      <c r="K29" s="109"/>
      <c r="L29" s="109"/>
      <c r="M29" s="109"/>
      <c r="N29" s="109"/>
      <c r="O29" s="109"/>
      <c r="P29" s="109"/>
    </row>
    <row r="30" spans="1:16" ht="18" x14ac:dyDescent="0.35">
      <c r="A30" s="23" t="s">
        <v>20</v>
      </c>
      <c r="B30" s="25">
        <v>13.18</v>
      </c>
      <c r="D30" s="60"/>
      <c r="E30" s="61"/>
      <c r="J30" s="50" t="s">
        <v>75</v>
      </c>
      <c r="K30" s="82">
        <f>B58</f>
        <v>104578.15356036423</v>
      </c>
      <c r="L30" s="1">
        <f>R56</f>
        <v>0.04</v>
      </c>
      <c r="M30" s="1">
        <f>L30+0.01</f>
        <v>0.05</v>
      </c>
      <c r="N30" s="1">
        <f t="shared" ref="N30:O30" si="1">M30+0.01</f>
        <v>6.0000000000000005E-2</v>
      </c>
      <c r="O30" s="1">
        <f t="shared" si="1"/>
        <v>7.0000000000000007E-2</v>
      </c>
      <c r="P30" s="1">
        <f>O30+0.01</f>
        <v>0.08</v>
      </c>
    </row>
    <row r="31" spans="1:16" ht="18" x14ac:dyDescent="0.35">
      <c r="A31" s="23" t="s">
        <v>21</v>
      </c>
      <c r="B31" s="54">
        <v>5635000000</v>
      </c>
      <c r="D31" s="60"/>
      <c r="E31" s="58"/>
      <c r="J31" s="113" t="s">
        <v>27</v>
      </c>
      <c r="K31" s="7">
        <f>B38</f>
        <v>7.5399999999999995E-2</v>
      </c>
      <c r="L31" s="80">
        <f t="dataTable" ref="L31:P35" dt2D="1" dtr="1" r1="R56" r2="B38" ca="1"/>
        <v>104578.15356036423</v>
      </c>
      <c r="M31" s="80">
        <v>143111.63668702886</v>
      </c>
      <c r="N31" s="80">
        <v>648328.4154588551</v>
      </c>
      <c r="O31" s="94">
        <v>-134141.47361458244</v>
      </c>
      <c r="P31" s="80">
        <v>-46931.207340143701</v>
      </c>
    </row>
    <row r="32" spans="1:16" x14ac:dyDescent="0.3">
      <c r="A32" s="23" t="s">
        <v>22</v>
      </c>
      <c r="B32" s="69">
        <f>74288000000</f>
        <v>74288000000</v>
      </c>
      <c r="C32" t="str">
        <f>TEXT(B32, "#,##0,,") &amp; " M"</f>
        <v>74,288 M</v>
      </c>
      <c r="J32" s="113"/>
      <c r="K32" s="7">
        <f>K31+0.01</f>
        <v>8.539999999999999E-2</v>
      </c>
      <c r="L32" s="80">
        <v>-54704.319468455062</v>
      </c>
      <c r="M32" s="80">
        <v>-45238.222582894145</v>
      </c>
      <c r="N32" s="80">
        <v>-33019.572702241043</v>
      </c>
      <c r="O32" s="94">
        <v>-22688.09649425426</v>
      </c>
      <c r="P32" s="80">
        <v>-15149.994836680464</v>
      </c>
    </row>
    <row r="33" spans="1:18" x14ac:dyDescent="0.3">
      <c r="A33" s="23" t="s">
        <v>9</v>
      </c>
      <c r="B33" s="51">
        <v>1.4E-2</v>
      </c>
      <c r="E33" s="3"/>
      <c r="F33" s="3"/>
      <c r="G33" s="3"/>
      <c r="H33" s="3"/>
      <c r="J33" s="113"/>
      <c r="K33" s="7">
        <f>K32+0.01</f>
        <v>9.5399999999999985E-2</v>
      </c>
      <c r="L33" s="80">
        <v>-17093.954708516856</v>
      </c>
      <c r="M33" s="80">
        <v>-15499.309100740144</v>
      </c>
      <c r="N33" s="80">
        <v>-12891.29817963751</v>
      </c>
      <c r="O33" s="94">
        <v>-9984.4247531875517</v>
      </c>
      <c r="P33" s="80">
        <v>-7265.0649009928238</v>
      </c>
    </row>
    <row r="34" spans="1:18" x14ac:dyDescent="0.3">
      <c r="A34" s="23" t="s">
        <v>23</v>
      </c>
      <c r="B34" s="51">
        <v>0.27</v>
      </c>
      <c r="C34" s="2"/>
      <c r="J34" s="113"/>
      <c r="K34" s="7">
        <f t="shared" ref="K34:K35" si="2">K33+0.01</f>
        <v>0.10539999999999998</v>
      </c>
      <c r="L34" s="80">
        <v>-8317.314649721402</v>
      </c>
      <c r="M34" s="80">
        <v>-7682.240451968979</v>
      </c>
      <c r="N34" s="80">
        <v>-6574.515124943011</v>
      </c>
      <c r="O34" s="94">
        <v>-5226.9082361687961</v>
      </c>
      <c r="P34" s="80">
        <v>-3843.0230266856147</v>
      </c>
    </row>
    <row r="35" spans="1:18" x14ac:dyDescent="0.3">
      <c r="A35" s="23" t="s">
        <v>24</v>
      </c>
      <c r="B35" s="52">
        <v>3110300000</v>
      </c>
      <c r="J35" s="113"/>
      <c r="K35" s="7">
        <f t="shared" si="2"/>
        <v>0.11539999999999997</v>
      </c>
      <c r="L35" s="80">
        <v>-4622.2264944886501</v>
      </c>
      <c r="M35" s="80">
        <v>-4288.0912736512382</v>
      </c>
      <c r="N35" s="80">
        <v>-3687.8728117803639</v>
      </c>
      <c r="O35" s="94">
        <v>-2926.2277580384925</v>
      </c>
      <c r="P35" s="80">
        <v>-2105.6732404581071</v>
      </c>
    </row>
    <row r="36" spans="1:18" x14ac:dyDescent="0.3">
      <c r="A36" s="23" t="s">
        <v>25</v>
      </c>
      <c r="B36" s="51">
        <v>0.20100000000000001</v>
      </c>
    </row>
    <row r="37" spans="1:18" x14ac:dyDescent="0.3">
      <c r="A37" s="23" t="s">
        <v>26</v>
      </c>
      <c r="B37" s="51">
        <v>0.79900000000000004</v>
      </c>
      <c r="K37" s="3"/>
      <c r="L37" s="1"/>
      <c r="M37" s="1"/>
      <c r="N37" s="1"/>
      <c r="O37" s="1"/>
      <c r="P37" s="1"/>
    </row>
    <row r="38" spans="1:18" x14ac:dyDescent="0.3">
      <c r="A38" s="50" t="s">
        <v>27</v>
      </c>
      <c r="B38" s="53">
        <v>7.5399999999999995E-2</v>
      </c>
      <c r="G38" s="1"/>
      <c r="K38" s="7"/>
    </row>
    <row r="39" spans="1:18" x14ac:dyDescent="0.3">
      <c r="A39" t="s">
        <v>15</v>
      </c>
      <c r="K39" s="7"/>
    </row>
    <row r="40" spans="1:18" x14ac:dyDescent="0.3">
      <c r="K40" s="7"/>
    </row>
    <row r="41" spans="1:18" x14ac:dyDescent="0.3">
      <c r="K41" s="7"/>
    </row>
    <row r="42" spans="1:18" x14ac:dyDescent="0.3">
      <c r="K42" s="7"/>
    </row>
    <row r="43" spans="1:18" x14ac:dyDescent="0.3">
      <c r="B43" s="3"/>
      <c r="C43" s="3"/>
      <c r="D43" s="3"/>
      <c r="E43" s="3"/>
      <c r="F43" s="3"/>
      <c r="G43" s="3"/>
      <c r="H43" s="3"/>
      <c r="I43" s="3"/>
      <c r="J43" s="107"/>
      <c r="K43" s="107"/>
      <c r="L43" s="107"/>
      <c r="M43" s="107"/>
      <c r="N43" s="107"/>
      <c r="O43" s="107"/>
      <c r="P43" s="107"/>
      <c r="Q43" s="101" t="s">
        <v>63</v>
      </c>
      <c r="R43" s="101"/>
    </row>
    <row r="44" spans="1:18" x14ac:dyDescent="0.3">
      <c r="A44" s="17"/>
      <c r="B44" s="4"/>
      <c r="C44" s="4"/>
      <c r="D44" s="4"/>
      <c r="E44" s="4"/>
      <c r="F44" s="4"/>
      <c r="G44" s="3"/>
      <c r="H44" s="3"/>
      <c r="I44" s="3"/>
      <c r="J44" s="107"/>
      <c r="K44" s="107"/>
      <c r="L44" s="107"/>
      <c r="M44" s="107"/>
      <c r="N44" s="107"/>
      <c r="O44" s="107"/>
      <c r="P44" s="107"/>
      <c r="Q44" s="23" t="s">
        <v>16</v>
      </c>
      <c r="R44" s="51">
        <v>3.5400000000000001E-2</v>
      </c>
    </row>
    <row r="45" spans="1:18" x14ac:dyDescent="0.3">
      <c r="A45" s="17"/>
      <c r="B45" s="4"/>
      <c r="C45" s="4"/>
      <c r="D45" s="4"/>
      <c r="E45" s="4"/>
      <c r="F45" s="4"/>
      <c r="G45" s="3"/>
      <c r="H45" s="3"/>
      <c r="I45" s="3"/>
      <c r="J45" s="19"/>
      <c r="K45" s="19"/>
      <c r="L45" s="1"/>
      <c r="M45" s="1"/>
      <c r="N45" s="85"/>
      <c r="O45" s="78"/>
      <c r="P45" s="78"/>
      <c r="Q45" s="23" t="s">
        <v>17</v>
      </c>
      <c r="R45" s="51">
        <v>5.1700000000000003E-2</v>
      </c>
    </row>
    <row r="46" spans="1:18" x14ac:dyDescent="0.3">
      <c r="A46" s="17"/>
      <c r="B46" s="3"/>
      <c r="C46" s="3"/>
      <c r="D46" s="3"/>
      <c r="E46" s="3"/>
      <c r="F46" s="3"/>
      <c r="G46" s="3"/>
      <c r="H46" s="3"/>
      <c r="I46" s="3"/>
      <c r="J46" s="108"/>
      <c r="K46" s="86"/>
      <c r="L46" s="18"/>
      <c r="M46" s="18"/>
      <c r="N46" s="18"/>
      <c r="O46" s="18"/>
      <c r="P46" s="18"/>
      <c r="Q46" s="23" t="s">
        <v>18</v>
      </c>
      <c r="R46" s="25">
        <v>0.73799999999999999</v>
      </c>
    </row>
    <row r="47" spans="1:18" x14ac:dyDescent="0.3">
      <c r="A47" s="17"/>
      <c r="B47" s="3"/>
      <c r="C47" s="3"/>
      <c r="D47" s="3"/>
      <c r="E47" s="3"/>
      <c r="F47" s="3"/>
      <c r="G47" s="3"/>
      <c r="H47" s="3"/>
      <c r="I47" s="3"/>
      <c r="J47" s="108"/>
      <c r="K47" s="86"/>
      <c r="L47" s="18"/>
      <c r="M47" s="18"/>
      <c r="N47" s="18"/>
      <c r="O47" s="18"/>
      <c r="P47" s="18"/>
      <c r="Q47" s="23" t="s">
        <v>19</v>
      </c>
      <c r="R47" s="51">
        <v>7.1999999999999995E-2</v>
      </c>
    </row>
    <row r="48" spans="1:18" x14ac:dyDescent="0.3">
      <c r="A48" s="17"/>
      <c r="B48" s="4"/>
      <c r="C48" s="4"/>
      <c r="D48" s="4"/>
      <c r="E48" s="4"/>
      <c r="F48" s="4"/>
      <c r="G48" s="3"/>
      <c r="H48" s="3"/>
      <c r="I48" s="3"/>
      <c r="J48" s="108"/>
      <c r="K48" s="87"/>
      <c r="L48" s="18"/>
      <c r="M48" s="18"/>
      <c r="N48" s="88"/>
      <c r="O48" s="73"/>
      <c r="P48" s="73"/>
      <c r="Q48" s="23" t="s">
        <v>20</v>
      </c>
      <c r="R48" s="25">
        <v>13.18</v>
      </c>
    </row>
    <row r="49" spans="1:18" x14ac:dyDescent="0.3">
      <c r="A49" s="17"/>
      <c r="B49" s="3"/>
      <c r="C49" s="3"/>
      <c r="D49" s="3"/>
      <c r="E49" s="3"/>
      <c r="F49" s="3"/>
      <c r="G49" s="3"/>
      <c r="H49" s="3"/>
      <c r="I49" s="3"/>
      <c r="J49" s="108"/>
      <c r="K49" s="86"/>
      <c r="L49" s="18"/>
      <c r="M49" s="18"/>
      <c r="N49" s="18"/>
      <c r="O49" s="18"/>
      <c r="P49" s="18"/>
      <c r="Q49" s="23" t="s">
        <v>21</v>
      </c>
      <c r="R49" s="54">
        <v>5635000000</v>
      </c>
    </row>
    <row r="50" spans="1:18" x14ac:dyDescent="0.3">
      <c r="A50" s="17"/>
      <c r="J50" s="108"/>
      <c r="K50" s="86"/>
      <c r="L50" s="18"/>
      <c r="M50" s="18"/>
      <c r="N50" s="18"/>
      <c r="O50" s="73"/>
      <c r="P50" s="18"/>
      <c r="Q50" s="23" t="s">
        <v>22</v>
      </c>
      <c r="R50" s="54">
        <v>74288000000</v>
      </c>
    </row>
    <row r="51" spans="1:18" x14ac:dyDescent="0.3">
      <c r="A51" s="102" t="s">
        <v>45</v>
      </c>
      <c r="B51" s="102"/>
      <c r="C51" s="102"/>
      <c r="D51" s="102"/>
      <c r="E51" s="102"/>
      <c r="F51" s="102"/>
      <c r="G51" s="102"/>
      <c r="J51" s="107"/>
      <c r="K51" s="107"/>
      <c r="L51" s="107"/>
      <c r="M51" s="107"/>
      <c r="N51" s="107"/>
      <c r="O51" s="107"/>
      <c r="P51" s="107"/>
      <c r="Q51" s="23" t="s">
        <v>9</v>
      </c>
      <c r="R51" s="51">
        <v>1.4E-2</v>
      </c>
    </row>
    <row r="52" spans="1:18" x14ac:dyDescent="0.3">
      <c r="A52" s="37" t="s">
        <v>42</v>
      </c>
      <c r="B52" s="23">
        <v>2024</v>
      </c>
      <c r="C52" s="36" t="s">
        <v>28</v>
      </c>
      <c r="D52" s="36" t="s">
        <v>29</v>
      </c>
      <c r="E52" s="36" t="s">
        <v>30</v>
      </c>
      <c r="F52" s="36" t="s">
        <v>31</v>
      </c>
      <c r="G52" s="36" t="s">
        <v>32</v>
      </c>
      <c r="J52" s="20"/>
      <c r="K52" s="19"/>
      <c r="L52" s="1"/>
      <c r="M52" s="1"/>
      <c r="N52" s="85"/>
      <c r="O52" s="78"/>
      <c r="P52" s="78"/>
      <c r="Q52" s="23" t="s">
        <v>23</v>
      </c>
      <c r="R52" s="51">
        <v>0.27</v>
      </c>
    </row>
    <row r="53" spans="1:18" x14ac:dyDescent="0.3">
      <c r="A53" s="38" t="s">
        <v>46</v>
      </c>
      <c r="B53" s="48">
        <f>1</f>
        <v>1</v>
      </c>
      <c r="C53" s="49">
        <f>(1+B38)^1</f>
        <v>1.0753999999999999</v>
      </c>
      <c r="D53" s="49">
        <f>(1+$B$38)^2</f>
        <v>1.1564851599999999</v>
      </c>
      <c r="E53" s="49">
        <f>(1+$B$38)^3</f>
        <v>1.2436841410639998</v>
      </c>
      <c r="F53" s="49">
        <f>(1+$B$38)^4</f>
        <v>1.3374579253002254</v>
      </c>
      <c r="G53" s="49">
        <f>(1+$B$38)^5</f>
        <v>1.4383022528678624</v>
      </c>
      <c r="J53" s="106"/>
      <c r="K53" s="86"/>
      <c r="L53" s="89"/>
      <c r="M53" s="89"/>
      <c r="N53" s="89"/>
      <c r="O53" s="90"/>
      <c r="P53" s="89"/>
      <c r="Q53" s="23" t="s">
        <v>24</v>
      </c>
      <c r="R53" s="52">
        <v>3110300000</v>
      </c>
    </row>
    <row r="54" spans="1:18" x14ac:dyDescent="0.3">
      <c r="A54" s="38" t="s">
        <v>47</v>
      </c>
      <c r="B54" s="79">
        <f>(G56*(1+R56))/(B38-R56)</f>
        <v>136139.90778839096</v>
      </c>
      <c r="C54" s="79"/>
      <c r="D54" s="79"/>
      <c r="E54" s="79"/>
      <c r="F54" s="79"/>
      <c r="G54" s="79"/>
      <c r="J54" s="106"/>
      <c r="K54" s="86"/>
      <c r="L54" s="89"/>
      <c r="M54" s="89"/>
      <c r="N54" s="89"/>
      <c r="O54" s="90"/>
      <c r="P54" s="89"/>
      <c r="Q54" s="23" t="s">
        <v>25</v>
      </c>
      <c r="R54" s="51">
        <v>0.20100000000000001</v>
      </c>
    </row>
    <row r="55" spans="1:18" x14ac:dyDescent="0.3">
      <c r="A55" s="38" t="s">
        <v>48</v>
      </c>
      <c r="B55" s="79">
        <f>B54/G53</f>
        <v>94653.197905334993</v>
      </c>
      <c r="C55" s="79"/>
      <c r="D55" s="79"/>
      <c r="E55" s="79"/>
      <c r="F55" s="79"/>
      <c r="G55" s="79"/>
      <c r="J55" s="106"/>
      <c r="K55" s="87"/>
      <c r="L55" s="89"/>
      <c r="M55" s="89"/>
      <c r="N55" s="91"/>
      <c r="O55" s="90"/>
      <c r="P55" s="89"/>
      <c r="Q55" s="23" t="s">
        <v>26</v>
      </c>
      <c r="R55" s="51">
        <v>0.79900000000000004</v>
      </c>
    </row>
    <row r="56" spans="1:18" x14ac:dyDescent="0.3">
      <c r="A56" s="38" t="s">
        <v>44</v>
      </c>
      <c r="B56" s="79">
        <f>4655482/1000</f>
        <v>4655.482</v>
      </c>
      <c r="C56" s="79">
        <f>B56*(1-1.98)</f>
        <v>-4562.3723600000003</v>
      </c>
      <c r="D56" s="79">
        <f>C56*(1-1.98)</f>
        <v>4471.1249127999999</v>
      </c>
      <c r="E56" s="79">
        <f>D56*(1+0.015)</f>
        <v>4538.1917864919997</v>
      </c>
      <c r="F56" s="79">
        <f>E56*(1+0.011)</f>
        <v>4588.1118961434113</v>
      </c>
      <c r="G56" s="79">
        <f>F56*(1+0.01)</f>
        <v>4633.9930151048457</v>
      </c>
      <c r="J56" s="106"/>
      <c r="K56" s="86"/>
      <c r="L56" s="89"/>
      <c r="M56" s="89"/>
      <c r="N56" s="89"/>
      <c r="O56" s="90"/>
      <c r="P56" s="89"/>
      <c r="Q56" s="23" t="s">
        <v>59</v>
      </c>
      <c r="R56" s="1">
        <v>0.04</v>
      </c>
    </row>
    <row r="57" spans="1:18" x14ac:dyDescent="0.3">
      <c r="A57" s="38" t="s">
        <v>49</v>
      </c>
      <c r="B57" s="79"/>
      <c r="C57" s="79">
        <f>C56/C53</f>
        <v>-4242.4887111772368</v>
      </c>
      <c r="D57" s="79">
        <f>D56/D53</f>
        <v>3866.1325431966634</v>
      </c>
      <c r="E57" s="79">
        <f>E56/E53</f>
        <v>3648.9906372927408</v>
      </c>
      <c r="F57" s="79">
        <f>F56/F53</f>
        <v>3430.4719493239359</v>
      </c>
      <c r="G57" s="79">
        <f>G56/G53</f>
        <v>3221.8492363931332</v>
      </c>
      <c r="J57" s="106"/>
      <c r="K57" s="86"/>
      <c r="L57" s="89"/>
      <c r="M57" s="89"/>
      <c r="N57" s="89"/>
      <c r="O57" s="90"/>
      <c r="P57" s="89"/>
      <c r="Q57" s="50" t="s">
        <v>27</v>
      </c>
      <c r="R57" s="53">
        <v>7.5399999999999995E-2</v>
      </c>
    </row>
    <row r="58" spans="1:18" x14ac:dyDescent="0.3">
      <c r="A58" s="38" t="s">
        <v>50</v>
      </c>
      <c r="B58" s="79">
        <f>B55+C57+D57+E57+F57+G57</f>
        <v>104578.15356036423</v>
      </c>
      <c r="C58" s="79"/>
      <c r="D58" s="79"/>
      <c r="E58" s="79"/>
      <c r="F58" s="79"/>
      <c r="G58" s="79"/>
    </row>
    <row r="59" spans="1:18" x14ac:dyDescent="0.3">
      <c r="A59" s="38" t="s">
        <v>51</v>
      </c>
      <c r="B59" s="79">
        <f>B58-(6974229/1000)</f>
        <v>97603.924560364219</v>
      </c>
      <c r="C59" s="79"/>
      <c r="D59" s="79"/>
      <c r="E59" s="79"/>
      <c r="F59" s="79"/>
      <c r="G59" s="79"/>
    </row>
    <row r="60" spans="1:18" x14ac:dyDescent="0.3">
      <c r="A60" s="38" t="s">
        <v>57</v>
      </c>
      <c r="B60" s="28">
        <f>B59*1000000/B31</f>
        <v>17.321015893587262</v>
      </c>
      <c r="C60" s="28"/>
      <c r="D60" s="28"/>
      <c r="E60" s="28"/>
      <c r="F60" s="28"/>
      <c r="G60" s="28"/>
    </row>
    <row r="61" spans="1:18" x14ac:dyDescent="0.3">
      <c r="A61" s="38" t="s">
        <v>52</v>
      </c>
      <c r="B61" s="24">
        <f>(B60-12.41)/12.41</f>
        <v>0.39573053131243047</v>
      </c>
      <c r="C61" s="22"/>
      <c r="D61" s="22"/>
      <c r="E61" s="22"/>
      <c r="F61" s="22"/>
      <c r="G61" s="22"/>
    </row>
    <row r="62" spans="1:18" x14ac:dyDescent="0.3">
      <c r="A62" s="38" t="s">
        <v>53</v>
      </c>
      <c r="B62" s="36" t="s">
        <v>55</v>
      </c>
      <c r="C62" s="22"/>
      <c r="D62" s="22"/>
      <c r="E62" s="22"/>
      <c r="F62" s="22"/>
      <c r="G62" s="22"/>
    </row>
  </sheetData>
  <mergeCells count="12">
    <mergeCell ref="J53:J57"/>
    <mergeCell ref="G3:K3"/>
    <mergeCell ref="A25:B25"/>
    <mergeCell ref="J43:P43"/>
    <mergeCell ref="Q43:R43"/>
    <mergeCell ref="J44:P44"/>
    <mergeCell ref="J46:J50"/>
    <mergeCell ref="A51:G51"/>
    <mergeCell ref="J51:P51"/>
    <mergeCell ref="J29:P29"/>
    <mergeCell ref="J28:P28"/>
    <mergeCell ref="J31:J35"/>
  </mergeCells>
  <conditionalFormatting sqref="L31:P35">
    <cfRule type="colorScale" priority="1">
      <colorScale>
        <cfvo type="min"/>
        <cfvo type="percentile" val="50"/>
        <cfvo type="max"/>
        <color rgb="FFF8696B"/>
        <color rgb="FFFFEB84"/>
        <color rgb="FF63BE7B"/>
      </colorScale>
    </cfRule>
  </conditionalFormatting>
  <conditionalFormatting sqref="L46:P50">
    <cfRule type="cellIs" priority="2" operator="between">
      <formula>$L$46</formula>
      <formula>$P$50</formula>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0CC94-10CF-4A27-BF7A-ABE32BF091DB}">
  <dimension ref="A2:X26"/>
  <sheetViews>
    <sheetView zoomScale="66" workbookViewId="0"/>
  </sheetViews>
  <sheetFormatPr defaultRowHeight="14.4" x14ac:dyDescent="0.3"/>
  <cols>
    <col min="1" max="1" width="10.5546875" bestFit="1" customWidth="1"/>
    <col min="2" max="2" width="12" bestFit="1" customWidth="1"/>
    <col min="3" max="3" width="16.77734375" bestFit="1" customWidth="1"/>
    <col min="5" max="5" width="10.5546875" bestFit="1" customWidth="1"/>
    <col min="6" max="6" width="13.88671875" bestFit="1" customWidth="1"/>
    <col min="7" max="7" width="13.44140625" bestFit="1" customWidth="1"/>
    <col min="14" max="14" width="10.5546875" bestFit="1" customWidth="1"/>
    <col min="15" max="15" width="12.21875" bestFit="1" customWidth="1"/>
    <col min="16" max="16" width="9.21875" bestFit="1" customWidth="1"/>
    <col min="17" max="17" width="12.77734375" bestFit="1" customWidth="1"/>
    <col min="18" max="18" width="9" bestFit="1" customWidth="1"/>
  </cols>
  <sheetData>
    <row r="2" spans="1:24" x14ac:dyDescent="0.3">
      <c r="F2" t="s">
        <v>44</v>
      </c>
      <c r="G2">
        <v>4655.482</v>
      </c>
      <c r="H2">
        <v>-4562.3723600000003</v>
      </c>
      <c r="I2">
        <v>4471.1249127999999</v>
      </c>
      <c r="J2">
        <v>4538.1917864919997</v>
      </c>
      <c r="K2">
        <v>4588.1118961434113</v>
      </c>
      <c r="L2">
        <v>4633.9930151048457</v>
      </c>
    </row>
    <row r="3" spans="1:24" x14ac:dyDescent="0.3">
      <c r="N3" s="67" t="s">
        <v>71</v>
      </c>
      <c r="O3" t="s">
        <v>76</v>
      </c>
      <c r="P3" t="s">
        <v>77</v>
      </c>
    </row>
    <row r="4" spans="1:24" x14ac:dyDescent="0.3">
      <c r="E4" s="67" t="s">
        <v>71</v>
      </c>
      <c r="F4" t="s">
        <v>74</v>
      </c>
      <c r="N4" s="68" t="s">
        <v>64</v>
      </c>
      <c r="O4" s="18">
        <v>67617.84</v>
      </c>
      <c r="P4" s="18">
        <v>6.01</v>
      </c>
    </row>
    <row r="5" spans="1:24" x14ac:dyDescent="0.3">
      <c r="E5" s="68" t="s">
        <v>64</v>
      </c>
      <c r="N5" s="68" t="s">
        <v>65</v>
      </c>
      <c r="O5" s="18">
        <v>74082.289999999994</v>
      </c>
      <c r="P5" s="18">
        <v>5.13</v>
      </c>
    </row>
    <row r="6" spans="1:24" x14ac:dyDescent="0.3">
      <c r="E6" s="68" t="s">
        <v>65</v>
      </c>
      <c r="N6" s="68" t="s">
        <v>66</v>
      </c>
      <c r="O6" s="18">
        <v>78717.42</v>
      </c>
      <c r="P6" s="18">
        <v>3.34</v>
      </c>
    </row>
    <row r="7" spans="1:24" x14ac:dyDescent="0.3">
      <c r="E7" s="68" t="s">
        <v>66</v>
      </c>
      <c r="N7" s="68" t="s">
        <v>67</v>
      </c>
      <c r="O7" s="18">
        <v>80418.080000000002</v>
      </c>
      <c r="P7" s="18">
        <v>3.88</v>
      </c>
    </row>
    <row r="8" spans="1:24" x14ac:dyDescent="0.3">
      <c r="E8" s="68" t="s">
        <v>67</v>
      </c>
      <c r="N8" s="68" t="s">
        <v>68</v>
      </c>
      <c r="O8" s="18">
        <v>80650.91</v>
      </c>
      <c r="P8" s="18">
        <v>4.63</v>
      </c>
      <c r="R8" t="s">
        <v>42</v>
      </c>
      <c r="S8" s="5">
        <v>2024</v>
      </c>
      <c r="T8" s="5" t="s">
        <v>28</v>
      </c>
      <c r="U8" s="5" t="s">
        <v>29</v>
      </c>
      <c r="V8" s="5" t="s">
        <v>30</v>
      </c>
      <c r="W8" s="5" t="s">
        <v>31</v>
      </c>
      <c r="X8" s="5" t="s">
        <v>32</v>
      </c>
    </row>
    <row r="9" spans="1:24" x14ac:dyDescent="0.3">
      <c r="E9" s="68" t="s">
        <v>68</v>
      </c>
      <c r="F9" s="18">
        <v>4655.482</v>
      </c>
      <c r="N9" s="68" t="s">
        <v>28</v>
      </c>
      <c r="O9" s="18">
        <v>82263.928200000009</v>
      </c>
      <c r="P9" s="18">
        <v>4</v>
      </c>
      <c r="R9" t="s">
        <v>46</v>
      </c>
      <c r="S9">
        <v>1</v>
      </c>
      <c r="T9">
        <v>1.0753999999999999</v>
      </c>
      <c r="U9">
        <v>1.1564851599999999</v>
      </c>
      <c r="V9">
        <v>1.2436841410639998</v>
      </c>
      <c r="W9">
        <v>1.3374579253002254</v>
      </c>
      <c r="X9">
        <v>1.4383022528678624</v>
      </c>
    </row>
    <row r="10" spans="1:24" x14ac:dyDescent="0.3">
      <c r="E10" s="68" t="s">
        <v>28</v>
      </c>
      <c r="F10" s="18">
        <v>-4562.3723600000003</v>
      </c>
      <c r="N10" s="68" t="s">
        <v>29</v>
      </c>
      <c r="O10" s="18">
        <v>84731.846046000006</v>
      </c>
      <c r="P10" s="18">
        <v>5.63</v>
      </c>
      <c r="R10" t="s">
        <v>47</v>
      </c>
      <c r="S10" s="80">
        <v>136139.90778839096</v>
      </c>
      <c r="T10" s="80"/>
      <c r="U10" s="80"/>
      <c r="V10" s="80"/>
      <c r="W10" s="80"/>
      <c r="X10" s="80"/>
    </row>
    <row r="11" spans="1:24" x14ac:dyDescent="0.3">
      <c r="E11" s="68" t="s">
        <v>29</v>
      </c>
      <c r="F11" s="18">
        <v>4471.1249127999999</v>
      </c>
      <c r="N11" s="68" t="s">
        <v>30</v>
      </c>
      <c r="O11" s="18">
        <v>89815.756808760008</v>
      </c>
      <c r="P11" s="18">
        <v>6.07</v>
      </c>
      <c r="R11" t="s">
        <v>48</v>
      </c>
      <c r="S11" s="80">
        <v>94653.197905334993</v>
      </c>
      <c r="T11" s="80"/>
      <c r="U11" s="80"/>
      <c r="V11" s="80"/>
      <c r="W11" s="80"/>
      <c r="X11" s="80"/>
    </row>
    <row r="12" spans="1:24" x14ac:dyDescent="0.3">
      <c r="E12" s="68" t="s">
        <v>30</v>
      </c>
      <c r="F12" s="18">
        <v>4538.1917864919997</v>
      </c>
      <c r="N12" s="68" t="s">
        <v>31</v>
      </c>
      <c r="O12" s="18">
        <v>97001.017353460818</v>
      </c>
      <c r="P12" s="18">
        <v>7</v>
      </c>
      <c r="R12" t="s">
        <v>44</v>
      </c>
      <c r="S12" s="80">
        <v>4655.482</v>
      </c>
      <c r="T12" s="93">
        <v>-4562.3723600000003</v>
      </c>
      <c r="U12" s="80">
        <v>4471.1249127999999</v>
      </c>
      <c r="V12" s="80">
        <v>4538.1917864919997</v>
      </c>
      <c r="W12" s="80">
        <v>4588.1118961434113</v>
      </c>
      <c r="X12" s="80">
        <v>4633.9930151048457</v>
      </c>
    </row>
    <row r="13" spans="1:24" x14ac:dyDescent="0.3">
      <c r="E13" s="68" t="s">
        <v>31</v>
      </c>
      <c r="F13" s="18">
        <v>4588.1118961434113</v>
      </c>
      <c r="N13" s="68" t="s">
        <v>32</v>
      </c>
      <c r="O13" s="18">
        <v>108641.13943587613</v>
      </c>
      <c r="P13" s="18">
        <v>7</v>
      </c>
      <c r="R13" t="s">
        <v>49</v>
      </c>
      <c r="S13" s="80"/>
      <c r="T13" s="93">
        <v>-4242.4887111772368</v>
      </c>
      <c r="U13" s="80">
        <v>3866.1325431966634</v>
      </c>
      <c r="V13" s="80">
        <v>3648.9906372927408</v>
      </c>
      <c r="W13" s="80">
        <v>3430.4719493239359</v>
      </c>
      <c r="X13" s="80">
        <v>3221.8492363931332</v>
      </c>
    </row>
    <row r="14" spans="1:24" x14ac:dyDescent="0.3">
      <c r="E14" s="68" t="s">
        <v>32</v>
      </c>
      <c r="F14" s="18">
        <v>4633.9930151048457</v>
      </c>
      <c r="N14" s="68" t="s">
        <v>70</v>
      </c>
      <c r="O14">
        <v>843940.22784409695</v>
      </c>
      <c r="P14">
        <v>52.69</v>
      </c>
      <c r="R14" t="s">
        <v>50</v>
      </c>
      <c r="S14" s="80">
        <v>104578.15356036423</v>
      </c>
      <c r="T14" s="80"/>
      <c r="U14" s="80"/>
      <c r="V14" s="80"/>
      <c r="W14" s="80"/>
      <c r="X14" s="80"/>
    </row>
    <row r="15" spans="1:24" x14ac:dyDescent="0.3">
      <c r="E15" s="68" t="s">
        <v>70</v>
      </c>
      <c r="F15">
        <v>18324.531250540258</v>
      </c>
      <c r="R15" t="s">
        <v>51</v>
      </c>
      <c r="S15" s="80">
        <v>97603.924560364219</v>
      </c>
      <c r="T15" s="80"/>
      <c r="U15" s="80"/>
      <c r="V15" s="80"/>
      <c r="W15" s="80"/>
      <c r="X15" s="80"/>
    </row>
    <row r="16" spans="1:24" x14ac:dyDescent="0.3">
      <c r="A16" t="s">
        <v>71</v>
      </c>
      <c r="B16" t="s">
        <v>73</v>
      </c>
      <c r="C16" t="s">
        <v>72</v>
      </c>
      <c r="D16" t="s">
        <v>44</v>
      </c>
      <c r="R16" t="s">
        <v>57</v>
      </c>
      <c r="S16" s="80">
        <v>17.321015893587262</v>
      </c>
      <c r="T16" s="80"/>
      <c r="U16" s="80"/>
      <c r="V16" s="80"/>
      <c r="W16" s="80"/>
      <c r="X16" s="80"/>
    </row>
    <row r="17" spans="1:22" x14ac:dyDescent="0.3">
      <c r="A17" t="s">
        <v>64</v>
      </c>
      <c r="B17">
        <v>67617.84</v>
      </c>
      <c r="C17">
        <v>6.01</v>
      </c>
      <c r="R17" t="s">
        <v>53</v>
      </c>
      <c r="S17" t="s">
        <v>55</v>
      </c>
    </row>
    <row r="18" spans="1:22" x14ac:dyDescent="0.3">
      <c r="A18" t="s">
        <v>65</v>
      </c>
      <c r="B18">
        <v>74082.289999999994</v>
      </c>
      <c r="C18">
        <v>5.13</v>
      </c>
    </row>
    <row r="19" spans="1:22" x14ac:dyDescent="0.3">
      <c r="A19" t="s">
        <v>66</v>
      </c>
      <c r="B19">
        <v>78717.42</v>
      </c>
      <c r="C19">
        <v>3.34</v>
      </c>
      <c r="R19" t="s">
        <v>78</v>
      </c>
      <c r="S19" s="51">
        <v>0.20100000000000001</v>
      </c>
    </row>
    <row r="20" spans="1:22" x14ac:dyDescent="0.3">
      <c r="A20" t="s">
        <v>67</v>
      </c>
      <c r="B20">
        <v>80418.080000000002</v>
      </c>
      <c r="C20">
        <v>3.88</v>
      </c>
      <c r="R20" t="s">
        <v>79</v>
      </c>
      <c r="S20" s="51">
        <v>0.79900000000000004</v>
      </c>
      <c r="V20" s="81"/>
    </row>
    <row r="21" spans="1:22" x14ac:dyDescent="0.3">
      <c r="A21" t="s">
        <v>68</v>
      </c>
      <c r="B21">
        <v>80650.91</v>
      </c>
      <c r="C21">
        <v>4.63</v>
      </c>
      <c r="D21">
        <v>4655.482</v>
      </c>
    </row>
    <row r="22" spans="1:22" x14ac:dyDescent="0.3">
      <c r="A22" t="s">
        <v>28</v>
      </c>
      <c r="B22">
        <v>82263.928200000009</v>
      </c>
      <c r="C22">
        <v>4</v>
      </c>
      <c r="D22">
        <v>-4562.3723600000003</v>
      </c>
    </row>
    <row r="23" spans="1:22" x14ac:dyDescent="0.3">
      <c r="A23" t="s">
        <v>29</v>
      </c>
      <c r="B23">
        <v>84731.846046000006</v>
      </c>
      <c r="C23">
        <v>5.63</v>
      </c>
      <c r="D23">
        <v>4471.1249127999999</v>
      </c>
    </row>
    <row r="24" spans="1:22" x14ac:dyDescent="0.3">
      <c r="A24" t="s">
        <v>30</v>
      </c>
      <c r="B24">
        <v>89815.756808760008</v>
      </c>
      <c r="C24">
        <v>6.07</v>
      </c>
      <c r="D24">
        <v>4538.1917864919997</v>
      </c>
    </row>
    <row r="25" spans="1:22" x14ac:dyDescent="0.3">
      <c r="A25" t="s">
        <v>31</v>
      </c>
      <c r="B25">
        <v>97001.017353460818</v>
      </c>
      <c r="C25">
        <v>7</v>
      </c>
      <c r="D25">
        <v>4588.1118961434113</v>
      </c>
    </row>
    <row r="26" spans="1:22" x14ac:dyDescent="0.3">
      <c r="A26" t="s">
        <v>32</v>
      </c>
      <c r="B26">
        <v>108641.13943587613</v>
      </c>
      <c r="C26">
        <v>7</v>
      </c>
      <c r="D26">
        <v>4633.9930151048457</v>
      </c>
    </row>
  </sheetData>
  <pageMargins left="0.7" right="0.7" top="0.75" bottom="0.75" header="0.3" footer="0.3"/>
  <drawing r:id="rId3"/>
  <tableParts count="1">
    <tablePart r:id="rId4"/>
  </tableParts>
  <extLst>
    <ext xmlns:x14="http://schemas.microsoft.com/office/spreadsheetml/2009/9/main" uri="{A8765BA9-456A-4dab-B4F3-ACF838C121DE}">
      <x14:slicerList>
        <x14:slicer r:id="rId5"/>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653D7-23B5-4CF9-B5A7-88D58665FB56}">
  <dimension ref="A1:B12"/>
  <sheetViews>
    <sheetView topLeftCell="A2" workbookViewId="0">
      <selection activeCell="P13" sqref="P13"/>
    </sheetView>
  </sheetViews>
  <sheetFormatPr defaultRowHeight="14.4" x14ac:dyDescent="0.3"/>
  <sheetData>
    <row r="1" spans="1:2" x14ac:dyDescent="0.3">
      <c r="A1" s="83" t="s">
        <v>80</v>
      </c>
      <c r="B1" s="83" t="s">
        <v>81</v>
      </c>
    </row>
    <row r="2" spans="1:2" ht="28.8" x14ac:dyDescent="0.3">
      <c r="A2" s="84" t="s">
        <v>82</v>
      </c>
      <c r="B2" s="84">
        <v>1</v>
      </c>
    </row>
    <row r="3" spans="1:2" x14ac:dyDescent="0.3">
      <c r="A3" s="84" t="s">
        <v>37</v>
      </c>
      <c r="B3" s="84">
        <v>1</v>
      </c>
    </row>
    <row r="4" spans="1:2" x14ac:dyDescent="0.3">
      <c r="A4" s="84" t="s">
        <v>83</v>
      </c>
      <c r="B4" s="84">
        <v>1</v>
      </c>
    </row>
    <row r="5" spans="1:2" x14ac:dyDescent="0.3">
      <c r="A5" s="84" t="s">
        <v>84</v>
      </c>
      <c r="B5" s="84">
        <v>1</v>
      </c>
    </row>
    <row r="6" spans="1:2" ht="28.8" x14ac:dyDescent="0.3">
      <c r="A6" s="84" t="s">
        <v>85</v>
      </c>
      <c r="B6" s="84">
        <v>1</v>
      </c>
    </row>
    <row r="7" spans="1:2" x14ac:dyDescent="0.3">
      <c r="A7" s="84" t="s">
        <v>86</v>
      </c>
      <c r="B7" s="84">
        <v>5</v>
      </c>
    </row>
    <row r="10" spans="1:2" x14ac:dyDescent="0.3">
      <c r="A10" s="83" t="s">
        <v>80</v>
      </c>
      <c r="B10" s="83" t="s">
        <v>81</v>
      </c>
    </row>
    <row r="11" spans="1:2" x14ac:dyDescent="0.3">
      <c r="A11" s="84" t="s">
        <v>87</v>
      </c>
      <c r="B11" s="84">
        <v>0.151</v>
      </c>
    </row>
    <row r="12" spans="1:2" x14ac:dyDescent="0.3">
      <c r="A12" s="84" t="s">
        <v>86</v>
      </c>
      <c r="B12" s="84">
        <v>8</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817FC-14F2-443D-A61B-CD1F997DDEF3}">
  <dimension ref="B2:C6"/>
  <sheetViews>
    <sheetView tabSelected="1" workbookViewId="0">
      <selection activeCell="C5" sqref="B2:C6"/>
    </sheetView>
  </sheetViews>
  <sheetFormatPr defaultRowHeight="14.4" x14ac:dyDescent="0.3"/>
  <cols>
    <col min="2" max="2" width="7.6640625" bestFit="1" customWidth="1"/>
    <col min="3" max="3" width="51.33203125" bestFit="1" customWidth="1"/>
  </cols>
  <sheetData>
    <row r="2" spans="2:3" x14ac:dyDescent="0.3">
      <c r="B2" t="s">
        <v>90</v>
      </c>
      <c r="C2" t="s">
        <v>92</v>
      </c>
    </row>
    <row r="3" spans="2:3" x14ac:dyDescent="0.3">
      <c r="B3" t="s">
        <v>88</v>
      </c>
      <c r="C3" s="92" t="s">
        <v>93</v>
      </c>
    </row>
    <row r="4" spans="2:3" x14ac:dyDescent="0.3">
      <c r="B4" s="114" t="s">
        <v>89</v>
      </c>
      <c r="C4" t="s">
        <v>96</v>
      </c>
    </row>
    <row r="5" spans="2:3" x14ac:dyDescent="0.3">
      <c r="B5" s="114"/>
      <c r="C5" t="s">
        <v>94</v>
      </c>
    </row>
    <row r="6" spans="2:3" x14ac:dyDescent="0.3">
      <c r="B6" t="s">
        <v>91</v>
      </c>
      <c r="C6" t="s">
        <v>95</v>
      </c>
    </row>
  </sheetData>
  <mergeCells count="1">
    <mergeCell ref="B4:B5"/>
  </mergeCells>
  <hyperlinks>
    <hyperlink ref="C3" r:id="rId1" xr:uid="{84515D38-9D78-4FB3-A9AD-710F39F5D96C}"/>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00096BFB-F5DD-4E3E-AF5B-C3E169E1785F}">
  <ds:schemaRefs/>
</ds:datastoreItem>
</file>

<file path=customXml/itemProps2.xml><?xml version="1.0" encoding="utf-8"?>
<ds:datastoreItem xmlns:ds="http://schemas.openxmlformats.org/officeDocument/2006/customXml" ds:itemID="{E9F58B42-680A-4CAB-8EC3-35760E7C59C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Valuation</vt:lpstr>
      <vt:lpstr>Data copy</vt:lpstr>
      <vt:lpstr>tables &amp; charts</vt:lpstr>
      <vt:lpstr>rec chart</vt:lpstr>
      <vt:lpstr>Contact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chinh nguyen</dc:creator>
  <cp:lastModifiedBy>chinh nguyen</cp:lastModifiedBy>
  <dcterms:created xsi:type="dcterms:W3CDTF">2025-05-08T15:51:29Z</dcterms:created>
  <dcterms:modified xsi:type="dcterms:W3CDTF">2025-09-24T07:23:27Z</dcterms:modified>
</cp:coreProperties>
</file>